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18.xml" ContentType="application/vnd.openxmlformats-officedocument.spreadsheetml.comments+xml"/>
  <Override PartName="/xl/charts/_rels/chart53.xml.rels" ContentType="application/vnd.openxmlformats-package.relationships+xml"/>
  <Override PartName="/xl/charts/_rels/chart36.xml.rels" ContentType="application/vnd.openxmlformats-package.relationships+xml"/>
  <Override PartName="/xl/charts/_rels/chart41.xml.rels" ContentType="application/vnd.openxmlformats-package.relationships+xml"/>
  <Override PartName="/xl/charts/chart41.xml" ContentType="application/vnd.openxmlformats-officedocument.drawingml.chart+xml"/>
  <Override PartName="/xl/charts/chart39.xml" ContentType="application/vnd.openxmlformats-officedocument.drawingml.chart+xml"/>
  <Override PartName="/xl/charts/chart38.xml" ContentType="application/vnd.openxmlformats-officedocument.drawingml.chart+xml"/>
  <Override PartName="/xl/charts/chart40.xml" ContentType="application/vnd.openxmlformats-officedocument.drawingml.chart+xml"/>
  <Override PartName="/xl/charts/chart37.xml" ContentType="application/vnd.openxmlformats-officedocument.drawingml.chart+xml"/>
  <Override PartName="/xl/charts/chart36.xml" ContentType="application/vnd.openxmlformats-officedocument.drawingml.chart+xml"/>
  <Override PartName="/xl/charts/chart35.xml" ContentType="application/vnd.openxmlformats-officedocument.drawingml.chart+xml"/>
  <Override PartName="/xl/charts/chart34.xml" ContentType="application/vnd.openxmlformats-officedocument.drawingml.chart+xml"/>
  <Override PartName="/xl/charts/chart33.xml" ContentType="application/vnd.openxmlformats-officedocument.drawingml.chart+xml"/>
  <Override PartName="/xl/charts/chart32.xml" ContentType="application/vnd.openxmlformats-officedocument.drawingml.chart+xml"/>
  <Override PartName="/xl/charts/chart31.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56.xml" ContentType="application/vnd.openxmlformats-officedocument.drawingml.chart+xml"/>
  <Override PartName="/xl/charts/chart44.xml" ContentType="application/vnd.openxmlformats-officedocument.drawingml.chart+xml"/>
  <Override PartName="/xl/charts/chart55.xml" ContentType="application/vnd.openxmlformats-officedocument.drawingml.chart+xml"/>
  <Override PartName="/xl/charts/chart54.xml" ContentType="application/vnd.openxmlformats-officedocument.drawingml.chart+xml"/>
  <Override PartName="/xl/charts/chart53.xml" ContentType="application/vnd.openxmlformats-officedocument.drawingml.chart+xml"/>
  <Override PartName="/xl/charts/chart52.xml" ContentType="application/vnd.openxmlformats-officedocument.drawingml.chart+xml"/>
  <Override PartName="/xl/charts/chart51.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48.xml" ContentType="application/vnd.openxmlformats-officedocument.drawingml.chart+xml"/>
  <Override PartName="/xl/charts/chart47.xml" ContentType="application/vnd.openxmlformats-officedocument.drawingml.chart+xml"/>
  <Override PartName="/xl/charts/chart46.xml" ContentType="application/vnd.openxmlformats-officedocument.drawingml.chart+xml"/>
  <Override PartName="/xl/charts/chart45.xml" ContentType="application/vnd.openxmlformats-officedocument.drawingml.chart+xml"/>
  <Override PartName="/xl/comments10.xml" ContentType="application/vnd.openxmlformats-officedocument.spreadsheetml.comments+xml"/>
  <Override PartName="/xl/comments22.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media/image3.jpeg" ContentType="image/jpeg"/>
  <Override PartName="/xl/media/image4.png" ContentType="image/pn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_rels/sheet14.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3.xml" ContentType="application/vnd.openxmlformats-officedocument.spreadsheetml.comment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1.xml" ContentType="application/vnd.openxmlformats-officedocument.spreadsheetml.comments+xml"/>
  <Override PartName="/xl/comments11.xml" ContentType="application/vnd.openxmlformats-officedocument.spreadsheetml.comments+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8.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drawing5.xml" ContentType="application/vnd.openxmlformats-officedocument.drawing+xml"/>
  <Override PartName="/xl/drawings/vmlDrawing6.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_rels/drawing19.xml.rels" ContentType="application/vnd.openxmlformats-package.relationships+xml"/>
  <Override PartName="/xl/drawings/_rels/drawing13.xml.rels" ContentType="application/vnd.openxmlformats-package.relationships+xml"/>
  <Override PartName="/xl/drawings/_rels/drawing18.xml.rels" ContentType="application/vnd.openxmlformats-package.relationships+xml"/>
  <Override PartName="/xl/drawings/_rels/drawing16.xml.rels" ContentType="application/vnd.openxmlformats-package.relationships+xml"/>
  <Override PartName="/xl/drawings/_rels/drawing15.xml.rels" ContentType="application/vnd.openxmlformats-package.relationships+xml"/>
  <Override PartName="/xl/drawings/_rels/drawing11.xml.rels" ContentType="application/vnd.openxmlformats-package.relationships+xml"/>
  <Override PartName="/xl/drawings/_rels/drawing1.xml.rels" ContentType="application/vnd.openxmlformats-package.relationships+xml"/>
  <Override PartName="/xl/drawings/_rels/drawing5.xml.rels" ContentType="application/vnd.openxmlformats-package.relationships+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ml.chartshapes+xml"/>
  <Override PartName="/xl/drawings/drawing6.xml" ContentType="application/vnd.openxmlformats-officedocument.drawing+xml"/>
  <Override PartName="/xl/drawings/vmlDrawing7.vml" ContentType="application/vnd.openxmlformats-officedocument.vmlDrawing"/>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ml.chartshapes+xml"/>
  <Override PartName="/xl/drawings/drawing9.xml" ContentType="application/vnd.openxmlformats-officedocument.drawing+xml"/>
  <Override PartName="/xl/drawings/drawing13.xml" ContentType="application/vnd.openxmlformats-officedocument.drawing+xml"/>
  <Override PartName="/xl/drawings/drawing12.xml" ContentType="application/vnd.openxmlformats-officedocument.drawingml.chartshapes+xml"/>
  <Override PartName="/xl/drawings/drawing11.xml" ContentType="application/vnd.openxmlformats-officedocument.drawing+xml"/>
  <Override PartName="/xl/drawings/vmlDrawing1.vml" ContentType="application/vnd.openxmlformats-officedocument.vmlDrawing"/>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reau_ini.txt" sheetId="1" state="visible" r:id="rId2"/>
    <sheet name="sureau_para.txt" sheetId="2" state="visible" r:id="rId3"/>
    <sheet name="transient_out.txt" sheetId="3" state="visible" r:id="rId4"/>
    <sheet name="random_para.txt" sheetId="4" state="visible" r:id="rId5"/>
    <sheet name="climat_hour_in.txt" sheetId="5" state="visible" r:id="rId6"/>
    <sheet name="climat_day_in.txt" sheetId="6" state="visible" r:id="rId7"/>
    <sheet name="climat_month_in.txt" sheetId="7" state="visible" r:id="rId8"/>
    <sheet name="Climat Conversion" sheetId="8" state="visible" r:id="rId9"/>
    <sheet name="Allometric tree" sheetId="9" state="visible" r:id="rId10"/>
    <sheet name="Fractal shoot" sheetId="10" state="visible" r:id="rId11"/>
    <sheet name="Fractal root" sheetId="11" state="visible" r:id="rId12"/>
    <sheet name="CMIP6 to SurEau" sheetId="12" state="visible" r:id="rId13"/>
    <sheet name="E-OBS to SurEau" sheetId="13" state="visible" r:id="rId14"/>
    <sheet name="Era5-Land to SurEau" sheetId="14" state="visible" r:id="rId15"/>
    <sheet name="Climtatik to SurEau" sheetId="15" state="visible" r:id="rId16"/>
    <sheet name="DRIAS to SurEau" sheetId="16" state="visible" r:id="rId17"/>
    <sheet name="Siclima Aladin to SurEau" sheetId="17" state="visible" r:id="rId18"/>
    <sheet name="PV-curve" sheetId="18" state="visible" r:id="rId19"/>
    <sheet name="van Genutchen" sheetId="19" state="visible" r:id="rId20"/>
    <sheet name="VG-FIT" sheetId="20" state="visible" r:id="rId21"/>
    <sheet name="various models" sheetId="21" state="visible" r:id="rId22"/>
    <sheet name="species" sheetId="22" state="visible" r:id="rId23"/>
    <sheet name="calcul" sheetId="23" state="visible" r:id="rId24"/>
    <sheet name="minimum data" sheetId="24" state="visible" r:id="rId25"/>
    <sheet name="Fractal map" sheetId="25" state="visible" r:id="rId26"/>
  </sheets>
  <externalReferences>
    <externalReference r:id="rId27"/>
    <externalReference r:id="rId28"/>
  </externalReferences>
  <definedNames>
    <definedName function="false" hidden="true" localSheetId="11" name="_xlnm._FilterDatabase" vbProcedure="false">'CMIP6 to SurEau'!$R$12:$AC$23</definedName>
    <definedName function="false" hidden="true" localSheetId="15" name="_xlnm._FilterDatabase" vbProcedure="false">'DRIAS to SurEau'!$A$12:$V$55113</definedName>
    <definedName function="false" hidden="true" localSheetId="12" name="_xlnm._FilterDatabase" vbProcedure="false">'E-OBS to SurEau'!$B$1:$I$26300</definedName>
    <definedName function="false" hidden="true" localSheetId="13" name="_xlnm._FilterDatabase" vbProcedure="false">'Era5-Land to SurEau'!$B$1:$AC$76</definedName>
    <definedName function="false" hidden="true" localSheetId="3" name="_xlnm._FilterDatabase" vbProcedure="false">'random_para.txt'!$A$4:$K$209</definedName>
    <definedName function="false" hidden="true" localSheetId="16" name="_xlnm._FilterDatabase" vbProcedure="false">'Siclima Aladin to SurEau'!$A$12:$W$55127</definedName>
    <definedName function="false" hidden="true" localSheetId="1" name="_xlnm._FilterDatabase" vbProcedure="false">'sureau_para.txt'!$A$5:$BL$5</definedName>
    <definedName function="false" hidden="true" localSheetId="2" name="_xlnm._FilterDatabase" vbProcedure="false">'transient_out.txt'!$B$5:$J$254</definedName>
    <definedName function="false" hidden="true" localSheetId="20" name="_xlnm._FilterDatabase" vbProcedure="false">'various models'!$B$1:$C$115</definedName>
    <definedName function="false" hidden="false" name="Branch_m" vbProcedure="false">'sureau_ini.txt'!$CU$36</definedName>
    <definedName function="false" hidden="false" name="dbh" vbProcedure="false">'sureau_ini.txt'!$DD$36</definedName>
    <definedName function="false" hidden="false" name="FRACTAL" vbProcedure="false">'sureau_ini.txt'!$CI$36</definedName>
    <definedName function="false" hidden="false" name="gs_max" vbProcedure="false">'sureau_ini.txt'!$EU$36</definedName>
    <definedName function="false" hidden="false" name="g_crown" vbProcedure="false">'sureau_ini.txt'!$EN$36</definedName>
    <definedName function="false" hidden="false" name="g_cuti" vbProcedure="false">'sureau_ini.txt'!$FF$36</definedName>
    <definedName function="false" hidden="false" name="LA_max__m2" vbProcedure="false">'sureau_ini.txt'!$DZ$36</definedName>
    <definedName function="false" hidden="false" name="P50_Branch_Apo" vbProcedure="false">'sureau_ini.txt'!$GY$36</definedName>
    <definedName function="false" hidden="false" name="P50_Leaf_Apo" vbProcedure="false">'sureau_ini.txt'!$GV$36</definedName>
    <definedName function="false" hidden="false" name="Pi0_Leaf_Symp" vbProcedure="false">'sureau_ini.txt'!$GC$36</definedName>
    <definedName function="false" hidden="false" name="qqq" vbProcedure="false">'sureau_ini.txt'!$CU$36</definedName>
    <definedName function="false" hidden="false" name="Soil_Depth" vbProcedure="false">'sureau_ini.txt'!$BL$36</definedName>
    <definedName function="false" hidden="false" name="Soil_Width" vbProcedure="false">'sureau_ini.txt'!$BM$36</definedName>
    <definedName function="false" hidden="false" name="Trunk_m" vbProcedure="false">'sureau_ini.txt'!$DC$36</definedName>
    <definedName function="false" hidden="false" name="VPD_max" vbProcedure="false">'sureau_ini.txt'!$AH$32</definedName>
    <definedName function="false" hidden="false" localSheetId="13" name="Branch_m" vbProcedure="false">'[1]sureau_ini.txt'!$CR$36</definedName>
    <definedName function="false" hidden="false" localSheetId="13" name="dbh" vbProcedure="false">'[1]sureau_ini.txt'!$DA$36</definedName>
    <definedName function="false" hidden="false" localSheetId="13" name="FRACTAL" vbProcedure="false">'[1]sureau_ini.txt'!$CF$36</definedName>
    <definedName function="false" hidden="false" localSheetId="13" name="gs_max" vbProcedure="false">'[1]sureau_ini.txt'!$ER$36</definedName>
    <definedName function="false" hidden="false" localSheetId="13" name="g_cuti" vbProcedure="false">'[1]sureau_ini.txt'!$FC$36</definedName>
    <definedName function="false" hidden="false" localSheetId="13" name="Soil_Depth" vbProcedure="false">'[1]sureau_ini.txt'!$BL$36</definedName>
    <definedName function="false" hidden="false" localSheetId="13" name="Soil_Width" vbProcedure="false">'[1]sureau_ini.txt'!$BM$36</definedName>
    <definedName function="false" hidden="false" localSheetId="13" name="Trunk_m" vbProcedure="false">'[1]sureau_ini.txt'!$CZ$36</definedName>
    <definedName function="false" hidden="false" localSheetId="13" name="VPD_max" vbProcedure="false">'[1]sureau_ini.txt'!$AH$32</definedName>
    <definedName function="false" hidden="false" localSheetId="14" name="Branch_m" vbProcedure="false">'[1]sureau_ini.txt'!$CR$36</definedName>
    <definedName function="false" hidden="false" localSheetId="14" name="dbh" vbProcedure="false">'[1]sureau_ini.txt'!$DA$36</definedName>
    <definedName function="false" hidden="false" localSheetId="14" name="FRACTAL" vbProcedure="false">'[1]sureau_ini.txt'!$CF$36</definedName>
    <definedName function="false" hidden="false" localSheetId="14" name="gs_max" vbProcedure="false">'[1]sureau_ini.txt'!$ER$36</definedName>
    <definedName function="false" hidden="false" localSheetId="14" name="g_cuti" vbProcedure="false">'[1]sureau_ini.txt'!$FC$36</definedName>
    <definedName function="false" hidden="false" localSheetId="14" name="Soil_Depth" vbProcedure="false">'[1]sureau_ini.txt'!$BL$36</definedName>
    <definedName function="false" hidden="false" localSheetId="14" name="Soil_Width" vbProcedure="false">'[1]sureau_ini.txt'!$BM$36</definedName>
    <definedName function="false" hidden="false" localSheetId="14" name="Trunk_m" vbProcedure="false">'[1]sureau_ini.txt'!$CZ$36</definedName>
    <definedName function="false" hidden="false" localSheetId="14" name="VPD_max" vbProcedure="false">'[1]sureau_ini.txt'!$AH$32</definedName>
    <definedName function="false" hidden="false" localSheetId="17" name="Branch_m" vbProcedure="false">'[2]sureau_ini.txt'!$CL$34</definedName>
    <definedName function="false" hidden="false" localSheetId="17" name="dbh" vbProcedure="false">'[2]sureau_ini.txt'!$CR$34</definedName>
    <definedName function="false" hidden="false" localSheetId="17" name="FRACTAL" vbProcedure="false">'[2]sureau_ini.txt'!$CZ$34</definedName>
    <definedName function="false" hidden="false" localSheetId="17" name="Soil_Depth" vbProcedure="false">'[2]sureau_ini.txt'!$EJ$34</definedName>
    <definedName function="false" hidden="false" localSheetId="17" name="Soil_Width" vbProcedure="false">'[2]sureau_ini.txt'!$EK$34</definedName>
    <definedName function="false" hidden="false" localSheetId="17" name="Trunk_m" vbProcedure="false">'[2]sureau_ini.txt'!$CQ$34</definedName>
    <definedName function="false" hidden="false" localSheetId="17" name="VPD_max" vbProcedure="false">'[2]sureau_ini.txt'!$AJ$30</definedName>
    <definedName function="false" hidden="false" localSheetId="19" name="solver_cvg" vbProcedure="false">0.01</definedName>
    <definedName function="false" hidden="false" localSheetId="19" name="solver_drv" vbProcedure="false">1</definedName>
    <definedName function="false" hidden="false" localSheetId="19" name="solver_eng" vbProcedure="false">1</definedName>
    <definedName function="false" hidden="false" localSheetId="19" name="solver_itr" vbProcedure="false">2147483647</definedName>
    <definedName function="false" hidden="false" localSheetId="19" name="solver_lin" vbProcedure="false">2</definedName>
    <definedName function="false" hidden="false" localSheetId="19" name="solver_mip" vbProcedure="false">2147483647</definedName>
    <definedName function="false" hidden="false" localSheetId="19" name="solver_mni" vbProcedure="false">30</definedName>
    <definedName function="false" hidden="false" localSheetId="19" name="solver_mrt" vbProcedure="false">0.075</definedName>
    <definedName function="false" hidden="false" localSheetId="19" name="solver_msl" vbProcedure="false">2</definedName>
    <definedName function="false" hidden="false" localSheetId="19" name="solver_neg" vbProcedure="false">1</definedName>
    <definedName function="false" hidden="false" localSheetId="19" name="solver_nod" vbProcedure="false">2147483647</definedName>
    <definedName function="false" hidden="false" localSheetId="19" name="solver_num" vbProcedure="false">0</definedName>
    <definedName function="false" hidden="false" localSheetId="19" name="solver_opt" vbProcedure="false">'VG-FIT'!$P$5</definedName>
    <definedName function="false" hidden="false" localSheetId="19" name="solver_pre" vbProcedure="false">0.001</definedName>
    <definedName function="false" hidden="false" localSheetId="19" name="solver_rbv" vbProcedure="false">1</definedName>
    <definedName function="false" hidden="false" localSheetId="19" name="solver_rlx" vbProcedure="false">2</definedName>
    <definedName function="false" hidden="false" localSheetId="19" name="solver_rsd" vbProcedure="false">0</definedName>
    <definedName function="false" hidden="false" localSheetId="19" name="solver_scl" vbProcedure="false">1</definedName>
    <definedName function="false" hidden="false" localSheetId="19" name="solver_sho" vbProcedure="false">2</definedName>
    <definedName function="false" hidden="false" localSheetId="19" name="solver_ssz" vbProcedure="false">100</definedName>
    <definedName function="false" hidden="false" localSheetId="19" name="solver_tim" vbProcedure="false">2147483647</definedName>
    <definedName function="false" hidden="false" localSheetId="19" name="solver_tol" vbProcedure="false">0.01</definedName>
    <definedName function="false" hidden="false" localSheetId="19" name="solver_typ" vbProcedure="false">1</definedName>
    <definedName function="false" hidden="false" localSheetId="19" name="solver_val" vbProcedure="false">0</definedName>
    <definedName function="false" hidden="false" localSheetId="19" name="solver_ver" vbProcedure="false">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6" authorId="0">
      <text>
        <r>
          <rPr>
            <sz val="12"/>
            <color rgb="FF000000"/>
            <rFont val="Calibri"/>
            <family val="2"/>
            <charset val="1"/>
          </rPr>
          <t xml:space="preserve">Hervé COCHARD:
</t>
        </r>
        <r>
          <rPr>
            <sz val="10"/>
            <color rgb="FF000000"/>
            <rFont val="Tahoma"/>
            <family val="2"/>
            <charset val="1"/>
          </rPr>
          <t xml:space="preserve">10% seems a good value</t>
        </r>
      </text>
    </comment>
    <comment ref="A25" authorId="0">
      <text>
        <r>
          <rPr>
            <sz val="12"/>
            <color rgb="FF000000"/>
            <rFont val="Calibri"/>
            <family val="2"/>
            <charset val="1"/>
          </rPr>
          <t xml:space="preserve">Hervé Cochard:
</t>
        </r>
        <r>
          <rPr>
            <sz val="10"/>
            <color rgb="FF000000"/>
            <rFont val="Tahoma"/>
            <family val="2"/>
            <charset val="1"/>
          </rPr>
          <t xml:space="preserve">field capacity-teta_res</t>
        </r>
      </text>
    </comment>
    <comment ref="B33" authorId="0">
      <text>
        <r>
          <rPr>
            <sz val="12"/>
            <color rgb="FF000000"/>
            <rFont val="Calibri"/>
            <family val="2"/>
            <charset val="1"/>
          </rPr>
          <t xml:space="preserve">Hervé COCHARD:
</t>
        </r>
        <r>
          <rPr>
            <sz val="10"/>
            <color rgb="FF000000"/>
            <rFont val="Tahoma"/>
            <family val="2"/>
            <charset val="1"/>
          </rPr>
          <t xml:space="preserve">The number of the simulation. 
Usually just to keep track of the simulation number in the files.
BUT, for the COMPET mode, defines how simulations are grouped.
It works by groups of ten.
for instance 0;1;2 or 50;51;52 share the same soil.
The main tree is always 0 or 10 or 20 etc.. (necessary for rain, irrigation etc)
If CLIMAT=7 or 8 then SImul is file name of the climat file   1234 will be 1234.txt</t>
        </r>
      </text>
    </comment>
    <comment ref="C33" authorId="0">
      <text>
        <r>
          <rPr>
            <sz val="12"/>
            <color rgb="FF000000"/>
            <rFont val="Calibri"/>
            <family val="2"/>
            <charset val="1"/>
          </rPr>
          <t xml:space="preserve">Hervé COCHARD:
</t>
        </r>
        <r>
          <rPr>
            <sz val="10"/>
            <color rgb="FF000000"/>
            <rFont val="Tahoma"/>
            <family val="2"/>
            <charset val="1"/>
          </rPr>
          <t xml:space="preserve">0= In the Steady mode the symplaslic capacitances are suppose at equilibrium with the apoplasmic potential. 
1= In the Dynamic mode the true dynamics of these flows is considered. 
2= both with optimisation when LA=0
3= like 2 with optimisation when also PAR=0 </t>
        </r>
        <r>
          <rPr>
            <u val="single"/>
            <sz val="10"/>
            <color rgb="FF000000"/>
            <rFont val="Tahoma"/>
            <family val="2"/>
            <charset val="1"/>
          </rPr>
          <t xml:space="preserve">AND</t>
        </r>
        <r>
          <rPr>
            <sz val="10"/>
            <color rgb="FF000000"/>
            <rFont val="Tahoma"/>
            <family val="2"/>
            <charset val="1"/>
          </rPr>
          <t xml:space="preserve"> REW&lt;REW_crit
The Steady more is fater but crash under dry conditions. Favor the "both" solution where the computation is Steady only under well watered conditions </t>
        </r>
      </text>
    </comment>
    <comment ref="D19" authorId="0">
      <text>
        <r>
          <rPr>
            <sz val="12"/>
            <color rgb="FF000000"/>
            <rFont val="Calibri"/>
            <family val="2"/>
            <charset val="1"/>
          </rPr>
          <t xml:space="preserve">If Fractal then use the "Fractal" sheets to define tree architecture
</t>
        </r>
        <r>
          <rPr>
            <sz val="11"/>
            <color rgb="FF000000"/>
            <rFont val="+mn-lt"/>
            <family val="0"/>
            <charset val="1"/>
          </rPr>
          <t xml:space="preserve">0=manual (values_FR are used)
1=shoot morphometric (computed with shoot morphology)  root fractal
2=root &amp; shoot fractal; 
3=from allometric sheet</t>
        </r>
      </text>
    </comment>
    <comment ref="D20" authorId="0">
      <text>
        <r>
          <rPr>
            <sz val="12"/>
            <color rgb="FF000000"/>
            <rFont val="Calibri"/>
            <family val="2"/>
            <charset val="1"/>
          </rPr>
          <t xml:space="preserve">Hervé COCHARD:
</t>
        </r>
        <r>
          <rPr>
            <sz val="10"/>
            <color rgb="FF000000"/>
            <rFont val="Tahoma"/>
            <family val="2"/>
            <charset val="1"/>
          </rPr>
          <t xml:space="preserve">root length/tree height ratio
can assume that root length= Branch length</t>
        </r>
      </text>
    </comment>
    <comment ref="D23" authorId="0">
      <text>
        <r>
          <rPr>
            <sz val="12"/>
            <color rgb="FF000000"/>
            <rFont val="Calibri"/>
            <family val="2"/>
            <charset val="1"/>
          </rPr>
          <t xml:space="preserve">Hervé Cochard:
</t>
        </r>
        <r>
          <rPr>
            <sz val="10"/>
            <color rgb="FF000000"/>
            <rFont val="Tahoma"/>
            <family val="2"/>
            <charset val="1"/>
          </rPr>
          <t xml:space="preserve">The length of the terminal shoot segment. Typically Tree Height/100</t>
        </r>
      </text>
    </comment>
    <comment ref="D24" authorId="0">
      <text>
        <r>
          <rPr>
            <sz val="12"/>
            <color rgb="FF000000"/>
            <rFont val="Calibri"/>
            <family val="2"/>
            <charset val="1"/>
          </rPr>
          <t xml:space="preserve">Hervé Cochard:
</t>
        </r>
        <r>
          <rPr>
            <sz val="10"/>
            <color rgb="FF000000"/>
            <rFont val="Tahoma"/>
            <family val="2"/>
            <charset val="1"/>
          </rPr>
          <t xml:space="preserve">The diameter of the terminal shoot segment.
</t>
        </r>
      </text>
    </comment>
    <comment ref="D25" authorId="0">
      <text>
        <r>
          <rPr>
            <sz val="12"/>
            <color rgb="FF000000"/>
            <rFont val="Calibri"/>
            <family val="2"/>
            <charset val="1"/>
          </rPr>
          <t xml:space="preserve">Hervé Cochard:
</t>
        </r>
        <r>
          <rPr>
            <sz val="10"/>
            <color rgb="FF000000"/>
            <rFont val="Tahoma"/>
            <family val="2"/>
            <charset val="1"/>
          </rPr>
          <t xml:space="preserve">define how Ks change with sapwood area. 
If &lt;2 then Ks increases with area</t>
        </r>
      </text>
    </comment>
    <comment ref="D26" authorId="0">
      <text>
        <r>
          <rPr>
            <sz val="12"/>
            <color rgb="FF000000"/>
            <rFont val="Calibri"/>
            <family val="2"/>
            <charset val="1"/>
          </rPr>
          <t xml:space="preserve">Hervé Cochard:
</t>
        </r>
        <r>
          <rPr>
            <sz val="10"/>
            <color rgb="FF000000"/>
            <rFont val="Tahoma"/>
            <family val="2"/>
            <charset val="1"/>
          </rPr>
          <t xml:space="preserve">The % of the root length that is ramified</t>
        </r>
      </text>
    </comment>
    <comment ref="D27" authorId="0">
      <text>
        <r>
          <rPr>
            <sz val="12"/>
            <color rgb="FF000000"/>
            <rFont val="Calibri"/>
            <family val="2"/>
            <charset val="1"/>
          </rPr>
          <t xml:space="preserve">Hervé Cochard:
</t>
        </r>
        <r>
          <rPr>
            <sz val="10"/>
            <color rgb="FF000000"/>
            <rFont val="Tahoma"/>
            <family val="2"/>
            <charset val="1"/>
          </rPr>
          <t xml:space="preserve">The length of the terminal fine root (absorbing) in cm</t>
        </r>
      </text>
    </comment>
    <comment ref="D28" authorId="0">
      <text>
        <r>
          <rPr>
            <sz val="12"/>
            <color rgb="FF000000"/>
            <rFont val="Calibri"/>
            <family val="2"/>
            <charset val="1"/>
          </rPr>
          <t xml:space="preserve">Hervé Cochard:
</t>
        </r>
        <r>
          <rPr>
            <sz val="10"/>
            <color rgb="FF000000"/>
            <rFont val="Tahoma"/>
            <family val="2"/>
            <charset val="1"/>
          </rPr>
          <t xml:space="preserve">The diameter of the terminal shoot segment.
</t>
        </r>
      </text>
    </comment>
    <comment ref="D33" authorId="0">
      <text>
        <r>
          <rPr>
            <sz val="12"/>
            <color rgb="FF000000"/>
            <rFont val="Calibri"/>
            <family val="2"/>
            <charset val="1"/>
          </rPr>
          <t xml:space="preserve">Hervé COCHARD:
</t>
        </r>
        <r>
          <rPr>
            <sz val="10"/>
            <color rgb="FF000000"/>
            <rFont val="Tahoma"/>
            <family val="2"/>
            <charset val="1"/>
          </rPr>
          <t xml:space="preserve">The threshold PLC variation rate when the model swith from steady to dynamic (option 2)
in 10^-6 %PLC/sec
</t>
        </r>
      </text>
    </comment>
    <comment ref="E33" authorId="0">
      <text>
        <r>
          <rPr>
            <sz val="12"/>
            <color rgb="FF000000"/>
            <rFont val="Calibri"/>
            <family val="2"/>
            <charset val="1"/>
          </rPr>
          <t xml:space="preserve">Hervé COCHARD:
</t>
        </r>
        <r>
          <rPr>
            <sz val="10"/>
            <color rgb="FF000000"/>
            <rFont val="Tahoma"/>
            <family val="2"/>
            <charset val="1"/>
          </rPr>
          <t xml:space="preserve">The threshold PLC variation when the model swith from steady to dynamic (option 2)
</t>
        </r>
      </text>
    </comment>
    <comment ref="F24" authorId="0">
      <text>
        <r>
          <rPr>
            <sz val="12"/>
            <color rgb="FF000000"/>
            <rFont val="Calibri"/>
            <family val="2"/>
            <charset val="1"/>
          </rPr>
          <t xml:space="preserve">Hervé Cochard:
</t>
        </r>
        <r>
          <rPr>
            <sz val="10"/>
            <color rgb="FF000000"/>
            <rFont val="Tahoma"/>
            <family val="2"/>
            <charset val="1"/>
          </rPr>
          <t xml:space="preserve">so that Leonardo=2</t>
        </r>
      </text>
    </comment>
    <comment ref="F28" authorId="0">
      <text>
        <r>
          <rPr>
            <sz val="12"/>
            <color rgb="FF000000"/>
            <rFont val="Calibri"/>
            <family val="2"/>
            <charset val="1"/>
          </rPr>
          <t xml:space="preserve">Hervé Cochard:
</t>
        </r>
        <r>
          <rPr>
            <sz val="10"/>
            <color rgb="FF000000"/>
            <rFont val="Tahoma"/>
            <family val="2"/>
            <charset val="1"/>
          </rPr>
          <t xml:space="preserve">so that Leonardo=2</t>
        </r>
      </text>
    </comment>
    <comment ref="F33" authorId="0">
      <text>
        <r>
          <rPr>
            <sz val="12"/>
            <color rgb="FF000000"/>
            <rFont val="Calibri"/>
            <family val="2"/>
            <charset val="1"/>
          </rPr>
          <t xml:space="preserve">Hervé Cochard:
</t>
        </r>
        <r>
          <rPr>
            <b val="true"/>
            <sz val="10"/>
            <color rgb="FF000000"/>
            <rFont val="Tahoma"/>
            <family val="2"/>
            <charset val="1"/>
          </rPr>
          <t xml:space="preserve"> 0= Normal
</t>
        </r>
        <r>
          <rPr>
            <sz val="10"/>
            <color rgb="FF000000"/>
            <rFont val="Tahoma"/>
            <family val="2"/>
            <charset val="1"/>
          </rPr>
          <t xml:space="preserve"> 1= then all the data are printed in transient.out file
 2= compute annual climatic data</t>
        </r>
      </text>
    </comment>
    <comment ref="G33" authorId="0">
      <text>
        <r>
          <rPr>
            <sz val="12"/>
            <color rgb="FF000000"/>
            <rFont val="Calibri"/>
            <family val="2"/>
            <charset val="1"/>
          </rPr>
          <t xml:space="preserve">If transient&gt;1 intermediate values are saved in transient_out.csv
if =1 and t_out=24 then printed at midday
if =2 and t_out=24 the printed at midnight
11: like 1 but with standard daily output
12: like 2 but with standard daily output 
21: like 1 but with standard yearly output
22: like 2 but with standard yearly output 
</t>
        </r>
        <r>
          <rPr>
            <sz val="6"/>
            <color rgb="FF000000"/>
            <rFont val="Calibri"/>
            <family val="2"/>
            <charset val="1"/>
          </rPr>
          <t xml:space="preserve">
</t>
        </r>
      </text>
    </comment>
    <comment ref="H33" authorId="0">
      <text>
        <r>
          <rPr>
            <sz val="12"/>
            <color rgb="FF000000"/>
            <rFont val="Calibri"/>
            <family val="2"/>
            <charset val="1"/>
          </rPr>
          <t xml:space="preserve">Hervé Cochard:
</t>
        </r>
        <r>
          <rPr>
            <sz val="10"/>
            <color rgb="FF000000"/>
            <rFont val="Tahoma"/>
            <family val="2"/>
            <charset val="1"/>
          </rPr>
          <t xml:space="preserve">Randomise traits in random_para.txt N times.
if N=0 no randomisation
N&gt;0 homogeneous distribution
N&lt;0 gaussian distribution</t>
        </r>
      </text>
    </comment>
    <comment ref="I33" authorId="0">
      <text>
        <r>
          <rPr>
            <sz val="12"/>
            <color rgb="FF000000"/>
            <rFont val="Calibri"/>
            <family val="2"/>
            <charset val="1"/>
          </rPr>
          <t xml:space="preserve">Hervé Cochard:
</t>
        </r>
        <r>
          <rPr>
            <sz val="10"/>
            <color rgb="FF000000"/>
            <rFont val="Tahoma"/>
            <family val="2"/>
            <charset val="1"/>
          </rPr>
          <t xml:space="preserve">Determine if values are printed on screen
0 = no
1 = yes
2 = only day &amp; PLC_leaf</t>
        </r>
      </text>
    </comment>
    <comment ref="J33" authorId="0">
      <text>
        <r>
          <rPr>
            <sz val="12"/>
            <color rgb="FF000000"/>
            <rFont val="Calibri"/>
            <family val="2"/>
            <charset val="1"/>
          </rPr>
          <t xml:space="preserve">Hervé Cochard:
</t>
        </r>
        <r>
          <rPr>
            <sz val="10"/>
            <color rgb="FF000000"/>
            <rFont val="Tahoma"/>
            <family val="2"/>
            <charset val="1"/>
          </rPr>
          <t xml:space="preserve">print postscript graphs of all variable in File_out at the end of the run
if =1 time between 0 and tmax
if =2 continuous
or upon demand 
if =3 (just graph what is in transient_out.csv and finish)
if =4 then print tree maps</t>
        </r>
      </text>
    </comment>
    <comment ref="K33" authorId="0">
      <text>
        <r>
          <rPr>
            <sz val="12"/>
            <color rgb="FF000000"/>
            <rFont val="Calibri"/>
            <family val="2"/>
            <charset val="1"/>
          </rPr>
          <t xml:space="preserve">Hervé Cochard:
</t>
        </r>
        <r>
          <rPr>
            <sz val="10"/>
            <color rgb="FF000000"/>
            <rFont val="Calibri"/>
            <family val="2"/>
            <charset val="1"/>
          </rPr>
          <t xml:space="preserve">Dynamic time increment for  the computation. If higher then faster but may crash!
0.01 sec is default</t>
        </r>
      </text>
    </comment>
    <comment ref="L33" authorId="0">
      <text>
        <r>
          <rPr>
            <sz val="12"/>
            <color rgb="FF000000"/>
            <rFont val="Calibri"/>
            <family val="2"/>
            <charset val="1"/>
          </rPr>
          <t xml:space="preserve">Hervé Cochard:
</t>
        </r>
        <r>
          <rPr>
            <sz val="10"/>
            <color rgb="FF000000"/>
            <rFont val="Tahoma"/>
            <family val="2"/>
            <charset val="1"/>
          </rPr>
          <t xml:space="preserve">Steady time interval in sec, for time consuming functions
60 sec is default</t>
        </r>
      </text>
    </comment>
    <comment ref="M33" authorId="0">
      <text>
        <r>
          <rPr>
            <sz val="12"/>
            <color rgb="FF000000"/>
            <rFont val="Calibri"/>
            <family val="2"/>
            <charset val="1"/>
          </rPr>
          <t xml:space="preserve">Hervé Cochard:
</t>
        </r>
        <r>
          <rPr>
            <sz val="10"/>
            <color rgb="FF000000"/>
            <rFont val="Calibri"/>
            <family val="2"/>
            <charset val="1"/>
          </rPr>
          <t xml:space="preserve">indicate when data are printed on screen or in the file. If 24 then only midday or midnight values ares saved see TRANSIENT).</t>
        </r>
      </text>
    </comment>
    <comment ref="N32" authorId="0">
      <text>
        <r>
          <rPr>
            <sz val="12"/>
            <color rgb="FF000000"/>
            <rFont val="Calibri"/>
            <family val="2"/>
            <charset val="1"/>
          </rPr>
          <t xml:space="preserve">Hervé Cochard:
</t>
        </r>
        <r>
          <rPr>
            <sz val="10"/>
            <color rgb="FF000000"/>
            <rFont val="Tahoma"/>
            <family val="2"/>
            <charset val="1"/>
          </rPr>
          <t xml:space="preserve">When &gt;=1, plants compet  for water in the soil; the total soil volume is the same for all the plants.
Each plant has its own line in sureau_ini.txt; Use Split.exe to lauch the simulations at the same time
The number COMPET defines the number of plants in each group (for instance a forest layer). Tested with 3 layers.</t>
        </r>
      </text>
    </comment>
    <comment ref="O33" authorId="0">
      <text>
        <r>
          <rPr>
            <sz val="12"/>
            <color rgb="FF000000"/>
            <rFont val="Calibri"/>
            <family val="2"/>
            <charset val="1"/>
          </rPr>
          <t xml:space="preserve">Hervé Cochard:
</t>
        </r>
        <r>
          <rPr>
            <b val="true"/>
            <sz val="10"/>
            <color rgb="FF000000"/>
            <rFont val="Calibri"/>
            <family val="2"/>
            <charset val="1"/>
          </rPr>
          <t xml:space="preserve">0= not cut
</t>
        </r>
        <r>
          <rPr>
            <sz val="10"/>
            <color rgb="FF000000"/>
            <rFont val="Calibri"/>
            <family val="2"/>
            <charset val="1"/>
          </rPr>
          <t xml:space="preserve">1= a cut branch ( K_Branch_apo=0) 
2= a cut tree ( K_Trunk_apo=0)
3= a cut leaf (K_Leaf_apo=0)</t>
        </r>
      </text>
    </comment>
    <comment ref="P33" authorId="0">
      <text>
        <r>
          <rPr>
            <sz val="12"/>
            <color rgb="FF000000"/>
            <rFont val="Calibri"/>
            <family val="2"/>
            <charset val="1"/>
          </rPr>
          <t xml:space="preserve">Hervé Cochard:
</t>
        </r>
        <r>
          <rPr>
            <sz val="10"/>
            <color rgb="FF000000"/>
            <rFont val="Calibri"/>
            <family val="2"/>
            <charset val="1"/>
          </rPr>
          <t xml:space="preserve">Duration of the simulation in days. If "0" then infinite.</t>
        </r>
      </text>
    </comment>
    <comment ref="Q33" authorId="0">
      <text>
        <r>
          <rPr>
            <sz val="12"/>
            <color rgb="FF000000"/>
            <rFont val="Calibri"/>
            <family val="2"/>
            <charset val="1"/>
          </rPr>
          <t xml:space="preserve">Hervé Cochard:
</t>
        </r>
        <r>
          <rPr>
            <sz val="10"/>
            <color rgb="FF000000"/>
            <rFont val="Calibri"/>
            <family val="2"/>
            <charset val="1"/>
          </rPr>
          <t xml:space="preserve">End simualtion when
0= no end; choose this optin when splitting climatic data
1= all PLC_leaf = PLC%
2= all PLC_branch=PLC%
14= 1&amp;2
3= PLC_trunk=PLC%
4= PLC_root=PLC%
5= First to reach PLC% 
6= Last to reach PLC%
7= 0.2 RWC
8= PLC_organ=PLC%
9= last of PLC_organ &amp; PLC_leaf
10=RWCAxil&lt;0.02
11=RWC_Axil&lt;0.02 &amp;&amp; PLC&gt;PLC_END
12= ALL PLC&gt;PLC_END except Root2&amp;3
13= at Gs close
15= when Turgor_leaf &amp; Turgor_Axil=0
16= when RWC_branch_symp &lt;=PLC_end</t>
        </r>
      </text>
    </comment>
    <comment ref="R33" authorId="0">
      <text>
        <r>
          <rPr>
            <sz val="12"/>
            <color rgb="FF000000"/>
            <rFont val="Calibri"/>
            <family val="2"/>
            <charset val="1"/>
          </rPr>
          <t xml:space="preserve">Hervé Cochard:
</t>
        </r>
        <r>
          <rPr>
            <sz val="10"/>
            <color rgb="FF000000"/>
            <rFont val="Tahoma"/>
            <family val="2"/>
            <charset val="1"/>
          </rPr>
          <t xml:space="preserve">PLC at hydraulic failure.
defines when computation stops
must be between 0 and 100
For option 16: the critical RWC for death; 0.35 is typical</t>
        </r>
      </text>
    </comment>
    <comment ref="S33" authorId="0">
      <text>
        <r>
          <rPr>
            <sz val="12"/>
            <color rgb="FF000000"/>
            <rFont val="Calibri"/>
            <family val="2"/>
            <charset val="1"/>
          </rPr>
          <t xml:space="preserve">Hervé Cochard:
</t>
        </r>
        <r>
          <rPr>
            <sz val="10"/>
            <color rgb="FF000000"/>
            <rFont val="Calibri"/>
            <family val="2"/>
            <charset val="1"/>
          </rPr>
          <t xml:space="preserve">If  0 Tleaf=Tair
If 1 or 2 leaf temperature is computed from energy budget. 
1=linear 
2=iterative 
11=linear &amp; cloud_cover constant -&gt; air emissivity
12= iterative &amp; cloud_cover constant -&gt; air emissivity </t>
        </r>
      </text>
    </comment>
    <comment ref="T33" authorId="0">
      <text>
        <r>
          <rPr>
            <sz val="12"/>
            <color rgb="FF000000"/>
            <rFont val="Calibri"/>
            <family val="2"/>
            <charset val="1"/>
          </rPr>
          <t xml:space="preserve">Hervé Cochard:
</t>
        </r>
        <r>
          <rPr>
            <sz val="10"/>
            <color rgb="FF000000"/>
            <rFont val="Tahoma"/>
            <family val="2"/>
            <charset val="1"/>
          </rPr>
          <t xml:space="preserve">if 1 account for temperature effect on water fluidity</t>
        </r>
      </text>
    </comment>
    <comment ref="U33" authorId="0">
      <text>
        <r>
          <rPr>
            <sz val="12"/>
            <color rgb="FF000000"/>
            <rFont val="Calibri"/>
            <family val="2"/>
            <charset val="1"/>
          </rPr>
          <t xml:space="preserve">Hervé Cochard:
</t>
        </r>
        <r>
          <rPr>
            <sz val="10"/>
            <color rgb="FF000000"/>
            <rFont val="Tahoma"/>
            <family val="2"/>
            <charset val="1"/>
          </rPr>
          <t xml:space="preserve">To account for T effect on ST and P50</t>
        </r>
      </text>
    </comment>
    <comment ref="V33" authorId="0">
      <text>
        <r>
          <rPr>
            <sz val="12"/>
            <color rgb="FF000000"/>
            <rFont val="Calibri"/>
            <family val="2"/>
            <charset val="1"/>
          </rPr>
          <t xml:space="preserve">Hervé Cochard:
</t>
        </r>
        <r>
          <rPr>
            <sz val="10"/>
            <color rgb="FF000000"/>
            <rFont val="Tahoma"/>
            <family val="2"/>
            <charset val="1"/>
          </rPr>
          <t xml:space="preserve">To account for the effect of T on osmotic potential</t>
        </r>
      </text>
    </comment>
    <comment ref="W33" authorId="0">
      <text>
        <r>
          <rPr>
            <sz val="12"/>
            <color rgb="FF000000"/>
            <rFont val="Calibri"/>
            <family val="2"/>
            <charset val="1"/>
          </rPr>
          <t xml:space="preserve">Hervé Cochard:
</t>
        </r>
        <r>
          <rPr>
            <sz val="10"/>
            <color rgb="FF000000"/>
            <rFont val="Tahoma"/>
            <family val="2"/>
            <charset val="1"/>
          </rPr>
          <t xml:space="preserve">account for the effect on gravity on xylem pressure due to tree height</t>
        </r>
      </text>
    </comment>
    <comment ref="X32" authorId="0">
      <text>
        <r>
          <rPr>
            <sz val="12"/>
            <color rgb="FF000000"/>
            <rFont val="Calibri"/>
            <family val="2"/>
            <charset val="1"/>
          </rPr>
          <t xml:space="preserve">Hervé Cochard:
</t>
        </r>
        <r>
          <rPr>
            <sz val="10"/>
            <color rgb="FF000000"/>
            <rFont val="Tahoma"/>
            <family val="2"/>
            <charset val="1"/>
          </rPr>
          <t xml:space="preserve">If 1 then simulation is not reinitialised at the end of the year; Allow REW to be modelled for multiple year. PLC will be set to PLC*legagy.
Does not work if computation are paralellized for Climatic conditions !</t>
        </r>
      </text>
    </comment>
    <comment ref="Y21" authorId="0">
      <text>
        <r>
          <rPr>
            <sz val="12"/>
            <color rgb="FF000000"/>
            <rFont val="Calibri"/>
            <family val="2"/>
            <charset val="1"/>
          </rPr>
          <t xml:space="preserve">Hervé Cochard:
</t>
        </r>
        <r>
          <rPr>
            <sz val="10"/>
            <color rgb="FF000000"/>
            <rFont val="Calibri"/>
            <family val="2"/>
            <charset val="1"/>
          </rPr>
          <t xml:space="preserve">0= generated no file
1= climat_hour_in.txt    a climatic file with infra-day day and interpolation
2=  climat_day_in.txt   a climatic file with one data par day and computed values
3= climat_month_in.txt   a climatic file with monthly average of daily  values
4= climat_day_in.txt + soil temperature
5= constant values, no daily variations; set to Tmax RHmin PARmax</t>
        </r>
      </text>
    </comment>
    <comment ref="Y33" authorId="0">
      <text>
        <r>
          <rPr>
            <sz val="12"/>
            <color rgb="FF000000"/>
            <rFont val="Calibri"/>
            <family val="2"/>
            <charset val="1"/>
          </rPr>
          <t xml:space="preserve">Hervé Cochard:
</t>
        </r>
        <r>
          <rPr>
            <sz val="10"/>
            <color rgb="FF000000"/>
            <rFont val="+mn-lt"/>
            <family val="0"/>
            <charset val="1"/>
          </rPr>
          <t xml:space="preserve">0= generated ith Tmin/Tmax etc using sigmoidal functions
5= constant values, no daily variations; set to Tmax RHmin PARmax
1= climat_hour_in.txt    a climatic file with infra-day day and interpolation
   8= like 1 but climat file passed with Simul#
   6= like 1 with soil, trunk and branch temperatures
2=  climat_day_in.txt   a climatic file with one data par day and computed values
  4= like 2 climat_day_in.txt + soil temperature
  7= like 2 but climat file passed with Simul#
3= climat_month_in.txt   a climatic file with monthly average of daily  values
10= like 0 but DOY incremented
11= like 1 but cloud cover =1 so no daily effect on Tleaf</t>
        </r>
      </text>
    </comment>
    <comment ref="Z32" authorId="0">
      <text>
        <r>
          <rPr>
            <sz val="12"/>
            <color rgb="FF000000"/>
            <rFont val="Calibri"/>
            <family val="2"/>
            <charset val="1"/>
          </rPr>
          <t xml:space="preserve">Hervé Cochard:
</t>
        </r>
        <r>
          <rPr>
            <sz val="10"/>
            <color rgb="FF000000"/>
            <rFont val="Tahoma"/>
            <family val="2"/>
            <charset val="1"/>
          </rPr>
          <t xml:space="preserve">Day of Year</t>
        </r>
      </text>
    </comment>
    <comment ref="AA2" authorId="0">
      <text>
        <r>
          <rPr>
            <sz val="12"/>
            <color rgb="FF000000"/>
            <rFont val="Calibri"/>
            <family val="2"/>
            <charset val="1"/>
          </rPr>
          <t xml:space="preserve">Hervé COCHARD:
</t>
        </r>
        <r>
          <rPr>
            <sz val="10"/>
            <color rgb="FF000000"/>
            <rFont val="Tahoma"/>
            <family val="2"/>
            <charset val="1"/>
          </rPr>
          <t xml:space="preserve">Only aproximative as doesn't take into account the temperature and soil effects</t>
        </r>
      </text>
    </comment>
    <comment ref="AB32" authorId="0">
      <text>
        <r>
          <rPr>
            <sz val="12"/>
            <color rgb="FF000000"/>
            <rFont val="Calibri"/>
            <family val="2"/>
            <charset val="1"/>
          </rPr>
          <t xml:space="preserve">Hervé COCHARD:
</t>
        </r>
        <r>
          <rPr>
            <sz val="10"/>
            <color rgb="FF000000"/>
            <rFont val="Tahoma"/>
            <family val="2"/>
            <charset val="1"/>
          </rPr>
          <t xml:space="preserve">Climation condition s used when Climat is set to 0 or 5</t>
        </r>
      </text>
    </comment>
    <comment ref="AF33" authorId="0">
      <text>
        <r>
          <rPr>
            <sz val="12"/>
            <color rgb="FF000000"/>
            <rFont val="Calibri"/>
            <family val="2"/>
            <charset val="1"/>
          </rPr>
          <t xml:space="preserve">Hervé Cochard:
</t>
        </r>
        <r>
          <rPr>
            <sz val="10"/>
            <color rgb="FF000000"/>
            <rFont val="Tahoma"/>
            <family val="2"/>
            <charset val="1"/>
          </rPr>
          <t xml:space="preserve">if =-1 then the daily MAX Potential PAR corresponding to the DOY and latitude is computed</t>
        </r>
      </text>
    </comment>
    <comment ref="AJ33" authorId="0">
      <text>
        <r>
          <rPr>
            <sz val="12"/>
            <color rgb="FF000000"/>
            <rFont val="Calibri"/>
            <family val="2"/>
            <charset val="1"/>
          </rPr>
          <t xml:space="preserve">Hervé COCHARD:
</t>
        </r>
        <r>
          <rPr>
            <sz val="10"/>
            <color rgb="FF000000"/>
            <rFont val="Tahoma"/>
            <family val="2"/>
            <charset val="1"/>
          </rPr>
          <t xml:space="preserve">0= no heat wave
1= heatwave with variable RH and VPD
2= heatwave with constant RH
3= heatwave with variable RH to obtain a constant air VPD
4= a dry air wave with vpd x HW_T; Tair is constant 
5= a Heat wave starting at day HW_day, lasting HW_duration days with a daily temperature increase of HW_T °C/day
6= "wind wave" : wind is multiplied by HW_T ;</t>
        </r>
        <r>
          <rPr>
            <sz val="10"/>
            <color rgb="FF000000"/>
            <rFont val="Calibri"/>
            <family val="2"/>
            <charset val="1"/>
          </rPr>
          <t xml:space="preserve"> starting at day HW_day, lasting HW_duration days </t>
        </r>
      </text>
    </comment>
    <comment ref="AL33" authorId="0">
      <text>
        <r>
          <rPr>
            <sz val="12"/>
            <color rgb="FF000000"/>
            <rFont val="Calibri"/>
            <family val="2"/>
            <charset val="1"/>
          </rPr>
          <t xml:space="preserve">Hervé COCHARD:
</t>
        </r>
        <r>
          <rPr>
            <sz val="10"/>
            <color rgb="FF000000"/>
            <rFont val="Tahoma"/>
            <family val="2"/>
            <charset val="1"/>
          </rPr>
          <t xml:space="preserve">duration of the heatwave in days
if HW &amp;&amp; duration=0 then permanent heatwave</t>
        </r>
      </text>
    </comment>
    <comment ref="AM33" authorId="0">
      <text>
        <r>
          <rPr>
            <sz val="12"/>
            <color rgb="FF000000"/>
            <rFont val="Calibri"/>
            <family val="2"/>
            <charset val="1"/>
          </rPr>
          <t xml:space="preserve">Hervé COCHARD:
</t>
        </r>
        <r>
          <rPr>
            <sz val="10"/>
            <color rgb="FF000000"/>
            <rFont val="Tahoma"/>
            <family val="2"/>
            <charset val="1"/>
          </rPr>
          <t xml:space="preserve">temperature increase during the heatwave, in °C</t>
        </r>
      </text>
    </comment>
    <comment ref="AN27" authorId="0">
      <text>
        <r>
          <rPr>
            <sz val="12"/>
            <color rgb="FF000000"/>
            <rFont val="Calibri"/>
            <family val="2"/>
            <charset val="1"/>
          </rPr>
          <t xml:space="preserve">Hervé Cochard:
</t>
        </r>
        <r>
          <rPr>
            <sz val="10"/>
            <color rgb="FF000000"/>
            <rFont val="Tahoma"/>
            <family val="2"/>
            <charset val="1"/>
          </rPr>
          <t xml:space="preserve">Value from PAR_max and LAI</t>
        </r>
      </text>
    </comment>
    <comment ref="AN32" authorId="0">
      <text>
        <r>
          <rPr>
            <sz val="12"/>
            <color rgb="FF000000"/>
            <rFont val="Calibri"/>
            <family val="2"/>
            <charset val="1"/>
          </rPr>
          <t xml:space="preserve">Hervé Cochard:
</t>
        </r>
        <r>
          <rPr>
            <sz val="10"/>
            <color rgb="FF000000"/>
            <rFont val="Tahoma"/>
            <family val="2"/>
            <charset val="1"/>
          </rPr>
          <t xml:space="preserve">reduce the PAR_max by this fraction
PAR_MAX= PAR_MAX0*PAR_att
Default=1
useful for COMPET mode to define the PAR for the understorey</t>
        </r>
      </text>
    </comment>
    <comment ref="AP3" authorId="0">
      <text>
        <r>
          <rPr>
            <sz val="12"/>
            <color rgb="FF000000"/>
            <rFont val="Calibri"/>
            <family val="2"/>
            <charset val="1"/>
          </rPr>
          <t xml:space="preserve">Hervé Cochard:
</t>
        </r>
        <r>
          <rPr>
            <sz val="9"/>
            <color rgb="FF000000"/>
            <rFont val="Calibri"/>
            <family val="2"/>
            <charset val="1"/>
          </rPr>
          <t xml:space="preserve">To be ajusted according to diffent soil types</t>
        </r>
      </text>
    </comment>
    <comment ref="AP32" authorId="0">
      <text>
        <r>
          <rPr>
            <sz val="12"/>
            <color rgb="FF000000"/>
            <rFont val="Calibri"/>
            <family val="2"/>
            <charset val="1"/>
          </rPr>
          <t xml:space="preserve">Hervé Cochard:
</t>
        </r>
        <r>
          <rPr>
            <sz val="10"/>
            <color rgb="FF000000"/>
            <rFont val="Tahoma"/>
            <family val="2"/>
            <charset val="1"/>
          </rPr>
          <t xml:space="preserve">each soil layer thickness is = soil_depth*Layer_i
Somme (Layer_i)=1;</t>
        </r>
      </text>
    </comment>
    <comment ref="AS31" authorId="0">
      <text>
        <r>
          <rPr>
            <sz val="12"/>
            <color rgb="FF000000"/>
            <rFont val="Calibri"/>
            <family val="2"/>
            <charset val="1"/>
          </rPr>
          <t xml:space="preserve">Hervé Cochard:
</t>
        </r>
        <r>
          <rPr>
            <sz val="10"/>
            <color rgb="FF000000"/>
            <rFont val="Tahoma"/>
            <family val="2"/>
            <charset val="1"/>
          </rPr>
          <t xml:space="preserve">Take values from table above or fit the equations in sheet "van Genuchten"</t>
        </r>
      </text>
    </comment>
    <comment ref="AS32" authorId="0">
      <text>
        <r>
          <rPr>
            <sz val="12"/>
            <color rgb="FF000000"/>
            <rFont val="Calibri"/>
            <family val="2"/>
            <charset val="1"/>
          </rPr>
          <t xml:space="preserve">Hervé Cochard:
</t>
        </r>
        <r>
          <rPr>
            <sz val="10"/>
            <color rgb="FF000000"/>
            <rFont val="Tahoma"/>
            <family val="2"/>
            <charset val="1"/>
          </rPr>
          <t xml:space="preserve">Take values from table above or fit the equations in sheet "van Genuchten"</t>
        </r>
      </text>
    </comment>
    <comment ref="AX32" authorId="0">
      <text>
        <r>
          <rPr>
            <sz val="12"/>
            <color rgb="FF000000"/>
            <rFont val="Calibri"/>
            <family val="2"/>
            <charset val="1"/>
          </rPr>
          <t xml:space="preserve">Hervé Cochard:
</t>
        </r>
        <r>
          <rPr>
            <sz val="10"/>
            <color rgb="FF000000"/>
            <rFont val="Tahoma"/>
            <family val="2"/>
            <charset val="1"/>
          </rPr>
          <t xml:space="preserve">Take values from table above or fit the equations in sheet "van Genuchten"</t>
        </r>
      </text>
    </comment>
    <comment ref="BC32" authorId="0">
      <text>
        <r>
          <rPr>
            <sz val="12"/>
            <color rgb="FF000000"/>
            <rFont val="Calibri"/>
            <family val="2"/>
            <charset val="1"/>
          </rPr>
          <t xml:space="preserve">Hervé Cochard:
</t>
        </r>
        <r>
          <rPr>
            <sz val="10"/>
            <color rgb="FF000000"/>
            <rFont val="Tahoma"/>
            <family val="2"/>
            <charset val="1"/>
          </rPr>
          <t xml:space="preserve">Take values from table above or fit the equations in sheet "van Genuchten"</t>
        </r>
      </text>
    </comment>
    <comment ref="BI33" authorId="0">
      <text>
        <r>
          <rPr>
            <sz val="12"/>
            <color rgb="FF000000"/>
            <rFont val="Calibri"/>
            <family val="2"/>
            <charset val="1"/>
          </rPr>
          <t xml:space="preserve">Hervé Cochard:
</t>
        </r>
        <r>
          <rPr>
            <sz val="10"/>
            <color rgb="FF000000"/>
            <rFont val="Tahoma"/>
            <family val="2"/>
            <charset val="1"/>
          </rPr>
          <t xml:space="preserve">% of rock in the soil layer 1. 
0 to 1
no water available from rocks!
see end of file for Rock_f2 &amp; Rock_f3</t>
        </r>
      </text>
    </comment>
    <comment ref="BJ33" authorId="0">
      <text>
        <r>
          <rPr>
            <sz val="12"/>
            <color rgb="FF000000"/>
            <rFont val="Calibri"/>
            <family val="2"/>
            <charset val="1"/>
          </rPr>
          <t xml:space="preserve">Hervé Cochard:
</t>
        </r>
        <r>
          <rPr>
            <sz val="10"/>
            <color rgb="FF000000"/>
            <rFont val="Tahoma"/>
            <family val="2"/>
            <charset val="1"/>
          </rPr>
          <t xml:space="preserve">% of rock in the soil. 0 to 1; 
no water available from rocks!</t>
        </r>
      </text>
    </comment>
    <comment ref="BK33" authorId="0">
      <text>
        <r>
          <rPr>
            <sz val="12"/>
            <color rgb="FF000000"/>
            <rFont val="Calibri"/>
            <family val="2"/>
            <charset val="1"/>
          </rPr>
          <t xml:space="preserve">Hervé Cochard:
</t>
        </r>
        <r>
          <rPr>
            <sz val="10"/>
            <color rgb="FF000000"/>
            <rFont val="Tahoma"/>
            <family val="2"/>
            <charset val="1"/>
          </rPr>
          <t xml:space="preserve">% of rock in the soil. 0 to 1; 
no water available from rocks!</t>
        </r>
      </text>
    </comment>
    <comment ref="BL32" authorId="0">
      <text>
        <r>
          <rPr>
            <sz val="12"/>
            <color rgb="FF000000"/>
            <rFont val="Calibri"/>
            <family val="2"/>
            <charset val="1"/>
          </rPr>
          <t xml:space="preserve">Hervé Cochard:
</t>
        </r>
        <r>
          <rPr>
            <sz val="10"/>
            <color rgb="FF000000"/>
            <rFont val="Tahoma"/>
            <family val="2"/>
            <charset val="1"/>
          </rPr>
          <t xml:space="preserve">soil volume considering a rectangle depth*width^2
width determine also soil surface and hence rain volume and LAI !</t>
        </r>
      </text>
    </comment>
    <comment ref="BM33" authorId="0">
      <text>
        <r>
          <rPr>
            <sz val="12"/>
            <color rgb="FF000000"/>
            <rFont val="Calibri"/>
            <family val="2"/>
            <charset val="1"/>
          </rPr>
          <t xml:space="preserve">Hervé COCHARD:
</t>
        </r>
        <r>
          <rPr>
            <sz val="10"/>
            <color rgb="FF000000"/>
            <rFont val="Tahoma"/>
            <family val="2"/>
            <charset val="1"/>
          </rPr>
          <t xml:space="preserve">This value will be used to compute the soil volume available to the tree and its LAI</t>
        </r>
      </text>
    </comment>
    <comment ref="BN32" authorId="0">
      <text>
        <r>
          <rPr>
            <sz val="12"/>
            <color rgb="FF000000"/>
            <rFont val="Calibri"/>
            <family val="2"/>
            <charset val="1"/>
          </rPr>
          <t xml:space="preserve">Hervé Cochard:
</t>
        </r>
        <r>
          <rPr>
            <sz val="10"/>
            <color rgb="FF000000"/>
            <rFont val="Tahoma"/>
            <family val="2"/>
            <charset val="1"/>
          </rPr>
          <t xml:space="preserve">a fraction factor for root properties.
Defaul is 1/3/;1/3;1/3;
</t>
        </r>
        <r>
          <rPr>
            <sz val="10"/>
            <color rgb="FF000000"/>
            <rFont val="Calibri"/>
            <family val="2"/>
            <charset val="1"/>
          </rPr>
          <t xml:space="preserve">K_Root_Symp1=K_Root_Symp * Root_upper;
Root_Area1= Root_Area * Root_upper;
Q_Root_Symp01= Q_Root_Symp0* Root_upper;
Q_Root_Apo01= Q_Root_Apo0* Root_upper;
K_Root_Apo01=K_Root_Apo0 * Root_upper;
K_s=1000*K_sat*2*3.1416*Length_Root*3*Root_upper/Surface_Soil/log(1/pow(3.1416*9*Length_Root*Root_upper/Volume_soil,0.5)/(Diam_Root/2))*Fluidity_soil;
</t>
        </r>
      </text>
    </comment>
    <comment ref="BQ33" authorId="0">
      <text>
        <r>
          <rPr>
            <sz val="12"/>
            <color rgb="FF000000"/>
            <rFont val="Calibri"/>
            <family val="2"/>
            <charset val="1"/>
          </rPr>
          <t xml:space="preserve">Hervé COCHARD:
</t>
        </r>
        <r>
          <rPr>
            <sz val="10"/>
            <color rgb="FF000000"/>
            <rFont val="Tahoma"/>
            <family val="2"/>
            <charset val="1"/>
          </rPr>
          <t xml:space="preserve">a coefficient determining the Root interface conductance with root shrinkage
</t>
        </r>
        <r>
          <rPr>
            <sz val="10"/>
            <color rgb="FF000000"/>
            <rFont val="Calibri"/>
            <family val="2"/>
            <charset val="1"/>
          </rPr>
          <t xml:space="preserve">K_Interface1=K_Soil1*10*(Q_Root_Symp1/Q_Root_Symp01)^gap
</t>
        </r>
      </text>
    </comment>
    <comment ref="BR33" authorId="0">
      <text>
        <r>
          <rPr>
            <sz val="12"/>
            <color rgb="FF000000"/>
            <rFont val="Calibri"/>
            <family val="2"/>
            <charset val="1"/>
          </rPr>
          <t xml:space="preserve">Hervé Cochard:
</t>
        </r>
        <r>
          <rPr>
            <sz val="10"/>
            <color rgb="FF000000"/>
            <rFont val="Tahoma"/>
            <family val="2"/>
            <charset val="1"/>
          </rPr>
          <t xml:space="preserve">Capillarity flow between soil layers
0= no flow
1= capillar flow
</t>
        </r>
      </text>
    </comment>
    <comment ref="BS32" authorId="0">
      <text>
        <r>
          <rPr>
            <sz val="12"/>
            <color rgb="FF000000"/>
            <rFont val="Calibri"/>
            <family val="2"/>
            <charset val="1"/>
          </rPr>
          <t xml:space="preserve">Hervé Cochard:
</t>
        </r>
        <r>
          <rPr>
            <sz val="10"/>
            <color rgb="FF000000"/>
            <rFont val="Calibri"/>
            <family val="2"/>
            <charset val="1"/>
          </rPr>
          <t xml:space="preserve">this is the pressure at field capacity in kPa. Default is 33 kPa, but lower for sand and scoria
</t>
        </r>
      </text>
    </comment>
    <comment ref="BT32" authorId="0">
      <text>
        <r>
          <rPr>
            <sz val="12"/>
            <color rgb="FF000000"/>
            <rFont val="Calibri"/>
            <family val="2"/>
            <charset val="1"/>
          </rPr>
          <t xml:space="preserve">Hervé Cochard:
</t>
        </r>
        <r>
          <rPr>
            <sz val="10"/>
            <color rgb="FF000000"/>
            <rFont val="Tahoma"/>
            <family val="2"/>
            <charset val="1"/>
          </rPr>
          <t xml:space="preserve">The osmotic potential of the soil water at field capacity.
PI_soil=PI0/RWC</t>
        </r>
      </text>
    </comment>
    <comment ref="BX32" authorId="0">
      <text>
        <r>
          <rPr>
            <sz val="12"/>
            <color rgb="FF000000"/>
            <rFont val="Calibri"/>
            <family val="2"/>
            <charset val="1"/>
          </rPr>
          <t xml:space="preserve">Hervé COCHARD:
</t>
        </r>
        <r>
          <rPr>
            <sz val="10"/>
            <color rgb="FF000000"/>
            <rFont val="Tahoma"/>
            <family val="2"/>
            <charset val="1"/>
          </rPr>
          <t xml:space="preserve">rain intercepted by the canopy. 
</t>
        </r>
        <r>
          <rPr>
            <sz val="10"/>
            <color rgb="FF000000"/>
            <rFont val="Calibri"/>
            <family val="2"/>
            <charset val="1"/>
          </rPr>
          <t xml:space="preserve">Interception =Rain_1*(Interception_min+(100- Interception_min)/(exp(Interception_factor*(Rain_1 - Threshold_rain))))/100; 
Interception_min % = 10+ 3*LAI</t>
        </r>
      </text>
    </comment>
    <comment ref="CB31" authorId="0">
      <text>
        <r>
          <rPr>
            <sz val="12"/>
            <color rgb="FF000000"/>
            <rFont val="Calibri"/>
            <family val="2"/>
            <charset val="1"/>
          </rPr>
          <t xml:space="preserve">Hervé Cochard:
</t>
        </r>
        <r>
          <rPr>
            <sz val="10"/>
            <color rgb="FF000000"/>
            <rFont val="Tahoma"/>
            <family val="2"/>
            <charset val="1"/>
          </rPr>
          <t xml:space="preserve">If 1,  the soil is rewatered when water content is less than threshold REW_Irr
</t>
        </r>
        <r>
          <rPr>
            <sz val="10"/>
            <color rgb="FF000000"/>
            <rFont val="Calibri"/>
            <family val="2"/>
            <charset val="1"/>
          </rPr>
          <t xml:space="preserve">   if 4 then like 1 but daily_irr is added
   if 5 then like 1 but only beween DOY start and end 
   if 10 then like 1 but only lower soil layer is rehydrated
</t>
        </r>
        <r>
          <rPr>
            <sz val="10"/>
            <color rgb="FF000000"/>
            <rFont val="Tahoma"/>
            <family val="2"/>
            <charset val="1"/>
          </rPr>
          <t xml:space="preserve">if 2 then automatic daily_irrigation of Xmm
</t>
        </r>
        <r>
          <rPr>
            <sz val="10"/>
            <color rgb="FF000000"/>
            <rFont val="Calibri"/>
            <family val="2"/>
            <charset val="1"/>
          </rPr>
          <t xml:space="preserve">   if 6 then like 2 but only at midnight
   if 3 then like 2 but only beween DOY start and end
      if 7 then like 3 but only at midnight
   if 8 then like 2 but only each N days. N=RWC_irr
   if 9 like 8 but fully resaturated
if 11 irrigation based on previous day change in soil RWC.  RWC_Irr being the fraction of irrigation  Irr=ETR_day * RWC_Irr  (0 to 1). At midnight </t>
        </r>
      </text>
    </comment>
    <comment ref="CG31" authorId="0">
      <text>
        <r>
          <rPr>
            <sz val="12"/>
            <color rgb="FF000000"/>
            <rFont val="Calibri"/>
            <family val="2"/>
            <charset val="1"/>
          </rPr>
          <t xml:space="preserve">Hervé Cochard:
</t>
        </r>
        <r>
          <rPr>
            <sz val="10"/>
            <color rgb="FF000000"/>
            <rFont val="Calibri"/>
            <family val="2"/>
            <charset val="1"/>
          </rPr>
          <t xml:space="preserve">0= no rehydration
1x= rehydration to full soil water content and let dehydrate anew
2x= rehydration of top soil layer with daily irrigation
3x= like 1x but keep soil at field capacity
</t>
        </r>
        <r>
          <rPr>
            <sz val="10"/>
            <color rgb="FF000000"/>
            <rFont val="Tahoma"/>
            <family val="2"/>
            <charset val="1"/>
          </rPr>
          <t xml:space="preserve">
Rehydrate the soil when PLC is &gt; than PLC_Rehyd
if x=1 then based on PLC_leaf
if x=2 based on PLC_branch
if x=3 based on PLC_trunk
if x=4 based on PLC_roots
if x=5 based on  PLC_plant
if x=6 based on PLC_plant-soil</t>
        </r>
      </text>
    </comment>
    <comment ref="CG33" authorId="0">
      <text>
        <r>
          <rPr>
            <sz val="12"/>
            <color rgb="FF000000"/>
            <rFont val="Calibri"/>
            <family val="2"/>
            <charset val="1"/>
          </rPr>
          <t xml:space="preserve">Hervé Cochard:
</t>
        </r>
        <r>
          <rPr>
            <sz val="10"/>
            <color rgb="FF000000"/>
            <rFont val="Tahoma"/>
            <family val="2"/>
            <charset val="1"/>
          </rPr>
          <t xml:space="preserve">0= no rehydration
1x= rehydration to full soil water content 
2x= rehydration of top soil layer with daily irrigation</t>
        </r>
      </text>
    </comment>
    <comment ref="CI31" authorId="0">
      <text>
        <r>
          <rPr>
            <sz val="12"/>
            <color rgb="FF000000"/>
            <rFont val="Calibri"/>
            <family val="2"/>
            <charset val="1"/>
          </rPr>
          <t xml:space="preserve">If Fractal then use the "Fractal" sheets to define tree architecture
</t>
        </r>
        <r>
          <rPr>
            <sz val="11"/>
            <color rgb="FF000000"/>
            <rFont val="+mn-lt"/>
            <family val="0"/>
            <charset val="1"/>
          </rPr>
          <t xml:space="preserve">0=manual (values_FR are used)
1=shoot morphometric (computed with shoot morphology)  root fractal
2=root &amp; shoot fractal; 
3=from allometric sheet</t>
        </r>
      </text>
    </comment>
    <comment ref="CQ32" authorId="0">
      <text>
        <r>
          <rPr>
            <sz val="12"/>
            <color rgb="FF000000"/>
            <rFont val="Calibri"/>
            <family val="2"/>
            <charset val="1"/>
          </rPr>
          <t xml:space="preserve">Hervé Cochard:
</t>
        </r>
        <r>
          <rPr>
            <sz val="10"/>
            <color rgb="FF000000"/>
            <rFont val="Tahoma"/>
            <family val="2"/>
            <charset val="1"/>
          </rPr>
          <t xml:space="preserve">a multiplying factor for branch properties.
Defaul is 1/3 1/3 1/3
1/0/0 = only one top branch
</t>
        </r>
        <r>
          <rPr>
            <sz val="10"/>
            <color rgb="FF000000"/>
            <rFont val="Calibri"/>
            <family val="2"/>
            <charset val="1"/>
          </rPr>
          <t xml:space="preserve">K_branch_Symp1=K_branch_Symp * branch_upper;
branch _Area1= branch _Area * branch _upper;
Q_branch _Symp01= Q_branch _Symp0* branch _upper;
Q_branch _Apo01= Q_branch _Apo0* branch _upper;
K_branch _Apo01=K_branch _Apo0 * branch _upper;
K_s=1000*K_sat*2*3.1416*Length_Root*3*Root_upper/Surface_Soil/log(1/pow(3.1416*9*Length_Root*Root_upper/Volume_soil,0.5)/(Diam_Root/2))*Fluidity_soil;
</t>
        </r>
      </text>
    </comment>
    <comment ref="CT32" authorId="0">
      <text>
        <r>
          <rPr>
            <sz val="12"/>
            <color rgb="FF000000"/>
            <rFont val="Calibri"/>
            <family val="2"/>
            <charset val="1"/>
          </rPr>
          <t xml:space="preserve">Hervé Cochard:
</t>
        </r>
        <r>
          <rPr>
            <sz val="10"/>
            <color rgb="FF000000"/>
            <rFont val="Tahoma"/>
            <family val="2"/>
            <charset val="1"/>
          </rPr>
          <t xml:space="preserve">Not used for a fractal tree</t>
        </r>
      </text>
    </comment>
    <comment ref="CU32" authorId="0">
      <text>
        <r>
          <rPr>
            <sz val="12"/>
            <color rgb="FF000000"/>
            <rFont val="Calibri"/>
            <family val="2"/>
            <charset val="1"/>
          </rPr>
          <t xml:space="preserve">Hervé Cochard:
</t>
        </r>
        <r>
          <rPr>
            <sz val="10"/>
            <color rgb="FF000000"/>
            <rFont val="Tahoma"/>
            <family val="2"/>
            <charset val="1"/>
          </rPr>
          <t xml:space="preserve">this is the length of one branch or the crown height for fractal trees</t>
        </r>
      </text>
    </comment>
    <comment ref="CV32" authorId="0">
      <text>
        <r>
          <rPr>
            <sz val="12"/>
            <color rgb="FF000000"/>
            <rFont val="Calibri"/>
            <family val="2"/>
            <charset val="1"/>
          </rPr>
          <t xml:space="preserve">Hervé Cochard:
</t>
        </r>
        <r>
          <rPr>
            <sz val="10"/>
            <color rgb="FF000000"/>
            <rFont val="Tahoma"/>
            <family val="2"/>
            <charset val="1"/>
          </rPr>
          <t xml:space="preserve">this is the ratio of the water volume in the apoplasm to the total branch volume (assume no heartwood). </t>
        </r>
      </text>
    </comment>
    <comment ref="CW32" authorId="0">
      <text>
        <r>
          <rPr>
            <sz val="12"/>
            <color rgb="FF000000"/>
            <rFont val="Calibri"/>
            <family val="2"/>
            <charset val="1"/>
          </rPr>
          <t xml:space="preserve">Hervé COCHARD:
</t>
        </r>
        <r>
          <rPr>
            <sz val="10"/>
            <color rgb="FF000000"/>
            <rFont val="Calibri"/>
            <family val="2"/>
            <charset val="1"/>
          </rPr>
          <t xml:space="preserve">this is the ratio of the water volume in the symplasm to the total branch volume (assume no heartwood). 
apoplasm volume + symplasm volume + intercellular air volume = branch volume
</t>
        </r>
      </text>
    </comment>
    <comment ref="CX32" authorId="0">
      <text>
        <r>
          <rPr>
            <sz val="12"/>
            <color rgb="FF000000"/>
            <rFont val="Calibri"/>
            <family val="2"/>
            <charset val="1"/>
          </rPr>
          <t xml:space="preserve">Hervé Cochard:
</t>
        </r>
        <r>
          <rPr>
            <sz val="10"/>
            <color rgb="FF000000"/>
            <rFont val="Tahoma"/>
            <family val="2"/>
            <charset val="1"/>
          </rPr>
          <t xml:space="preserve">For a fractal tree this is the diameter of a current-year shoot
For non fractal, the mean branch diameter</t>
        </r>
      </text>
    </comment>
    <comment ref="CY32" authorId="0">
      <text>
        <r>
          <rPr>
            <sz val="12"/>
            <color rgb="FF000000"/>
            <rFont val="Calibri"/>
            <family val="2"/>
            <charset val="1"/>
          </rPr>
          <t xml:space="preserve">Hervé COCHARD:
</t>
        </r>
        <r>
          <rPr>
            <sz val="10"/>
            <color rgb="FF000000"/>
            <rFont val="Calibri"/>
            <family val="2"/>
            <charset val="1"/>
          </rPr>
          <t xml:space="preserve">These are the areas (m2) of the different organs 
Ususally computed from the tree morphometry, but you can enter those manually as well
</t>
        </r>
      </text>
    </comment>
    <comment ref="CZ32" authorId="0">
      <text>
        <r>
          <rPr>
            <sz val="12"/>
            <color rgb="FF000000"/>
            <rFont val="Calibri"/>
            <family val="2"/>
            <charset val="1"/>
          </rPr>
          <t xml:space="preserve">Hervé COCHARD:
</t>
        </r>
        <r>
          <rPr>
            <sz val="10"/>
            <color rgb="FF000000"/>
            <rFont val="Tahoma"/>
            <family val="2"/>
            <charset val="1"/>
          </rPr>
          <t xml:space="preserve">These are the maximal water contents (Kg) of the different organs and compartments
Ususally computed from the tree morphometry, but you can enter those manually as well</t>
        </r>
      </text>
    </comment>
    <comment ref="DB32" authorId="0">
      <text>
        <r>
          <rPr>
            <sz val="12"/>
            <color rgb="FF000000"/>
            <rFont val="Calibri"/>
            <family val="2"/>
            <charset val="1"/>
          </rPr>
          <t xml:space="preserve">Hervé COCHARD:
</t>
        </r>
        <r>
          <rPr>
            <sz val="10"/>
            <color rgb="FF000000"/>
            <rFont val="Tahoma"/>
            <family val="2"/>
            <charset val="1"/>
          </rPr>
          <t xml:space="preserve">use only for specific branch water content</t>
        </r>
      </text>
    </comment>
    <comment ref="DD32" authorId="0">
      <text>
        <r>
          <rPr>
            <sz val="12"/>
            <color rgb="FF000000"/>
            <rFont val="Calibri"/>
            <family val="2"/>
            <charset val="1"/>
          </rPr>
          <t xml:space="preserve">Hervé COCHARD:
</t>
        </r>
        <r>
          <rPr>
            <sz val="10"/>
            <color rgb="FF000000"/>
            <rFont val="Tahoma"/>
            <family val="2"/>
            <charset val="1"/>
          </rPr>
          <t xml:space="preserve">trunck diameter at breast height in meters</t>
        </r>
      </text>
    </comment>
    <comment ref="DE32" authorId="0">
      <text>
        <r>
          <rPr>
            <sz val="12"/>
            <color rgb="FF000000"/>
            <rFont val="Calibri"/>
            <family val="2"/>
            <charset val="1"/>
          </rPr>
          <t xml:space="preserve">Hervé COCHARD:
</t>
        </r>
        <r>
          <rPr>
            <sz val="10"/>
            <color rgb="FF000000"/>
            <rFont val="Tahoma"/>
            <family val="2"/>
            <charset val="1"/>
          </rPr>
          <t xml:space="preserve">% of apoplasmic xater volume in the sapwood volume</t>
        </r>
      </text>
    </comment>
    <comment ref="DF32" authorId="0">
      <text>
        <r>
          <rPr>
            <sz val="12"/>
            <color rgb="FF000000"/>
            <rFont val="Calibri"/>
            <family val="2"/>
            <charset val="1"/>
          </rPr>
          <t xml:space="preserve">Hervé COCHARD:
</t>
        </r>
        <r>
          <rPr>
            <sz val="10"/>
            <color rgb="FF000000"/>
            <rFont val="Calibri"/>
            <family val="2"/>
            <charset val="1"/>
          </rPr>
          <t xml:space="preserve">% of symplasmic xater volume in the sapwood volume
</t>
        </r>
      </text>
    </comment>
    <comment ref="DG32" authorId="0">
      <text>
        <r>
          <rPr>
            <sz val="12"/>
            <color rgb="FF000000"/>
            <rFont val="Calibri"/>
            <family val="2"/>
            <charset val="1"/>
          </rPr>
          <t xml:space="preserve">Hervé Cochard:
</t>
        </r>
        <r>
          <rPr>
            <sz val="10"/>
            <color rgb="FF000000"/>
            <rFont val="Tahoma"/>
            <family val="2"/>
            <charset val="1"/>
          </rPr>
          <t xml:space="preserve">sapwood thickness at dbh is dbh/2*fraction</t>
        </r>
      </text>
    </comment>
    <comment ref="DK31" authorId="0">
      <text>
        <r>
          <rPr>
            <sz val="12"/>
            <color rgb="FF000000"/>
            <rFont val="Calibri"/>
            <family val="2"/>
            <charset val="1"/>
          </rPr>
          <t xml:space="preserve">Hervé Cochard:
</t>
        </r>
        <r>
          <rPr>
            <sz val="10"/>
            <color rgb="FF000000"/>
            <rFont val="Tahoma"/>
            <family val="2"/>
            <charset val="1"/>
          </rPr>
          <t xml:space="preserve">Roots are always fractal</t>
        </r>
      </text>
    </comment>
    <comment ref="DK32" authorId="0">
      <text>
        <r>
          <rPr>
            <sz val="12"/>
            <color rgb="FF000000"/>
            <rFont val="Calibri"/>
            <family val="2"/>
            <charset val="1"/>
          </rPr>
          <t xml:space="preserve">Hervé COCHARD:
</t>
        </r>
        <r>
          <rPr>
            <sz val="10"/>
            <color rgb="FF000000"/>
            <rFont val="Calibri"/>
            <family val="2"/>
            <charset val="1"/>
          </rPr>
          <t xml:space="preserve">This is the Total length of the fine root system. Used for the soil-root conductance. Value for 1 root
</t>
        </r>
      </text>
    </comment>
    <comment ref="DL32" authorId="0">
      <text>
        <r>
          <rPr>
            <sz val="12"/>
            <color rgb="FF000000"/>
            <rFont val="Calibri"/>
            <family val="2"/>
            <charset val="1"/>
          </rPr>
          <t xml:space="preserve">Hervé Cochard:
</t>
        </r>
        <r>
          <rPr>
            <sz val="10"/>
            <color rgb="FF000000"/>
            <rFont val="Tahoma"/>
            <family val="2"/>
            <charset val="1"/>
          </rPr>
          <t xml:space="preserve">this is the diameter of the terminal fine roots. </t>
        </r>
        <r>
          <rPr>
            <sz val="10"/>
            <color rgb="FF000000"/>
            <rFont val="Calibri"/>
            <family val="2"/>
            <charset val="1"/>
          </rPr>
          <t xml:space="preserve">Used for Ksoil-root and to ocmpute fine root length</t>
        </r>
      </text>
    </comment>
    <comment ref="DM33" authorId="0">
      <text>
        <r>
          <rPr>
            <sz val="12"/>
            <color rgb="FF000000"/>
            <rFont val="Calibri"/>
            <family val="2"/>
            <charset val="1"/>
          </rPr>
          <t xml:space="preserve">Hervé Cochard:
</t>
        </r>
        <r>
          <rPr>
            <sz val="10"/>
            <color rgb="FF000000"/>
            <rFont val="Tahoma"/>
            <family val="2"/>
            <charset val="1"/>
          </rPr>
          <t xml:space="preserve">total  area of one root.  Use to compute bark transpiration</t>
        </r>
      </text>
    </comment>
    <comment ref="DN33" authorId="0">
      <text>
        <r>
          <rPr>
            <sz val="12"/>
            <color rgb="FF000000"/>
            <rFont val="Calibri"/>
            <family val="2"/>
            <charset val="1"/>
          </rPr>
          <t xml:space="preserve">Hervé Cochard:
</t>
        </r>
        <r>
          <rPr>
            <sz val="10"/>
            <color rgb="FF000000"/>
            <rFont val="Tahoma"/>
            <family val="2"/>
            <charset val="1"/>
          </rPr>
          <t xml:space="preserve">total fine root area to compute absorption</t>
        </r>
      </text>
    </comment>
    <comment ref="DO33" authorId="0">
      <text>
        <r>
          <rPr>
            <sz val="12"/>
            <color rgb="FF000000"/>
            <rFont val="Calibri"/>
            <family val="2"/>
            <charset val="1"/>
          </rPr>
          <t xml:space="preserve">Hervé COCHARD:
</t>
        </r>
        <r>
          <rPr>
            <sz val="10"/>
            <color rgb="FF000000"/>
            <rFont val="Calibri"/>
            <family val="2"/>
            <charset val="1"/>
          </rPr>
          <t xml:space="preserve">This is the Total length of the root system.  Value for 1 root
No used.</t>
        </r>
      </text>
    </comment>
    <comment ref="DP33" authorId="0">
      <text>
        <r>
          <rPr>
            <sz val="12"/>
            <color rgb="FF000000"/>
            <rFont val="Calibri"/>
            <family val="2"/>
            <charset val="1"/>
          </rPr>
          <t xml:space="preserve">Hervé COCHARD:
</t>
        </r>
        <r>
          <rPr>
            <sz val="10"/>
            <color rgb="FF000000"/>
            <rFont val="Tahoma"/>
            <family val="2"/>
            <charset val="1"/>
          </rPr>
          <t xml:space="preserve">Average root diameter. 
Not used</t>
        </r>
      </text>
    </comment>
    <comment ref="DQ33" authorId="0">
      <text>
        <r>
          <rPr>
            <sz val="12"/>
            <color rgb="FF000000"/>
            <rFont val="Calibri"/>
            <family val="2"/>
            <charset val="1"/>
          </rPr>
          <t xml:space="preserve">Hervé COCHARD:
</t>
        </r>
        <r>
          <rPr>
            <sz val="10"/>
            <color rgb="FF000000"/>
            <rFont val="Tahoma"/>
            <family val="2"/>
            <charset val="1"/>
          </rPr>
          <t xml:space="preserve">this is the vaue for one root only, not for the whole root system </t>
        </r>
      </text>
    </comment>
    <comment ref="DR33" authorId="0">
      <text>
        <r>
          <rPr>
            <sz val="12"/>
            <color rgb="FF000000"/>
            <rFont val="Calibri"/>
            <family val="2"/>
            <charset val="1"/>
          </rPr>
          <t xml:space="preserve">Hervé COCHARD:
</t>
        </r>
        <r>
          <rPr>
            <sz val="10"/>
            <color rgb="FF000000"/>
            <rFont val="Calibri"/>
            <family val="2"/>
            <charset val="1"/>
          </rPr>
          <t xml:space="preserve">this is the vaue for one root only, not for the whole root system 
</t>
        </r>
      </text>
    </comment>
    <comment ref="DU32" authorId="0">
      <text>
        <r>
          <rPr>
            <sz val="12"/>
            <color rgb="FF000000"/>
            <rFont val="Calibri"/>
            <family val="2"/>
            <charset val="1"/>
          </rPr>
          <t xml:space="preserve">Hervé COCHARD:
</t>
        </r>
        <r>
          <rPr>
            <sz val="10"/>
            <color rgb="FF000000"/>
            <rFont val="Tahoma"/>
            <family val="2"/>
            <charset val="1"/>
          </rPr>
          <t xml:space="preserve">the dimension in the direction of the wind; typically the width of the leaf. Use to compute the leaf boundary layer conductance</t>
        </r>
      </text>
    </comment>
    <comment ref="DV32" authorId="0">
      <text>
        <r>
          <rPr>
            <sz val="12"/>
            <color rgb="FF000000"/>
            <rFont val="Calibri"/>
            <family val="2"/>
            <charset val="1"/>
          </rPr>
          <t xml:space="preserve">Hervé COCHARD:
</t>
        </r>
        <r>
          <rPr>
            <sz val="10"/>
            <color rgb="FF000000"/>
            <rFont val="Tahoma"/>
            <family val="2"/>
            <charset val="1"/>
          </rPr>
          <t xml:space="preserve">will determine the fraction of light intercepted by the leaf for the photosynthesis and leaf temperature
0° is horizontal
90° is vertical</t>
        </r>
      </text>
    </comment>
    <comment ref="DY33" authorId="0">
      <text>
        <r>
          <rPr>
            <sz val="12"/>
            <color rgb="FF000000"/>
            <rFont val="Calibri"/>
            <family val="2"/>
            <charset val="1"/>
          </rPr>
          <t xml:space="preserve">Hervé Cochard:
</t>
        </r>
        <r>
          <rPr>
            <sz val="10"/>
            <color rgb="FF000000"/>
            <rFont val="Tahoma"/>
            <family val="2"/>
            <charset val="1"/>
          </rPr>
          <t xml:space="preserve">if 0 the Leaf area and root area constant to max
if =1 then LA varies between LAmin and LAmax;  Root_area constant to max
	LA_day1=LA_para1  burburst
</t>
        </r>
        <r>
          <rPr>
            <sz val="10"/>
            <color rgb="FF000000"/>
            <rFont val="Calibri"/>
            <family val="2"/>
            <charset val="1"/>
          </rPr>
          <t xml:space="preserve">	LA_day2=LA_para2 LA is max
	LA_day3=LA_para3 LA start to decline
	LA_day4=LA_para4 LA is min
</t>
        </r>
        <r>
          <rPr>
            <sz val="10"/>
            <color rgb="FF000000"/>
            <rFont val="Tahoma"/>
            <family val="2"/>
            <charset val="1"/>
          </rPr>
          <t xml:space="preserve">if =2 like 1 but for the root system with root_upper etc proportionnal to LA; Leaf area constant to max
if =3  then leaf area and root area both variabile
if=4 like 3 but LA and Root_area = 0 after LA_day4
if =5 then phenology computed with a thermal model. 
	T_base= LA_para1 minimum air T for dormancy °C
	S_GDD= LA_para2 Total T sum for budburst °
</t>
        </r>
        <r>
          <rPr>
            <sz val="10"/>
            <color rgb="FF000000"/>
            <rFont val="Calibri"/>
            <family val="2"/>
            <charset val="1"/>
          </rPr>
          <t xml:space="preserve">	</t>
        </r>
        <r>
          <rPr>
            <sz val="12"/>
            <color rgb="FF000000"/>
            <rFont val="Calibri"/>
            <family val="2"/>
            <charset val="1"/>
          </rPr>
          <t xml:space="preserve">LGE= LA_para3 leaf growth effeciency in %m2/°C 
</t>
        </r>
        <r>
          <rPr>
            <sz val="10"/>
            <color rgb="FF000000"/>
            <rFont val="Tahoma"/>
            <family val="2"/>
            <charset val="1"/>
          </rPr>
          <t xml:space="preserve">	LA_day3=LA_para4 scenescene onset DOI (assume 40 days to zero) (oak)
	if LA_para4=0 then scenescence 10 days after LA_max and decline in 50 days (wheat)
if &gt;10  acclimatation from year to year; works only in continuuous mode ! not implemented yet :
if 12 then LA acclimate with PLC_Branch
if 13 then LA acclimate with PLC_Leaf</t>
        </r>
      </text>
    </comment>
    <comment ref="DZ33" authorId="0">
      <text>
        <r>
          <rPr>
            <sz val="12"/>
            <color rgb="FF000000"/>
            <rFont val="Calibri"/>
            <family val="2"/>
            <charset val="1"/>
          </rPr>
          <t xml:space="preserve">Hervé COCHARD:
</t>
        </r>
        <r>
          <rPr>
            <sz val="10"/>
            <color rgb="FF000000"/>
            <rFont val="Tahoma"/>
            <family val="2"/>
            <charset val="1"/>
          </rPr>
          <t xml:space="preserve">Maximum plant leaf area, m2</t>
        </r>
      </text>
    </comment>
    <comment ref="EB32" authorId="0">
      <text>
        <r>
          <rPr>
            <sz val="12"/>
            <color rgb="FF000000"/>
            <rFont val="Calibri"/>
            <family val="2"/>
            <charset val="1"/>
          </rPr>
          <t xml:space="preserve">Hervé Cochard:
</t>
        </r>
        <r>
          <rPr>
            <sz val="10"/>
            <color rgb="FF000000"/>
            <rFont val="Tahoma"/>
            <family val="2"/>
            <charset val="1"/>
          </rPr>
          <t xml:space="preserve">Describe how LA varies during the year. 
LA mininum till day1, increase to max at day2, at max till day3, decrease to LA min at day 4</t>
        </r>
      </text>
    </comment>
    <comment ref="EF32" authorId="0">
      <text>
        <r>
          <rPr>
            <sz val="12"/>
            <color rgb="FF000000"/>
            <rFont val="Calibri"/>
            <family val="2"/>
            <charset val="1"/>
          </rPr>
          <t xml:space="preserve">Hervé Cochard:
</t>
        </r>
        <r>
          <rPr>
            <sz val="11"/>
            <color rgb="FF000000"/>
            <rFont val="+mn-lt"/>
            <family val="0"/>
            <charset val="1"/>
          </rPr>
          <t xml:space="preserve">mortality determined by Pleaf_sym et Proot_sym
0= no leaf or root fall
1= leaf fall determined by Pleaf_sym
PLF_i=100/(1+exp(Slope_Leaf_Fall/25*(P_Leaf_Symp-P50_Leaf_Fall)));
2=  leaf fall determined by Pleaf_apo
PLF_i=100/(1+exp(Slope_Leaf_Fall/25*(P_Leaf_Apo-P50_Leaf_Fall)));
3= root fall determined by Proot_sym</t>
        </r>
      </text>
    </comment>
    <comment ref="EI32" authorId="0">
      <text>
        <r>
          <rPr>
            <sz val="12"/>
            <color rgb="FF000000"/>
            <rFont val="Calibri"/>
            <family val="2"/>
            <charset val="1"/>
          </rPr>
          <t xml:space="preserve">Hervé COCHARD:
</t>
        </r>
        <r>
          <rPr>
            <sz val="10"/>
            <color rgb="FF000000"/>
            <rFont val="Tahoma"/>
            <family val="2"/>
            <charset val="1"/>
          </rPr>
          <t xml:space="preserve">leaf water content par unit area;
use to compute Q_leaf</t>
        </r>
      </text>
    </comment>
    <comment ref="EJ32" authorId="0">
      <text>
        <r>
          <rPr>
            <sz val="12"/>
            <color rgb="FF000000"/>
            <rFont val="Calibri"/>
            <family val="2"/>
            <charset val="1"/>
          </rPr>
          <t xml:space="preserve">Hervé COCHARD:
</t>
        </r>
        <r>
          <rPr>
            <sz val="10"/>
            <color rgb="FF000000"/>
            <rFont val="Tahoma"/>
            <family val="2"/>
            <charset val="1"/>
          </rPr>
          <t xml:space="preserve">% of Q_leaf in the apoplasme. The rest is in the symplasm</t>
        </r>
      </text>
    </comment>
    <comment ref="EK32" authorId="0">
      <text>
        <r>
          <rPr>
            <sz val="12"/>
            <color rgb="FF000000"/>
            <rFont val="Calibri"/>
            <family val="2"/>
            <charset val="1"/>
          </rPr>
          <t xml:space="preserve">Hervé COCHARD:
</t>
        </r>
        <r>
          <rPr>
            <sz val="10"/>
            <color rgb="FF000000"/>
            <rFont val="Tahoma"/>
            <family val="2"/>
            <charset val="1"/>
          </rPr>
          <t xml:space="preserve">Leaf mass par area; use only to compute the Specific leaf water content</t>
        </r>
      </text>
    </comment>
    <comment ref="EL32" authorId="0">
      <text>
        <r>
          <rPr>
            <sz val="12"/>
            <color rgb="FF000000"/>
            <rFont val="Calibri"/>
            <family val="2"/>
            <charset val="1"/>
          </rPr>
          <t xml:space="preserve">Hervé Cochard:
</t>
        </r>
        <r>
          <rPr>
            <sz val="10"/>
            <color rgb="FF000000"/>
            <rFont val="Tahoma"/>
            <family val="2"/>
            <charset val="1"/>
          </rPr>
          <t xml:space="preserve">Limit transpiration to ETP-Penman*Coeff</t>
        </r>
      </text>
    </comment>
    <comment ref="EM33" authorId="0">
      <text>
        <r>
          <rPr>
            <sz val="12"/>
            <color rgb="FF000000"/>
            <rFont val="Calibri"/>
            <family val="2"/>
            <charset val="1"/>
          </rPr>
          <t xml:space="preserve">Hervé Cochard:
</t>
        </r>
        <r>
          <rPr>
            <sz val="10"/>
            <color rgb="FF000000"/>
            <rFont val="Tahoma"/>
            <family val="2"/>
            <charset val="1"/>
          </rPr>
          <t xml:space="preserve">if =0 then computed with LAI following Granier et al 1999 equation</t>
        </r>
      </text>
    </comment>
    <comment ref="EN32" authorId="0">
      <text>
        <r>
          <rPr>
            <sz val="12"/>
            <color rgb="FF000000"/>
            <rFont val="Calibri"/>
            <family val="2"/>
            <charset val="1"/>
          </rPr>
          <t xml:space="preserve">Hervé Cochard:
</t>
        </r>
        <r>
          <rPr>
            <sz val="10"/>
            <color rgb="FF000000"/>
            <rFont val="Tahoma"/>
            <family val="2"/>
            <charset val="1"/>
          </rPr>
          <t xml:space="preserve">Crown boundary layer conductance to H20</t>
        </r>
      </text>
    </comment>
    <comment ref="EO33" authorId="0">
      <text>
        <r>
          <rPr>
            <sz val="12"/>
            <color rgb="FF000000"/>
            <rFont val="Calibri"/>
            <family val="2"/>
            <charset val="1"/>
          </rPr>
          <t xml:space="preserve">Dynamics of stomatal opening and closure.
</t>
        </r>
        <r>
          <rPr>
            <sz val="10"/>
            <color rgb="FF000000"/>
            <rFont val="Tahoma"/>
            <family val="2"/>
            <charset val="1"/>
          </rPr>
          <t xml:space="preserve">cf Oliver Brendel
0= stomatal response is intantaneous
1= stomatal response is dynamic
</t>
        </r>
        <r>
          <rPr>
            <sz val="10"/>
            <color rgb="FFFF0000"/>
            <rFont val="Tahoma"/>
            <family val="2"/>
            <charset val="1"/>
          </rPr>
          <t xml:space="preserve">Regul_gs_para3 </t>
        </r>
        <r>
          <rPr>
            <sz val="10"/>
            <color rgb="FF000000"/>
            <rFont val="Tahoma"/>
            <family val="2"/>
            <charset val="1"/>
          </rPr>
          <t xml:space="preserve">is the time constant for stomatal opening response in secondes typical value is 300 sec
</t>
        </r>
        <r>
          <rPr>
            <sz val="10"/>
            <color rgb="FFFF0000"/>
            <rFont val="Calibri"/>
            <family val="2"/>
            <charset val="1"/>
          </rPr>
          <t xml:space="preserve">Regul_gs_para4 </t>
        </r>
        <r>
          <rPr>
            <sz val="10"/>
            <color rgb="FF000000"/>
            <rFont val="Calibri"/>
            <family val="2"/>
            <charset val="1"/>
          </rPr>
          <t xml:space="preserve">is the time constant for stomatal closure response in secondes typical value is 300 sec
</t>
        </r>
      </text>
    </comment>
    <comment ref="EP5" authorId="0">
      <text>
        <r>
          <rPr>
            <sz val="12"/>
            <color rgb="FF000000"/>
            <rFont val="Calibri"/>
            <family val="2"/>
            <charset val="1"/>
          </rPr>
          <t xml:space="preserve">Hervé Cochard:
</t>
        </r>
        <r>
          <rPr>
            <b val="true"/>
            <sz val="10"/>
            <color rgb="FF000000"/>
            <rFont val="Calibri"/>
            <family val="2"/>
            <charset val="1"/>
          </rPr>
          <t xml:space="preserve">Define the way gs is regulated during water stress
</t>
        </r>
        <r>
          <rPr>
            <sz val="10"/>
            <color rgb="FF000000"/>
            <rFont val="Calibri"/>
            <family val="2"/>
            <charset val="1"/>
          </rPr>
          <t xml:space="preserve">0= not regulated, but still regulated by PAR if gs_constant=0
1=gs turgor at midday 
2=gs turgor_max
3= E at Px_branch
4= E at PX_leaf
5= E at P_leaf
6= E at PLCx
8= gs between Pgs_10 and Pgs_90 with P_soil
9= gs between Pgs_10 and Pgs_90 with P_leaf</t>
        </r>
      </text>
    </comment>
    <comment ref="EP33" authorId="0">
      <text>
        <r>
          <rPr>
            <sz val="12"/>
            <color rgb="FF000000"/>
            <rFont val="Calibri"/>
            <family val="2"/>
            <charset val="1"/>
          </rPr>
          <t xml:space="preserve">0= gs not regulated
</t>
        </r>
        <r>
          <rPr>
            <sz val="10"/>
            <color rgb="FF000000"/>
            <rFont val="Calibri"/>
            <family val="2"/>
            <charset val="1"/>
          </rPr>
          <t xml:space="preserve">1= gs respond to  midday Turgor
2= gs respond to max turgor*para1 (0.5 is a typical value for para 1)
   15= like 2 but with a sigmoid fit between P_leaf_symp at 0.12 *max_turgor*para1 and 0.88*max_turgor*para1
3= E respond to para2 = P_branch_apo; gamma attenuation factor is para1 (0.8 is typical)
4= E respond to  para2= P_leaf_apo; gamma attenuation factor is para1 (0.8 is typical)
5= E respond to para2=P_leaf_evap; gamma attenuation factor is para1 (0.8 is typical)
6= E respond to P_leaf_apo set to para2 = Leaf_PLC; gamma attenuation factor is para1 (0.8 is typical)
8= gs varies linearly with Pgs_12 and Pgs_88 with P_soil
9=  gs varies linearly with Pgs_12 and Pgs_88 with P_leaf_symp
    10= like 9 but with a sigmoid fit between Pgs_12 and Pgs_88 with P_leaf_symp
    12= like 10 but with a sigmoid fit between Pgs_12 and Pgs_88 with P_leaf_apo
    13= like 10 but with a sigmoid fit between Pgs_12 and Pgs_88 with P_branch_apo
    14= like 10 but with a linear fit between Pgs_12 and Pgs_88 with P_branch_apo
11= a power function of gs=gs_max/100*para1*(-Pstem)^para2
16= an exponential function of gs=exp(P_branch_apo*para1) for Vitis/Uri
17- gs decreases wit soil REW_wp below a threshold at Reguls_ge_para1
18- gs regulated by Pgs_12 and Pgs_88 with a linear fit to P_Root_Apo
19- gs regulated by  P_Leaf_symp between Regul_gs_para1 and Regul_gs_para2 (=Ptlp)</t>
        </r>
      </text>
    </comment>
    <comment ref="EQ33" authorId="0">
      <text>
        <r>
          <rPr>
            <sz val="12"/>
            <color rgb="FF000000"/>
            <rFont val="Calibri"/>
            <family val="2"/>
            <charset val="1"/>
          </rPr>
          <t xml:space="preserve">Hervé Cochard:
</t>
        </r>
        <r>
          <rPr>
            <sz val="10"/>
            <color rgb="FF000000"/>
            <rFont val="Calibri"/>
            <family val="2"/>
            <charset val="1"/>
          </rPr>
          <t xml:space="preserve">This is the threshold PLC for stomatal closure when Regul_gs=6</t>
        </r>
      </text>
    </comment>
    <comment ref="ER33" authorId="0">
      <text>
        <r>
          <rPr>
            <sz val="12"/>
            <color rgb="FF000000"/>
            <rFont val="Calibri"/>
            <family val="2"/>
            <charset val="1"/>
          </rPr>
          <t xml:space="preserve">Hervé Cochard:
</t>
        </r>
        <r>
          <rPr>
            <sz val="10"/>
            <color rgb="FF000000"/>
            <rFont val="Calibri"/>
            <family val="2"/>
            <charset val="1"/>
          </rPr>
          <t xml:space="preserve">This is the threshold PLC for stomatal closure when Regul_gs=6</t>
        </r>
      </text>
    </comment>
    <comment ref="ES33" authorId="0">
      <text>
        <r>
          <rPr>
            <sz val="12"/>
            <color rgb="FF000000"/>
            <rFont val="Calibri"/>
            <family val="2"/>
            <charset val="1"/>
          </rPr>
          <t xml:space="preserve">Hervé Cochard:
</t>
        </r>
        <r>
          <rPr>
            <sz val="10"/>
            <color rgb="FF000000"/>
            <rFont val="Calibri"/>
            <family val="2"/>
            <charset val="1"/>
          </rPr>
          <t xml:space="preserve">This is the threshold PLC for stomatal closure when Regul_gs=6</t>
        </r>
      </text>
    </comment>
    <comment ref="ET33" authorId="0">
      <text>
        <r>
          <rPr>
            <sz val="12"/>
            <color rgb="FF000000"/>
            <rFont val="Calibri"/>
            <family val="2"/>
            <charset val="1"/>
          </rPr>
          <t xml:space="preserve">Hervé Cochard:
</t>
        </r>
        <r>
          <rPr>
            <sz val="10"/>
            <color rgb="FF000000"/>
            <rFont val="Calibri"/>
            <family val="2"/>
            <charset val="1"/>
          </rPr>
          <t xml:space="preserve">This is the threshold PLC for stomatal closure when Regul_gs=6</t>
        </r>
      </text>
    </comment>
    <comment ref="EU33" authorId="0">
      <text>
        <r>
          <rPr>
            <sz val="12"/>
            <color rgb="FF000000"/>
            <rFont val="Calibri"/>
            <family val="2"/>
            <charset val="1"/>
          </rPr>
          <t xml:space="preserve">Hervé COCHARD:
</t>
        </r>
        <r>
          <rPr>
            <sz val="10"/>
            <color rgb="FF000000"/>
            <rFont val="Tahoma"/>
            <family val="2"/>
            <charset val="1"/>
          </rPr>
          <t xml:space="preserve">Maximum possible stomatal conductance; if gs_max respond to Ca then it should be the value at 300ppm</t>
        </r>
      </text>
    </comment>
    <comment ref="EX33" authorId="0">
      <text>
        <r>
          <rPr>
            <sz val="12"/>
            <color rgb="FF000000"/>
            <rFont val="Calibri"/>
            <family val="2"/>
            <charset val="1"/>
          </rPr>
          <t xml:space="preserve">Hervé COCHARD:
</t>
        </r>
        <r>
          <rPr>
            <sz val="10"/>
            <color rgb="FF000000"/>
            <rFont val="Tahoma"/>
            <family val="2"/>
            <charset val="1"/>
          </rPr>
          <t xml:space="preserve">Stomatal conductance at night</t>
        </r>
      </text>
    </comment>
    <comment ref="EY33" authorId="0">
      <text>
        <r>
          <rPr>
            <sz val="12"/>
            <color rgb="FF000000"/>
            <rFont val="Calibri"/>
            <family val="2"/>
            <charset val="1"/>
          </rPr>
          <t xml:space="preserve">Hervé Cochard:
</t>
        </r>
        <r>
          <rPr>
            <sz val="10"/>
            <color rgb="FF000000"/>
            <rFont val="Calibri"/>
            <family val="2"/>
            <charset val="1"/>
          </rPr>
          <t xml:space="preserve">if "1" then stomata no longer respond to light. gs_jarvis is constant during the day and equal to gs_max at PAR_max. But E can vary if vpd changes</t>
        </r>
      </text>
    </comment>
    <comment ref="EZ33" authorId="0">
      <text>
        <r>
          <rPr>
            <sz val="12"/>
            <color rgb="FF000000"/>
            <rFont val="Calibri"/>
            <family val="2"/>
            <charset val="1"/>
          </rPr>
          <t xml:space="preserve">Hervé COCHARD:
</t>
        </r>
        <r>
          <rPr>
            <sz val="10"/>
            <color rgb="FF000000"/>
            <rFont val="Tahoma"/>
            <family val="2"/>
            <charset val="1"/>
          </rPr>
          <t xml:space="preserve">A parameter for the response of gs to PAR
</t>
        </r>
        <r>
          <rPr>
            <sz val="10"/>
            <color rgb="FF000000"/>
            <rFont val="Calibri"/>
            <family val="2"/>
            <charset val="1"/>
          </rPr>
          <t xml:space="preserve">gs_Jarvis=   (gs_night2 + (gs_max2-gs_night2)*(1-exp(-Jarvis_PAR*PAR))); 
</t>
        </r>
        <r>
          <rPr>
            <sz val="10"/>
            <color rgb="FF000000"/>
            <rFont val="Tahoma"/>
            <family val="2"/>
            <charset val="1"/>
          </rPr>
          <t xml:space="preserve">0.006 is default</t>
        </r>
      </text>
    </comment>
    <comment ref="FA33" authorId="0">
      <text>
        <r>
          <rPr>
            <sz val="12"/>
            <color rgb="FF000000"/>
            <rFont val="Calibri"/>
            <family val="2"/>
            <charset val="1"/>
          </rPr>
          <t xml:space="preserve">if NULL, gs_max is constant;
</t>
        </r>
        <r>
          <rPr>
            <sz val="12"/>
            <color rgb="FF000000"/>
            <rFont val="Tahoma"/>
            <family val="2"/>
            <charset val="1"/>
          </rPr>
          <t xml:space="preserve">1= gs_max respond to temperature as:
</t>
        </r>
        <r>
          <rPr>
            <sz val="12"/>
            <color rgb="FF000000"/>
            <rFont val="Calibri"/>
            <family val="2"/>
            <charset val="1"/>
          </rPr>
          <t xml:space="preserve">	gs_max= gs_max_300/(1+pow((T_Leaf-Tgs_optim)/Tgs_sens,2))
2=  gs_max respond to CO2 concentration as:
	gs_max=gs_max_300*300/Ca
3= 1 &amp; 2
4=  gs_max respond to CO2 concentration as:
	gs_max=gs_max_300*(300/Ca)^0.5
5= 1&amp;3
6= following Klein &amp; Ramon 2019, gs_max respond to the parameter gs_CO2_sens (colume GQ) as :
	gs_max=gs_max + gs_CO2_sens/100 *( Ca-300)
7= 1 &amp; 6</t>
        </r>
      </text>
    </comment>
    <comment ref="FB33" authorId="0">
      <text>
        <r>
          <rPr>
            <sz val="12"/>
            <color rgb="FF000000"/>
            <rFont val="Calibri"/>
            <family val="2"/>
            <charset val="1"/>
          </rPr>
          <t xml:space="preserve">relative 
</t>
        </r>
        <r>
          <rPr>
            <sz val="10"/>
            <color rgb="FF000000"/>
            <rFont val="Calibri"/>
            <family val="2"/>
            <charset val="1"/>
          </rPr>
          <t xml:space="preserve">gs sensitivity to CO2; 
gs_max2 = gs_max*(1 + gs_CO2_sens/100*(Ca-300)/100);
with option 6: in %; typical values is -2.2% for gymno; -6.2% for deciduous gymno and -8.3% for evergreen angio (cf Tamir &amp; Aron 2019)</t>
        </r>
      </text>
    </comment>
    <comment ref="FC33" authorId="0">
      <text>
        <r>
          <rPr>
            <sz val="12"/>
            <color rgb="FF000000"/>
            <rFont val="Calibri"/>
            <family val="2"/>
            <charset val="1"/>
          </rPr>
          <t xml:space="preserve">Hervé COCHARD:
</t>
        </r>
        <r>
          <rPr>
            <sz val="10"/>
            <color rgb="FF000000"/>
            <rFont val="Tahoma"/>
            <family val="2"/>
            <charset val="1"/>
          </rPr>
          <t xml:space="preserve">Température at which gs is maximal</t>
        </r>
      </text>
    </comment>
    <comment ref="FE33" authorId="0">
      <text>
        <r>
          <rPr>
            <sz val="12"/>
            <color rgb="FF000000"/>
            <rFont val="Calibri"/>
            <family val="2"/>
            <charset val="1"/>
          </rPr>
          <t xml:space="preserve">Hervé Cochard:
</t>
        </r>
        <r>
          <rPr>
            <sz val="10"/>
            <color rgb="FF000000"/>
            <rFont val="Tahoma"/>
            <family val="2"/>
            <charset val="1"/>
          </rPr>
          <t xml:space="preserve">to account for the effect of T and RWC on g_cuti
0= cst
1= variable with T (Tp, Q10)
	if (T_Leaf[i]&lt;TP) g_cuti[i]= g_cuti_20*pow(Q10_1,(T_Leaf[i]-20)/10);
	</t>
        </r>
        <r>
          <rPr>
            <sz val="10"/>
            <color rgb="FF000000"/>
            <rFont val="Calibri"/>
            <family val="2"/>
            <charset val="1"/>
          </rPr>
          <t xml:space="preserve">if (T_Leaf[i]&gt;TP) </t>
        </r>
        <r>
          <rPr>
            <sz val="10"/>
            <color rgb="FF000000"/>
            <rFont val="Tahoma"/>
            <family val="2"/>
            <charset val="1"/>
          </rPr>
          <t xml:space="preserve"> g_cuti[i]= g_cuti_tp*pow(Q10_2,(T_Leaf[i]-TP)/10);
2= varies linearly with bulk leaf RWC
</t>
        </r>
        <r>
          <rPr>
            <sz val="10"/>
            <color rgb="FF000000"/>
            <rFont val="Calibri"/>
            <family val="2"/>
            <charset val="1"/>
          </rPr>
          <t xml:space="preserve">	100*RWC_sens*(RWC_Leaf-RWC_tlp)+g_cuti_20
 3= like 2 but with RWC_Leaf_symp only
</t>
        </r>
        <r>
          <rPr>
            <sz val="10"/>
            <color rgb="FF000000"/>
            <rFont val="Tahoma"/>
            <family val="2"/>
            <charset val="1"/>
          </rPr>
          <t xml:space="preserve">
12= 1 &amp; 2
13= 1 &amp; 3</t>
        </r>
      </text>
    </comment>
    <comment ref="FF33" authorId="0">
      <text>
        <r>
          <rPr>
            <sz val="12"/>
            <color rgb="FF000000"/>
            <rFont val="Calibri"/>
            <family val="2"/>
            <charset val="1"/>
          </rPr>
          <t xml:space="preserve">Hervé Cochard:
</t>
        </r>
        <r>
          <rPr>
            <sz val="10"/>
            <color rgb="FF000000"/>
            <rFont val="Tahoma"/>
            <family val="2"/>
            <charset val="1"/>
          </rPr>
          <t xml:space="preserve">this is the projected leaf area g_cuti !!!</t>
        </r>
      </text>
    </comment>
    <comment ref="FG33" authorId="0">
      <text>
        <r>
          <rPr>
            <sz val="12"/>
            <color rgb="FF000000"/>
            <rFont val="Calibri"/>
            <family val="2"/>
            <charset val="1"/>
          </rPr>
          <t xml:space="preserve">Hervé COCHARD:
</t>
        </r>
        <r>
          <rPr>
            <sz val="10"/>
            <color rgb="FF000000"/>
            <rFont val="Tahoma"/>
            <family val="2"/>
            <charset val="1"/>
          </rPr>
          <t xml:space="preserve">Cuticule Phase-Transition temperature.
Below Q10_1 above Q10_2</t>
        </r>
      </text>
    </comment>
    <comment ref="FJ33" authorId="0">
      <text>
        <r>
          <rPr>
            <sz val="12"/>
            <color rgb="FF000000"/>
            <rFont val="Calibri"/>
            <family val="2"/>
            <charset val="1"/>
          </rPr>
          <t xml:space="preserve">Hervé Cochard:
</t>
        </r>
        <r>
          <rPr>
            <sz val="10"/>
            <color rgb="FF000000"/>
            <rFont val="Tahoma"/>
            <family val="2"/>
            <charset val="1"/>
          </rPr>
          <t xml:space="preserve">parameter for the slope the gmin response to leaf RWC. 
see PV curve sheet
</t>
        </r>
        <r>
          <rPr>
            <sz val="10"/>
            <color rgb="FF000000"/>
            <rFont val="Calibri"/>
            <family val="2"/>
            <charset val="1"/>
          </rPr>
          <t xml:space="preserve">if (RWC_leaf&lt;RWC_tlp) g_cuti[i]= g_cuti_20*(1-(RWC_tlp-RWC_leaf)*RWC_sens);</t>
        </r>
      </text>
    </comment>
    <comment ref="FN33" authorId="0">
      <text>
        <r>
          <rPr>
            <sz val="12"/>
            <color rgb="FF000000"/>
            <rFont val="Calibri"/>
            <family val="2"/>
            <charset val="1"/>
          </rPr>
          <t xml:space="preserve">Hervé Cochard:
</t>
        </r>
        <r>
          <rPr>
            <sz val="10"/>
            <color rgb="FF000000"/>
            <rFont val="Tahoma"/>
            <family val="2"/>
            <charset val="1"/>
          </rPr>
          <t xml:space="preserve">Conductance of the soil surface. Will determine the soil + understorey evapotranspiration. </t>
        </r>
      </text>
    </comment>
    <comment ref="FO31" authorId="0">
      <text>
        <r>
          <rPr>
            <sz val="12"/>
            <color rgb="FF000000"/>
            <rFont val="Calibri"/>
            <family val="2"/>
            <charset val="1"/>
          </rPr>
          <t xml:space="preserve">Hervé COCHARD:
</t>
        </r>
        <r>
          <rPr>
            <sz val="10"/>
            <color rgb="FF000000"/>
            <rFont val="Calibri"/>
            <family val="2"/>
            <charset val="1"/>
          </rPr>
          <t xml:space="preserve">Farquhar et al model
</t>
        </r>
      </text>
    </comment>
    <comment ref="FO32" authorId="0">
      <text>
        <r>
          <rPr>
            <sz val="12"/>
            <color rgb="FF000000"/>
            <rFont val="Calibri"/>
            <family val="2"/>
            <charset val="1"/>
          </rPr>
          <t xml:space="preserve">Hervé Cochard:
</t>
        </r>
        <r>
          <rPr>
            <sz val="10"/>
            <color rgb="FF000000"/>
            <rFont val="Tahoma"/>
            <family val="2"/>
            <charset val="1"/>
          </rPr>
          <t xml:space="preserve">3= C3
4= C4</t>
        </r>
      </text>
    </comment>
    <comment ref="FR32" authorId="0">
      <text>
        <r>
          <rPr>
            <sz val="12"/>
            <color rgb="FF000000"/>
            <rFont val="Calibri"/>
            <family val="2"/>
            <charset val="1"/>
          </rPr>
          <t xml:space="preserve">Hervé Cochard:
</t>
        </r>
        <r>
          <rPr>
            <b val="true"/>
            <sz val="10"/>
            <color rgb="FF000000"/>
            <rFont val="Tahoma"/>
            <family val="2"/>
            <charset val="1"/>
          </rPr>
          <t xml:space="preserve">atmospheric CO2 concentration
</t>
        </r>
        <r>
          <rPr>
            <sz val="10"/>
            <color rgb="FF000000"/>
            <rFont val="Tahoma"/>
            <family val="2"/>
            <charset val="1"/>
          </rPr>
          <t xml:space="preserve">0= constant at 400ppm
1= follow RCP2.6
2= follow RCP4.5
3= follow RCP8.5
else Ca=value passed</t>
        </r>
      </text>
    </comment>
    <comment ref="FX31" authorId="0">
      <text>
        <r>
          <rPr>
            <sz val="12"/>
            <color rgb="FF000000"/>
            <rFont val="Calibri"/>
            <family val="2"/>
            <charset val="1"/>
          </rPr>
          <t xml:space="preserve">Hervé Cochard:
</t>
        </r>
        <r>
          <rPr>
            <sz val="10"/>
            <color rgb="FF000000"/>
            <rFont val="Tahoma"/>
            <family val="2"/>
            <charset val="1"/>
          </rPr>
          <t xml:space="preserve">an attenuation coefficient to compute PAR and canopy photosynthesis with AI
</t>
        </r>
        <r>
          <rPr>
            <sz val="10"/>
            <color rgb="FF000000"/>
            <rFont val="Calibri"/>
            <family val="2"/>
            <charset val="1"/>
          </rPr>
          <t xml:space="preserve"> A_net_c= A_net/Extinction_Coeff*(1-exp(-Extinction_Coeff*LAI)); 
</t>
        </r>
        <r>
          <rPr>
            <sz val="10"/>
            <color rgb="FF000000"/>
            <rFont val="Tahoma"/>
            <family val="2"/>
            <charset val="1"/>
          </rPr>
          <t xml:space="preserve"> PAR[i]= PAR_in*exp(-Extinction_Coeff*LAI);
if =0 then no PAR attenuation AND no wind attenuation in the canopy</t>
        </r>
      </text>
    </comment>
    <comment ref="FY32" authorId="0">
      <text>
        <r>
          <rPr>
            <sz val="12"/>
            <color rgb="FF000000"/>
            <rFont val="Calibri"/>
            <family val="2"/>
            <charset val="1"/>
          </rPr>
          <t xml:space="preserve">Hervé COCHARD:
</t>
        </r>
        <r>
          <rPr>
            <sz val="10"/>
            <color rgb="FF000000"/>
            <rFont val="Tahoma"/>
            <family val="2"/>
            <charset val="1"/>
          </rPr>
          <t xml:space="preserve">Data  from organ symplasmic pressure-volume curves</t>
        </r>
      </text>
    </comment>
    <comment ref="FY33" authorId="0">
      <text>
        <r>
          <rPr>
            <sz val="12"/>
            <color rgb="FF000000"/>
            <rFont val="Calibri"/>
            <family val="2"/>
            <charset val="1"/>
          </rPr>
          <t xml:space="preserve">Hervé COCHARD:
</t>
        </r>
        <r>
          <rPr>
            <sz val="10"/>
            <color rgb="FF000000"/>
            <rFont val="Tahoma"/>
            <family val="2"/>
            <charset val="1"/>
          </rPr>
          <t xml:space="preserve">Modulus of elasticity, MPa</t>
        </r>
      </text>
    </comment>
    <comment ref="GC32" authorId="0">
      <text>
        <r>
          <rPr>
            <sz val="12"/>
            <color rgb="FF000000"/>
            <rFont val="Calibri"/>
            <family val="2"/>
            <charset val="1"/>
          </rPr>
          <t xml:space="preserve">Hervé COCHARD:
</t>
        </r>
        <r>
          <rPr>
            <sz val="10"/>
            <color rgb="FF000000"/>
            <rFont val="Tahoma"/>
            <family val="2"/>
            <charset val="1"/>
          </rPr>
          <t xml:space="preserve">osmotic potential at full turgescence, MPA</t>
        </r>
      </text>
    </comment>
    <comment ref="GG33" authorId="0">
      <text>
        <r>
          <rPr>
            <sz val="12"/>
            <color rgb="FF000000"/>
            <rFont val="Calibri"/>
            <family val="2"/>
            <charset val="1"/>
          </rPr>
          <t xml:space="preserve">Hervé Cochard:
</t>
        </r>
        <r>
          <rPr>
            <b val="true"/>
            <sz val="10"/>
            <color rgb="FF000000"/>
            <rFont val="+mn-lt"/>
            <family val="0"/>
            <charset val="1"/>
          </rPr>
          <t xml:space="preserve">Define how the  symplasmic conductances vary or not; used also for Acclimation (=10)
</t>
        </r>
        <r>
          <rPr>
            <sz val="10"/>
            <color rgb="FF000000"/>
            <rFont val="+mn-lt"/>
            <family val="0"/>
            <charset val="1"/>
          </rPr>
          <t xml:space="preserve">0: Symplasmic K constant  but vary with T
1: K_leaf variable (Scoffoni): K= K_VAR_P1 + K_VAR_P2 * exp (K_VAR_P 3 * P_Leaf_Symp) with  K_VAR_P1=6.83; K_VAR_P2=81.4; K_VAR_P3=7.56;
	11: like 1 but with linear equation ith Pleaf (Lawren C3 C4)
2: K_root VAR (Scoffoni) K=  K_VAR_P1  + K_VAR_P2 *exp(K_VAR_P3 *P_Leaf_Symp)	with  K_VAR_P1=4.25; K_VAR_P2=495; K_VAR_P3=5.85; 
3: K_root VAR (Doux-Glace) 
	if T_Soil_i&lt;T_soil_crit) K_Root_Symp_i = 0; 
	if T_root &lt; K_VAR_P1  K_Root_Apo_i = 0; 
	if T_trunk&lt; K_VAR_P2  K_Trunk_Apo_i = 0; 
	if T_branch&lt; K_VAR_P3  K_Branch_Apo_i = 0; 
	if T_leaf&lt; K_VAR_P3  K_Leaf_Apo_i = 0; 
4: K_root VAR (root Cortex) use Leaf fall curve for root
	Cortex_Gap=100/(1+exp(K_VAR_P2/25*(P_Root_Symp1-K_VAR_P1)));
           	K = K_Root_Symp0 * Fluidity_soil * Root_Area_fi*(100-Cortex_Gap)/100;
	with K_VAR_P1=P50  K_VAR_P2=slope 
5: K_root_symp Variable for Maddy and Tim
 	R=pow(K_Root_Symp0/K_VAR_P1 ,-1/K_VAR_P2);  with  K_VAR_P1=1.2214; K_VAR_P2=1.97; 
          	K_Root_Symp1=K_VAR_P1 *pow(R-P_Soil1,K_VAR_P2)*Fluidity_soil * Root_Area_fi* Root_upper;
6: same as 4 but P_Soil instead of P_Root
7: K_Branch_Symp and K_Trunk_Symp vary with PLC
8: K_root_symp Variable for Carola and Tim
	K_Root_Symp1=((Kmax(1-K_VAR_P3))*(100-100/(1+EXP(K_VAR_P2/25*(P-K_VAR_P1))))/100+Kmax*K_VAR_P3)Fluidity_soil * Root_Area_fi* Root_upper;
	with K_VAR_P1=P50  K_VAR_P2=slope K_VAR_P3=Kmax fraction to have Kmin
9: </t>
        </r>
        <r>
          <rPr>
            <sz val="10"/>
            <color rgb="FF000000"/>
            <rFont val="Calibri"/>
            <family val="2"/>
            <charset val="1"/>
          </rPr>
          <t xml:space="preserve">K_root VAR (root Cortex)  for URI
</t>
        </r>
        <r>
          <rPr>
            <sz val="10"/>
            <color rgb="FF000000"/>
            <rFont val="+mn-lt"/>
            <family val="0"/>
            <charset val="1"/>
          </rPr>
          <t xml:space="preserve">	</t>
        </r>
        <r>
          <rPr>
            <sz val="11"/>
            <color rgb="FF000000"/>
            <rFont val="+mn-lt"/>
            <family val="0"/>
            <charset val="1"/>
          </rPr>
          <t xml:space="preserve">Cortex_Gap= 0.5/(-10 × (Ψ</t>
        </r>
        <r>
          <rPr>
            <vertAlign val="subscript"/>
            <sz val="11"/>
            <color rgb="FF000000"/>
            <rFont val="+mn-lt"/>
            <family val="0"/>
            <charset val="1"/>
          </rPr>
          <t xml:space="preserve">soil</t>
        </r>
        <r>
          <rPr>
            <sz val="11"/>
            <color rgb="FF000000"/>
            <rFont val="+mn-lt"/>
            <family val="0"/>
            <charset val="1"/>
          </rPr>
          <t xml:space="preserve">)</t>
        </r>
        <r>
          <rPr>
            <vertAlign val="superscript"/>
            <sz val="11"/>
            <color rgb="FF000000"/>
            <rFont val="+mn-lt"/>
            <family val="0"/>
            <charset val="1"/>
          </rPr>
          <t xml:space="preserve">3 </t>
        </r>
        <r>
          <rPr>
            <sz val="11"/>
            <color rgb="FF000000"/>
            <rFont val="+mn-lt"/>
            <family val="0"/>
            <charset val="1"/>
          </rPr>
          <t xml:space="preserve">+ 0.5)
           	K = K_Root_Symp0 * Fluidity_soil * Root_Area_fi*Cortex_Gap);
10: set K_interface to 0 when DOY&gt;K_VAR_P1
</t>
        </r>
        <r>
          <rPr>
            <sz val="10"/>
            <color rgb="FF000000"/>
            <rFont val="Calibri"/>
            <family val="2"/>
            <charset val="1"/>
          </rPr>
          <t xml:space="preserve">12: set a native level of embolism in the branch (for Vitis apoplexy). K_VARPx is the PLC of branch X</t>
        </r>
        <r>
          <rPr>
            <sz val="8"/>
            <color rgb="FF000000"/>
            <rFont val="Calibri"/>
            <family val="2"/>
            <charset val="1"/>
          </rPr>
          <t xml:space="preserve"> 
</t>
        </r>
      </text>
    </comment>
    <comment ref="GK32" authorId="0">
      <text>
        <r>
          <rPr>
            <sz val="12"/>
            <color rgb="FF000000"/>
            <rFont val="Calibri"/>
            <family val="2"/>
            <charset val="1"/>
          </rPr>
          <t xml:space="preserve">Hervé COCHARD:
</t>
        </r>
        <r>
          <rPr>
            <sz val="10"/>
            <color rgb="FF000000"/>
            <rFont val="Tahoma"/>
            <family val="2"/>
            <charset val="1"/>
          </rPr>
          <t xml:space="preserve">This is the leaf apoplasmic conductance er unit leaf area</t>
        </r>
      </text>
    </comment>
    <comment ref="GL33" authorId="0">
      <text>
        <r>
          <rPr>
            <sz val="12"/>
            <color rgb="FF000000"/>
            <rFont val="Calibri"/>
            <family val="2"/>
            <charset val="1"/>
          </rPr>
          <t xml:space="preserve">Hervé COCHARD:
</t>
        </r>
        <r>
          <rPr>
            <sz val="10"/>
            <color rgb="FF000000"/>
            <rFont val="Tahoma"/>
            <family val="2"/>
            <charset val="1"/>
          </rPr>
          <t xml:space="preserve">The wood area specific conductivity of the terminal shoot
Not used in the fractal mode</t>
        </r>
      </text>
    </comment>
    <comment ref="GM33" authorId="0">
      <text>
        <r>
          <rPr>
            <sz val="12"/>
            <color rgb="FF000000"/>
            <rFont val="Calibri"/>
            <family val="2"/>
            <charset val="1"/>
          </rPr>
          <t xml:space="preserve">Hervé COCHARD:
</t>
        </r>
        <r>
          <rPr>
            <sz val="10"/>
            <color rgb="FF000000"/>
            <rFont val="Tahoma"/>
            <family val="2"/>
            <charset val="1"/>
          </rPr>
          <t xml:space="preserve">the sapwood area specific conductivity of the trunk
use to compute the trunk conductance
</t>
        </r>
        <r>
          <rPr>
            <sz val="10"/>
            <color rgb="FF000000"/>
            <rFont val="Calibri"/>
            <family val="2"/>
            <charset val="1"/>
          </rPr>
          <t xml:space="preserve">K_Trunk_Apo0   *= Diam_Trunk * Diam_Trunk * 3.1416 / 4 /Length_Trunk*(2-Trunk_sapwood_fraction)*Trunk_sapwood_fraction;
</t>
        </r>
      </text>
    </comment>
    <comment ref="GN33" authorId="0">
      <text>
        <r>
          <rPr>
            <sz val="12"/>
            <color rgb="FF000000"/>
            <rFont val="Calibri"/>
            <family val="2"/>
            <charset val="1"/>
          </rPr>
          <t xml:space="preserve">Hervé COCHARD:
</t>
        </r>
        <r>
          <rPr>
            <sz val="10"/>
            <color rgb="FF000000"/>
            <rFont val="Tahoma"/>
            <family val="2"/>
            <charset val="1"/>
          </rPr>
          <t xml:space="preserve">the sapwood area specific conductivity of the terminal root</t>
        </r>
      </text>
    </comment>
    <comment ref="GO32" authorId="0">
      <text>
        <r>
          <rPr>
            <sz val="12"/>
            <color rgb="FF000000"/>
            <rFont val="Calibri"/>
            <family val="2"/>
            <charset val="1"/>
          </rPr>
          <t xml:space="preserve">Hervé COCHARD:
</t>
        </r>
        <r>
          <rPr>
            <sz val="10"/>
            <color rgb="FF000000"/>
            <rFont val="Tahoma"/>
            <family val="2"/>
            <charset val="1"/>
          </rPr>
          <t xml:space="preserve">For Fractal mode : Total equivalent conductance of these organs</t>
        </r>
      </text>
    </comment>
    <comment ref="GV32" authorId="0">
      <text>
        <r>
          <rPr>
            <sz val="12"/>
            <color rgb="FF000000"/>
            <rFont val="Calibri"/>
            <family val="2"/>
            <charset val="1"/>
          </rPr>
          <t xml:space="preserve">Hervé COCHARD:
</t>
        </r>
        <r>
          <rPr>
            <sz val="10"/>
            <color rgb="FF000000"/>
            <rFont val="Tahoma"/>
            <family val="2"/>
            <charset val="1"/>
          </rPr>
          <t xml:space="preserve">Data for organ apoplasmic vulnerability curves</t>
        </r>
      </text>
    </comment>
    <comment ref="HL28" authorId="0">
      <text>
        <r>
          <rPr>
            <sz val="12"/>
            <color rgb="FF000000"/>
            <rFont val="Calibri"/>
            <family val="2"/>
            <charset val="1"/>
          </rPr>
          <t xml:space="preserve">Hervé Cochard:
</t>
        </r>
        <r>
          <rPr>
            <sz val="10"/>
            <color rgb="FF000000"/>
            <rFont val="Tahoma"/>
            <family val="2"/>
            <charset val="1"/>
          </rPr>
          <t xml:space="preserve">For FRACTAL tree this can give an indication of the possible total number of organs</t>
        </r>
      </text>
    </comment>
    <comment ref="HL32" authorId="0">
      <text>
        <r>
          <rPr>
            <sz val="12"/>
            <color rgb="FF000000"/>
            <rFont val="Calibri"/>
            <family val="2"/>
            <charset val="1"/>
          </rPr>
          <t xml:space="preserve">Hervé Cochard
</t>
        </r>
        <r>
          <rPr>
            <sz val="10"/>
            <color rgb="FF000000"/>
            <rFont val="Tahoma"/>
            <family val="2"/>
            <charset val="1"/>
          </rPr>
          <t xml:space="preserve">if 1 then PLC is reversed 
just to show how open minded I am!
if=2 the SYMP_CAVIT=1;</t>
        </r>
      </text>
    </comment>
    <comment ref="HM33" authorId="0">
      <text>
        <r>
          <rPr>
            <sz val="12"/>
            <color rgb="FF000000"/>
            <rFont val="Calibri"/>
            <family val="2"/>
            <charset val="1"/>
          </rPr>
          <t xml:space="preserve">Hervé COCHARD:
</t>
        </r>
        <r>
          <rPr>
            <sz val="10"/>
            <color rgb="FF000000"/>
            <rFont val="Tahoma"/>
            <family val="2"/>
            <charset val="1"/>
          </rPr>
          <t xml:space="preserve">the critical apoplasmic pressure above which refilling occurs. MPa</t>
        </r>
      </text>
    </comment>
    <comment ref="HN32" authorId="0">
      <text>
        <r>
          <rPr>
            <sz val="12"/>
            <color rgb="FF000000"/>
            <rFont val="Calibri"/>
            <family val="2"/>
            <charset val="1"/>
          </rPr>
          <t xml:space="preserve">Hervé Cochard:
</t>
        </r>
        <r>
          <rPr>
            <sz val="10"/>
            <color rgb="FF000000"/>
            <rFont val="Tahoma"/>
            <family val="2"/>
            <charset val="1"/>
          </rPr>
          <t xml:space="preserve">Determine how PLC recover from growth from one year to another
PLC(n+1)=PLC(n)*legacy</t>
        </r>
      </text>
    </comment>
    <comment ref="HR32" authorId="0">
      <text>
        <r>
          <rPr>
            <sz val="12"/>
            <color rgb="FF000000"/>
            <rFont val="Calibri"/>
            <family val="2"/>
            <charset val="1"/>
          </rPr>
          <t xml:space="preserve">Hervé Cochard:
</t>
        </r>
        <r>
          <rPr>
            <sz val="10"/>
            <color rgb="FF000000"/>
            <rFont val="Calibri"/>
            <family val="2"/>
            <charset val="1"/>
          </rPr>
          <t xml:space="preserve">1
: ACCLIMATE is ON. then 	Acc_P1= P50_rate in MPa/day
		Acc_P2= Pi0_rate in MPa/day 
		Acc_P3 = Px_gs_rate in MPa/day </t>
        </r>
      </text>
    </comment>
    <comment ref="HR33" authorId="0">
      <text>
        <r>
          <rPr>
            <sz val="12"/>
            <color rgb="FF000000"/>
            <rFont val="Calibri"/>
            <family val="2"/>
            <charset val="1"/>
          </rPr>
          <t xml:space="preserve">Hervé Cochard:
</t>
        </r>
        <r>
          <rPr>
            <sz val="10"/>
            <color rgb="FF000000"/>
            <rFont val="Calibri"/>
            <family val="2"/>
            <charset val="1"/>
          </rPr>
          <t xml:space="preserve">1
: ACCLIMATE is ON. then 	K_VAR_P1 = P50_rate in MPa/day
		K_VAR_P2 = Pi0_rate in MPa/day 
		K_VAR_P2 = Px_gs_rate in MPa/day </t>
        </r>
      </text>
    </comment>
    <comment ref="HU27" authorId="0">
      <text>
        <r>
          <rPr>
            <sz val="12"/>
            <color rgb="FF000000"/>
            <rFont val="Calibri"/>
            <family val="2"/>
            <charset val="1"/>
          </rPr>
          <t xml:space="preserve">Hervé COCHARD:
</t>
        </r>
        <r>
          <rPr>
            <sz val="10"/>
            <color rgb="FF000000"/>
            <rFont val="Tahoma"/>
            <family val="2"/>
            <charset val="1"/>
          </rPr>
          <t xml:space="preserve">An indicative value for C based on 2*K*dt/Q</t>
        </r>
      </text>
    </comment>
    <comment ref="HV32" authorId="0">
      <text>
        <r>
          <rPr>
            <sz val="12"/>
            <color rgb="FF000000"/>
            <rFont val="Calibri"/>
            <family val="2"/>
            <charset val="1"/>
          </rPr>
          <t xml:space="preserve">Hervé COCHARD:
</t>
        </r>
        <r>
          <rPr>
            <sz val="10"/>
            <color rgb="FF000000"/>
            <rFont val="Tahoma"/>
            <family val="2"/>
            <charset val="1"/>
          </rPr>
          <t xml:space="preserve">These values are used to compute the apoplasmic water potential in the dynamic mode:  
</t>
        </r>
        <r>
          <rPr>
            <sz val="10"/>
            <color rgb="FF000000"/>
            <rFont val="Calibri"/>
            <family val="2"/>
            <charset val="1"/>
          </rPr>
          <t xml:space="preserve">P_Leaf_Apo=(Q_Leaf_Apo-Q_Leaf_Apo1)/C_Leaf_Apo+Pg_Leaf;
give values as small as possible.
</t>
        </r>
      </text>
    </comment>
    <comment ref="HZ32" authorId="0">
      <text>
        <r>
          <rPr>
            <sz val="12"/>
            <color rgb="FF000000"/>
            <rFont val="Calibri"/>
            <family val="2"/>
            <charset val="1"/>
          </rPr>
          <t xml:space="preserve">Hervé COCHARD:
</t>
        </r>
        <r>
          <rPr>
            <sz val="10"/>
            <color rgb="FF000000"/>
            <rFont val="Tahoma"/>
            <family val="2"/>
            <charset val="1"/>
          </rPr>
          <t xml:space="preserve">Lockhart's model to compute trunk growth
</t>
        </r>
        <r>
          <rPr>
            <sz val="10"/>
            <color rgb="FF000000"/>
            <rFont val="Calibri"/>
            <family val="2"/>
            <charset val="1"/>
          </rPr>
          <t xml:space="preserve">Growth_rate_trunk=Q_Trunk_Symp0*sigma*Extensibility_trunk * (Turgor_Trunk_Symp - Yield_trunk); 
</t>
        </r>
      </text>
    </comment>
    <comment ref="HZ33" authorId="0">
      <text>
        <r>
          <rPr>
            <sz val="12"/>
            <color rgb="FF000000"/>
            <rFont val="Calibri"/>
            <family val="2"/>
            <charset val="1"/>
          </rPr>
          <t xml:space="preserve">0= no growth
</t>
        </r>
        <r>
          <rPr>
            <sz val="10"/>
            <color rgb="FF000000"/>
            <rFont val="Tahoma"/>
            <family val="2"/>
            <charset val="1"/>
          </rPr>
          <t xml:space="preserve">1= growth limited by a seasonnal sigmoidal limit with PARA1=the DOY at Growth_50 and PARA2= the spole pat Growth_50 (180 &amp; 1 are typical values
2= growth limited by a temperature function (Parent et al 2010) with PARA1 the Threshold temperature for growth (5°C tycical) and PARA2 the optimal T for growth</t>
        </r>
      </text>
    </comment>
    <comment ref="IA33" authorId="0">
      <text>
        <r>
          <rPr>
            <sz val="12"/>
            <color rgb="FF000000"/>
            <rFont val="Calibri"/>
            <family val="2"/>
            <charset val="1"/>
          </rPr>
          <t xml:space="preserve">Hervé Cochard:
</t>
        </r>
        <r>
          <rPr>
            <sz val="10"/>
            <color rgb="FF000000"/>
            <rFont val="Tahoma"/>
            <family val="2"/>
            <charset val="1"/>
          </rPr>
          <t xml:space="preserve">DOY at 50% annual growth
180 is typical</t>
        </r>
      </text>
    </comment>
    <comment ref="IB33" authorId="0">
      <text>
        <r>
          <rPr>
            <sz val="12"/>
            <color rgb="FF000000"/>
            <rFont val="Calibri"/>
            <family val="2"/>
            <charset val="1"/>
          </rPr>
          <t xml:space="preserve">Hervé Cochard:
</t>
        </r>
        <r>
          <rPr>
            <sz val="10"/>
            <color rgb="FF000000"/>
            <rFont val="Tahoma"/>
            <family val="2"/>
            <charset val="1"/>
          </rPr>
          <t xml:space="preserve">slope at Growth_50
1 is typical
if =0 then growth is constant</t>
        </r>
      </text>
    </comment>
    <comment ref="IC32" authorId="0">
      <text>
        <r>
          <rPr>
            <sz val="12"/>
            <color rgb="FF000000"/>
            <rFont val="Calibri"/>
            <family val="2"/>
            <charset val="1"/>
          </rPr>
          <t xml:space="preserve">Hervé COCHARD:
</t>
        </r>
        <r>
          <rPr>
            <sz val="10"/>
            <color rgb="FF000000"/>
            <rFont val="Tahoma"/>
            <family val="2"/>
            <charset val="1"/>
          </rPr>
          <t xml:space="preserve">Lockhart's model to compute trunk growth
</t>
        </r>
        <r>
          <rPr>
            <sz val="10"/>
            <color rgb="FF000000"/>
            <rFont val="Calibri"/>
            <family val="2"/>
            <charset val="1"/>
          </rPr>
          <t xml:space="preserve">Growth_rate_trunk=Q_Trunk_Symp0*sigma*Extensibility_trunk * (Turgor_Trunk_Symp - Yield_trunk); 
</t>
        </r>
      </text>
    </comment>
    <comment ref="IC33" authorId="0">
      <text>
        <r>
          <rPr>
            <sz val="12"/>
            <color rgb="FF000000"/>
            <rFont val="Calibri"/>
            <family val="2"/>
            <charset val="1"/>
          </rPr>
          <t xml:space="preserve">Hervé Cochard
</t>
        </r>
        <r>
          <rPr>
            <b val="true"/>
            <sz val="10"/>
            <color rgb="FF000000"/>
            <rFont val="Tahoma"/>
            <family val="2"/>
            <charset val="1"/>
          </rPr>
          <t xml:space="preserve">in MPA-1 s-1</t>
        </r>
      </text>
    </comment>
    <comment ref="IE33" authorId="0">
      <text>
        <r>
          <rPr>
            <sz val="12"/>
            <color rgb="FF000000"/>
            <rFont val="Calibri"/>
            <family val="2"/>
            <charset val="1"/>
          </rPr>
          <t xml:space="preserve">Hervé Cochard:
</t>
        </r>
        <r>
          <rPr>
            <sz val="10"/>
            <color rgb="FF000000"/>
            <rFont val="Tahoma"/>
            <family val="2"/>
            <charset val="1"/>
          </rPr>
          <t xml:space="preserve">fraction of the symplasmic volume in the bark (is, that count for growth and radius variation).
0.1 is typical</t>
        </r>
      </text>
    </comment>
    <comment ref="IF33" authorId="0">
      <text>
        <r>
          <rPr>
            <sz val="12"/>
            <color rgb="FF000000"/>
            <rFont val="Calibri"/>
            <family val="2"/>
            <charset val="1"/>
          </rPr>
          <t xml:space="preserve">Hervé Cochard:
</t>
        </r>
        <r>
          <rPr>
            <sz val="10"/>
            <color rgb="FF000000"/>
            <rFont val="Tahoma"/>
            <family val="2"/>
            <charset val="1"/>
          </rPr>
          <t xml:space="preserve">maintenance respiration at 25°C, in umol Co2 /m3/s 
100 is typical</t>
        </r>
      </text>
    </comment>
    <comment ref="IG33" authorId="0">
      <text>
        <r>
          <rPr>
            <sz val="12"/>
            <color rgb="FF000000"/>
            <rFont val="Calibri"/>
            <family val="2"/>
            <charset val="1"/>
          </rPr>
          <t xml:space="preserve">Hervé Cochard:</t>
        </r>
        <r>
          <rPr>
            <sz val="10"/>
            <color rgb="FF000000"/>
            <rFont val="Tahoma"/>
            <family val="2"/>
            <charset val="1"/>
          </rPr>
          <t xml:space="preserve">biomasse construction cost, in fraction of growth.
0.25 is typical</t>
        </r>
      </text>
    </comment>
    <comment ref="IH33" authorId="0">
      <text>
        <r>
          <rPr>
            <sz val="12"/>
            <color rgb="FF000000"/>
            <rFont val="Calibri"/>
            <family val="2"/>
            <charset val="1"/>
          </rPr>
          <t xml:space="preserve">Hervé Cochard:
</t>
        </r>
        <r>
          <rPr>
            <sz val="10"/>
            <color rgb="FF000000"/>
            <rFont val="Tahoma"/>
            <family val="2"/>
            <charset val="1"/>
          </rPr>
          <t xml:space="preserve">mean NCS concentration in the sapwood leaves and root. 
0.05 = 5% of dry mass is typical</t>
        </r>
      </text>
    </comment>
    <comment ref="II32" authorId="0">
      <text>
        <r>
          <rPr>
            <sz val="12"/>
            <color rgb="FF000000"/>
            <rFont val="Calibri"/>
            <family val="2"/>
            <charset val="1"/>
          </rPr>
          <t xml:space="preserve">Hervé Cochard:
</t>
        </r>
        <r>
          <rPr>
            <sz val="10"/>
            <color rgb="FF000000"/>
            <rFont val="Tahoma"/>
            <family val="2"/>
            <charset val="1"/>
          </rPr>
          <t xml:space="preserve">If 1 is for a bud 
2 is for a fruit (with growth) 
if 3 organ is a flower ( a disk)
fruits and flowers have a petiole </t>
        </r>
      </text>
    </comment>
    <comment ref="IJ33" authorId="0">
      <text>
        <r>
          <rPr>
            <sz val="12"/>
            <color rgb="FF000000"/>
            <rFont val="Calibri"/>
            <family val="2"/>
            <charset val="1"/>
          </rPr>
          <t xml:space="preserve">Hervé Cochard:
</t>
        </r>
        <r>
          <rPr>
            <sz val="10"/>
            <color rgb="FF000000"/>
            <rFont val="Tahoma"/>
            <family val="2"/>
            <charset val="1"/>
          </rPr>
          <t xml:space="preserve">If FRACTAL=0 or =1 the total number of organs is N per branch X N branch
If FRACTAL=2 or =3 the total number is given</t>
        </r>
      </text>
    </comment>
    <comment ref="IK33" authorId="0">
      <text>
        <r>
          <rPr>
            <sz val="12"/>
            <color rgb="FF000000"/>
            <rFont val="Calibri"/>
            <family val="2"/>
            <charset val="1"/>
          </rPr>
          <t xml:space="preserve">Hervé COCHARD:
</t>
        </r>
        <r>
          <rPr>
            <sz val="10"/>
            <color rgb="FF000000"/>
            <rFont val="Tahoma"/>
            <family val="2"/>
            <charset val="1"/>
          </rPr>
          <t xml:space="preserve">Diameter of the bud or flower</t>
        </r>
      </text>
    </comment>
    <comment ref="IN32" authorId="0">
      <text>
        <r>
          <rPr>
            <sz val="12"/>
            <color rgb="FF000000"/>
            <rFont val="Calibri"/>
            <family val="2"/>
            <charset val="1"/>
          </rPr>
          <t xml:space="preserve">Hervé COCHARD:
</t>
        </r>
        <r>
          <rPr>
            <sz val="10"/>
            <color rgb="FF000000"/>
            <rFont val="Tahoma"/>
            <family val="2"/>
            <charset val="1"/>
          </rPr>
          <t xml:space="preserve">Volumetric water content in m3/m3 for fruit, 
surface WC for flower in kg/m2
for the petiole flower same as for the branch</t>
        </r>
      </text>
    </comment>
    <comment ref="IO33" authorId="0">
      <text>
        <r>
          <rPr>
            <sz val="12"/>
            <color rgb="FF000000"/>
            <rFont val="Calibri"/>
            <family val="2"/>
            <charset val="1"/>
          </rPr>
          <t xml:space="preserve">Hervé COCHARD:
</t>
        </r>
        <r>
          <rPr>
            <sz val="10"/>
            <color rgb="FF000000"/>
            <rFont val="Tahoma"/>
            <family val="2"/>
            <charset val="1"/>
          </rPr>
          <t xml:space="preserve">apoplasmic conductance
</t>
        </r>
        <r>
          <rPr>
            <sz val="10"/>
            <color rgb="FF000000"/>
            <rFont val="Calibri"/>
            <family val="2"/>
            <charset val="1"/>
          </rPr>
          <t xml:space="preserve">Computed here as K_Branch_apo * surface/Length
</t>
        </r>
      </text>
    </comment>
    <comment ref="IP33" authorId="0">
      <text>
        <r>
          <rPr>
            <sz val="12"/>
            <color rgb="FF000000"/>
            <rFont val="Calibri"/>
            <family val="2"/>
            <charset val="1"/>
          </rPr>
          <t xml:space="preserve">Hervé Cochard:
</t>
        </r>
        <r>
          <rPr>
            <sz val="10"/>
            <color rgb="FF000000"/>
            <rFont val="Tahoma"/>
            <family val="2"/>
            <charset val="1"/>
          </rPr>
          <t xml:space="preserve">Symplasmic conductance between the bud xylem and bud symplasm
or between the petiole and the flower symplasm</t>
        </r>
      </text>
    </comment>
    <comment ref="IQ33" authorId="0">
      <text>
        <r>
          <rPr>
            <sz val="12"/>
            <color rgb="FF000000"/>
            <rFont val="Calibri"/>
            <family val="2"/>
            <charset val="1"/>
          </rPr>
          <t xml:space="preserve">Hervé Cochard:
</t>
        </r>
        <r>
          <rPr>
            <sz val="10"/>
            <color rgb="FF000000"/>
            <rFont val="Tahoma"/>
            <family val="2"/>
            <charset val="1"/>
          </rPr>
          <t xml:space="preserve">Symplasmic conductance between the branch symplasm and bud symplasm if 0, no connexion
Or between the petiole apo and petiole symplasm
Computed here as the petiole surface * K_Branch_Symp</t>
        </r>
      </text>
    </comment>
    <comment ref="IV33" authorId="0">
      <text>
        <r>
          <rPr>
            <sz val="12"/>
            <color rgb="FF000000"/>
            <rFont val="Calibri"/>
            <family val="2"/>
            <charset val="1"/>
          </rPr>
          <t xml:space="preserve">Hervé Cochard:
</t>
        </r>
        <r>
          <rPr>
            <sz val="10"/>
            <color rgb="FF000000"/>
            <rFont val="Tahoma"/>
            <family val="2"/>
            <charset val="1"/>
          </rPr>
          <t xml:space="preserve">defines how g_Axil is regulated
0= not regulated, constant equal to g_axil_max
1= </t>
        </r>
        <r>
          <rPr>
            <sz val="10"/>
            <color rgb="FF000000"/>
            <rFont val="Calibri"/>
            <family val="2"/>
            <charset val="1"/>
          </rPr>
          <t xml:space="preserve">g_Axil is derived from max &amp; min values and the organ symplasmic potential. Use stomatal Pgs12 &amp;Pgs88 for that: 
 	g_Axil=g_Axil_max*(0.76*(P_Axil_Symp-Pgs_88)/(Pgs_12-Pgs_88)+0.12);
    	if (g_Axil&lt;g_Axil_min) g_Axil=g_Axil_min;
   	 if (g_Axil&gt;g_Axil_max) g_Axil=g_Axil_max; 
</t>
        </r>
        <r>
          <rPr>
            <sz val="10"/>
            <color rgb="FF000000"/>
            <rFont val="Tahoma"/>
            <family val="2"/>
            <charset val="1"/>
          </rPr>
          <t xml:space="preserve">2= g_Axil varies according to Axil turgor pressure
	if (Turgor_Axil_Symp&lt;(-Pi0_Axil_Symp*Regul_gs_para1))  turgor=-Turgor_Axil_Symp/(Pi0_Axil_Symp*Regul_gs_para1);
	else  turgor=1;
	g_Axil=g_Axil_max*turgor;
3= set to g_axil_min</t>
        </r>
      </text>
    </comment>
    <comment ref="IW33" authorId="0">
      <text>
        <r>
          <rPr>
            <sz val="12"/>
            <color rgb="FF000000"/>
            <rFont val="Calibri"/>
            <family val="2"/>
            <charset val="1"/>
          </rPr>
          <t xml:space="preserve">Hervé COCHARD:
</t>
        </r>
        <r>
          <rPr>
            <sz val="10"/>
            <color rgb="FF000000"/>
            <rFont val="Tahoma"/>
            <family val="2"/>
            <charset val="1"/>
          </rPr>
          <t xml:space="preserve">Minimum conductance of the bud or the flower. 
g_Axil is derived from max &amp; min values and the organ symplasmic potential. Use stomatal Pgs12 &amp;Pgs88 for that: 
 g_Axil=g_Axil_max*(0.76*(P_Axil_Symp-Pgs_88)/(Pgs_12-Pgs_88)+0.12);
    if (g_Axil&lt;g_Axil_min) g_Axil=g_Axil_min;
    if (g_Axil&gt;g_Axil_max) g_Axil=g_Axil_max;</t>
        </r>
      </text>
    </comment>
    <comment ref="IX33" authorId="0">
      <text>
        <r>
          <rPr>
            <sz val="12"/>
            <color rgb="FF000000"/>
            <rFont val="Calibri"/>
            <family val="2"/>
            <charset val="1"/>
          </rPr>
          <t xml:space="preserve">Hervé COCHARD:
</t>
        </r>
        <r>
          <rPr>
            <sz val="10"/>
            <color rgb="FF000000"/>
            <rFont val="Tahoma"/>
            <family val="2"/>
            <charset val="1"/>
          </rPr>
          <t xml:space="preserve">Max cuticular conductance of the bud or the flower. </t>
        </r>
      </text>
    </comment>
    <comment ref="IY33" authorId="0">
      <text>
        <r>
          <rPr>
            <sz val="12"/>
            <color rgb="FF000000"/>
            <rFont val="Calibri"/>
            <family val="2"/>
            <charset val="1"/>
          </rPr>
          <t xml:space="preserve">Hervé Cochard:
</t>
        </r>
        <r>
          <rPr>
            <sz val="10"/>
            <color rgb="FF000000"/>
            <rFont val="Tahoma"/>
            <family val="2"/>
            <charset val="1"/>
          </rPr>
          <t xml:space="preserve">Conductance of the organ petiole periderm</t>
        </r>
      </text>
    </comment>
    <comment ref="IZ33" authorId="0">
      <text>
        <r>
          <rPr>
            <sz val="12"/>
            <color rgb="FF000000"/>
            <rFont val="Calibri"/>
            <family val="2"/>
            <charset val="1"/>
          </rPr>
          <t xml:space="preserve">Hervé COCHARD:
</t>
        </r>
        <r>
          <rPr>
            <sz val="10"/>
            <color rgb="FF000000"/>
            <rFont val="Tahoma"/>
            <family val="2"/>
            <charset val="1"/>
          </rPr>
          <t xml:space="preserve">Cuticule Phase-Transition temperature.
Below Q10_1 above Q10_2</t>
        </r>
      </text>
    </comment>
    <comment ref="JD33" authorId="0">
      <text>
        <r>
          <rPr>
            <sz val="12"/>
            <color rgb="FF000000"/>
            <rFont val="Calibri"/>
            <family val="2"/>
            <charset val="1"/>
          </rPr>
          <t xml:space="preserve">Hervé Cochard:
</t>
        </r>
        <r>
          <rPr>
            <sz val="10"/>
            <color rgb="FF000000"/>
            <rFont val="Tahoma"/>
            <family val="2"/>
            <charset val="1"/>
          </rPr>
          <t xml:space="preserve">if 0 then no growth</t>
        </r>
      </text>
    </comment>
  </commentList>
</comments>
</file>

<file path=xl/comments10.xml><?xml version="1.0" encoding="utf-8"?>
<comments xmlns="http://schemas.openxmlformats.org/spreadsheetml/2006/main" xmlns:xdr="http://schemas.openxmlformats.org/drawingml/2006/spreadsheetDrawing">
  <authors>
    <author> </author>
  </authors>
  <commentList>
    <comment ref="A12" authorId="0">
      <text>
        <r>
          <rPr>
            <sz val="12"/>
            <color rgb="FF000000"/>
            <rFont val="Calibri"/>
            <family val="2"/>
            <charset val="1"/>
          </rPr>
          <t xml:space="preserve">Hervé Cochard:
</t>
        </r>
        <r>
          <rPr>
            <sz val="10"/>
            <color rgb="FF000000"/>
            <rFont val="Tahoma"/>
            <family val="2"/>
            <charset val="1"/>
          </rPr>
          <t xml:space="preserve">define how Ks change with sapwood area. If &lt;2 then Ks increases with area</t>
        </r>
      </text>
    </comment>
    <comment ref="B1" authorId="0">
      <text>
        <r>
          <rPr>
            <sz val="12"/>
            <color rgb="FF000000"/>
            <rFont val="Calibri"/>
            <family val="2"/>
            <charset val="1"/>
          </rPr>
          <t xml:space="preserve">Hervé Cochard:
</t>
        </r>
        <r>
          <rPr>
            <sz val="10"/>
            <color rgb="FF000000"/>
            <rFont val="Tahoma"/>
            <family val="2"/>
            <charset val="1"/>
          </rPr>
          <t xml:space="preserve">do not change white/gray values,coputed from sureau.in sheet</t>
        </r>
      </text>
    </comment>
    <comment ref="B2" authorId="0">
      <text>
        <r>
          <rPr>
            <sz val="12"/>
            <color rgb="FF000000"/>
            <rFont val="Calibri"/>
            <family val="2"/>
            <charset val="1"/>
          </rPr>
          <t xml:space="preserve">Hervé Cochard:
</t>
        </r>
        <r>
          <rPr>
            <sz val="10"/>
            <color rgb="FF000000"/>
            <rFont val="Tahoma"/>
            <family val="2"/>
            <charset val="1"/>
          </rPr>
          <t xml:space="preserve">= trunk L + branch L</t>
        </r>
      </text>
    </comment>
    <comment ref="B3" authorId="0">
      <text>
        <r>
          <rPr>
            <sz val="12"/>
            <color rgb="FF000000"/>
            <rFont val="Calibri"/>
            <family val="2"/>
            <charset val="1"/>
          </rPr>
          <t xml:space="preserve">Hervé Cochard:
</t>
        </r>
        <r>
          <rPr>
            <sz val="10"/>
            <color rgb="FF000000"/>
            <rFont val="Tahoma"/>
            <family val="2"/>
            <charset val="1"/>
          </rPr>
          <t xml:space="preserve">= branch L</t>
        </r>
      </text>
    </comment>
    <comment ref="B4" authorId="0">
      <text>
        <r>
          <rPr>
            <sz val="12"/>
            <color rgb="FF000000"/>
            <rFont val="Calibri"/>
            <family val="2"/>
            <charset val="1"/>
          </rPr>
          <t xml:space="preserve">Hervé Cochard:
</t>
        </r>
        <r>
          <rPr>
            <sz val="10"/>
            <color rgb="FF000000"/>
            <rFont val="Tahoma"/>
            <family val="2"/>
            <charset val="1"/>
          </rPr>
          <t xml:space="preserve">= LA_max, m2</t>
        </r>
      </text>
    </comment>
    <comment ref="B7" authorId="0">
      <text>
        <r>
          <rPr>
            <sz val="12"/>
            <color rgb="FF000000"/>
            <rFont val="Calibri"/>
            <family val="2"/>
            <charset val="1"/>
          </rPr>
          <t xml:space="preserve">Hervé Cochard:
</t>
        </r>
        <r>
          <rPr>
            <sz val="10"/>
            <color rgb="FF000000"/>
            <rFont val="Tahoma"/>
            <family val="2"/>
            <charset val="1"/>
          </rPr>
          <t xml:space="preserve">set to total shoot diam here, but could be less</t>
        </r>
      </text>
    </comment>
    <comment ref="C6" authorId="0">
      <text>
        <r>
          <rPr>
            <sz val="12"/>
            <color rgb="FF000000"/>
            <rFont val="Calibri"/>
            <family val="2"/>
            <charset val="1"/>
          </rPr>
          <t xml:space="preserve">Hervé Cochard:
</t>
        </r>
        <r>
          <rPr>
            <sz val="10"/>
            <color rgb="FF000000"/>
            <rFont val="Tahoma"/>
            <family val="2"/>
            <charset val="1"/>
          </rPr>
          <t xml:space="preserve">Value in mm if not Fractal</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 authorId="0">
      <text>
        <r>
          <rPr>
            <sz val="12"/>
            <color rgb="FF000000"/>
            <rFont val="Calibri"/>
            <family val="2"/>
            <charset val="1"/>
          </rPr>
          <t xml:space="preserve">Hervé Cochard:
</t>
        </r>
        <r>
          <rPr>
            <sz val="10"/>
            <color rgb="FF000000"/>
            <rFont val="Tahoma"/>
            <family val="2"/>
            <charset val="1"/>
          </rPr>
          <t xml:space="preserve">= tree height * root/shoot ratio</t>
        </r>
      </text>
    </comment>
    <comment ref="A4" authorId="0">
      <text>
        <r>
          <rPr>
            <sz val="12"/>
            <color rgb="FF000000"/>
            <rFont val="Calibri"/>
            <family val="2"/>
            <charset val="1"/>
          </rPr>
          <t xml:space="preserve">Hervé Cochard:
</t>
        </r>
        <r>
          <rPr>
            <sz val="10"/>
            <color rgb="FF000000"/>
            <rFont val="Tahoma"/>
            <family val="2"/>
            <charset val="1"/>
          </rPr>
          <t xml:space="preserve">Assumed here equal to leaf area</t>
        </r>
      </text>
    </comment>
    <comment ref="A8" authorId="0">
      <text>
        <r>
          <rPr>
            <sz val="12"/>
            <color rgb="FF000000"/>
            <rFont val="Calibri"/>
            <family val="2"/>
            <charset val="1"/>
          </rPr>
          <t xml:space="preserve">Hervé Cochard:
</t>
        </r>
        <r>
          <rPr>
            <sz val="10"/>
            <color rgb="FF000000"/>
            <rFont val="Tahoma"/>
            <family val="2"/>
            <charset val="1"/>
          </rPr>
          <t xml:space="preserve">surface root *3 = surface trunk</t>
        </r>
      </text>
    </comment>
  </commentList>
</comments>
</file>

<file path=xl/comments18.xml><?xml version="1.0" encoding="utf-8"?>
<comments xmlns="http://schemas.openxmlformats.org/spreadsheetml/2006/main" xmlns:xdr="http://schemas.openxmlformats.org/drawingml/2006/spreadsheetDrawing">
  <authors>
    <author> </author>
  </authors>
  <commentList>
    <comment ref="A5" authorId="0">
      <text>
        <r>
          <rPr>
            <sz val="12"/>
            <color rgb="FF000000"/>
            <rFont val="Calibri"/>
            <family val="2"/>
            <charset val="1"/>
          </rPr>
          <t xml:space="preserve">Hervé COCHARD:
</t>
        </r>
        <r>
          <rPr>
            <sz val="10"/>
            <color rgb="FF000000"/>
            <rFont val="Tahoma"/>
            <family val="2"/>
            <charset val="1"/>
          </rPr>
          <t xml:space="preserve">leaf water content par unit area;
use to compute Q_leaf</t>
        </r>
      </text>
    </comment>
    <comment ref="A10" authorId="0">
      <text>
        <r>
          <rPr>
            <sz val="12"/>
            <color rgb="FF000000"/>
            <rFont val="Calibri"/>
            <family val="2"/>
            <charset val="1"/>
          </rPr>
          <t xml:space="preserve">Hervé Cochard:
</t>
        </r>
        <r>
          <rPr>
            <sz val="9"/>
            <color rgb="FF000000"/>
            <rFont val="Calibri"/>
            <family val="2"/>
            <charset val="1"/>
          </rPr>
          <t xml:space="preserve">Elasticité du symplasme</t>
        </r>
      </text>
    </comment>
    <comment ref="A13" authorId="0">
      <text>
        <r>
          <rPr>
            <sz val="12"/>
            <color rgb="FF000000"/>
            <rFont val="Calibri"/>
            <family val="2"/>
            <charset val="1"/>
          </rPr>
          <t xml:space="preserve">Hervé Cochard:
</t>
        </r>
        <r>
          <rPr>
            <sz val="9"/>
            <color rgb="FF000000"/>
            <rFont val="Calibri"/>
            <family val="2"/>
            <charset val="1"/>
          </rPr>
          <t xml:space="preserve">Osmotic potential at full turgor</t>
        </r>
      </text>
    </comment>
  </commentList>
</comments>
</file>

<file path=xl/comments19.xml><?xml version="1.0" encoding="utf-8"?>
<comments xmlns="http://schemas.openxmlformats.org/spreadsheetml/2006/main" xmlns:xdr="http://schemas.openxmlformats.org/drawingml/2006/spreadsheetDrawing">
  <authors>
    <author> </author>
  </authors>
  <commentList>
    <comment ref="B6" authorId="0">
      <text>
        <r>
          <rPr>
            <sz val="12"/>
            <color rgb="FF000000"/>
            <rFont val="Calibri"/>
            <family val="2"/>
            <charset val="1"/>
          </rPr>
          <t xml:space="preserve">Hervé Cochard:
</t>
        </r>
        <r>
          <rPr>
            <sz val="9"/>
            <color rgb="FF000000"/>
            <rFont val="Calibri"/>
            <family val="2"/>
            <charset val="1"/>
          </rPr>
          <t xml:space="preserve">To be ajusted according to diffent soil types</t>
        </r>
      </text>
    </comment>
    <comment ref="AQ3" authorId="0">
      <text>
        <r>
          <rPr>
            <sz val="12"/>
            <color rgb="FF000000"/>
            <rFont val="Calibri"/>
            <family val="2"/>
            <charset val="1"/>
          </rPr>
          <t xml:space="preserve">Hervé Cochard:
</t>
        </r>
        <r>
          <rPr>
            <sz val="9"/>
            <color rgb="FF000000"/>
            <rFont val="Calibri"/>
            <family val="2"/>
            <charset val="1"/>
          </rPr>
          <t xml:space="preserve">To be ajusted according to diffent soil types</t>
        </r>
      </text>
    </comment>
  </commentList>
</comments>
</file>

<file path=xl/comments22.xml><?xml version="1.0" encoding="utf-8"?>
<comments xmlns="http://schemas.openxmlformats.org/spreadsheetml/2006/main" xmlns:xdr="http://schemas.openxmlformats.org/drawingml/2006/spreadsheetDrawing">
  <authors>
    <author> </author>
  </authors>
  <commentList>
    <comment ref="B25" authorId="0">
      <text>
        <r>
          <rPr>
            <sz val="12"/>
            <color rgb="FF000000"/>
            <rFont val="Calibri"/>
            <family val="2"/>
            <charset val="1"/>
          </rPr>
          <t xml:space="preserve">Hervé Cochard:
</t>
        </r>
        <r>
          <rPr>
            <sz val="10"/>
            <color rgb="FF000000"/>
            <rFont val="Calibri"/>
            <family val="2"/>
            <charset val="1"/>
          </rPr>
          <t xml:space="preserve">If "1" then the same reference turgor presssure is used for a batch of simulations</t>
        </r>
      </text>
    </comment>
    <comment ref="C25" authorId="0">
      <text>
        <r>
          <rPr>
            <sz val="12"/>
            <color rgb="FF000000"/>
            <rFont val="Calibri"/>
            <family val="2"/>
            <charset val="1"/>
          </rPr>
          <t xml:space="preserve">Utilisateur de Microsoft Office:
</t>
        </r>
        <r>
          <rPr>
            <sz val="10"/>
            <color rgb="FF000000"/>
            <rFont val="Calibri"/>
            <family val="2"/>
            <charset val="1"/>
          </rPr>
          <t xml:space="preserve">If tansient=1 intermediate values are saved</t>
        </r>
      </text>
    </comment>
    <comment ref="E25" authorId="0">
      <text>
        <r>
          <rPr>
            <sz val="12"/>
            <color rgb="FF000000"/>
            <rFont val="Calibri"/>
            <family val="2"/>
            <charset val="1"/>
          </rPr>
          <t xml:space="preserve">Hervé Cochard:
</t>
        </r>
        <r>
          <rPr>
            <sz val="10"/>
            <color rgb="FF000000"/>
            <rFont val="Calibri"/>
            <family val="2"/>
            <charset val="1"/>
          </rPr>
          <t xml:space="preserve">if "1" gs is constant during the day. But E can vary if vpd changes</t>
        </r>
      </text>
    </comment>
    <comment ref="F25" authorId="0">
      <text>
        <r>
          <rPr>
            <sz val="12"/>
            <color rgb="FF000000"/>
            <rFont val="Calibri"/>
            <family val="2"/>
            <charset val="1"/>
          </rPr>
          <t xml:space="preserve">Hervé Cochard:
</t>
        </r>
        <r>
          <rPr>
            <sz val="10"/>
            <color rgb="FF000000"/>
            <rFont val="Calibri"/>
            <family val="2"/>
            <charset val="1"/>
          </rPr>
          <t xml:space="preserve">0: K_root CST K_leaf CST
1: K_root CST K_leaf VAR 
2: K_root VAR K_leaf CST
3: K_root VAR K_leaf VAR
</t>
        </r>
      </text>
    </comment>
    <comment ref="G25" authorId="0">
      <text>
        <r>
          <rPr>
            <sz val="12"/>
            <color rgb="FF000000"/>
            <rFont val="Calibri"/>
            <family val="2"/>
            <charset val="1"/>
          </rPr>
          <t xml:space="preserve">Hervé Cochard:
</t>
        </r>
        <r>
          <rPr>
            <b val="true"/>
            <sz val="10"/>
            <color rgb="FF000000"/>
            <rFont val="Calibri"/>
            <family val="2"/>
            <charset val="1"/>
          </rPr>
          <t xml:space="preserve">0= not cut
</t>
        </r>
        <r>
          <rPr>
            <sz val="10"/>
            <color rgb="FF000000"/>
            <rFont val="Calibri"/>
            <family val="2"/>
            <charset val="1"/>
          </rPr>
          <t xml:space="preserve">1= a cut branch ( K_Branch_apo=0) 
2=  a cut tree ( K_Trunk_apo=0)</t>
        </r>
      </text>
    </comment>
    <comment ref="H25" authorId="0">
      <text>
        <r>
          <rPr>
            <sz val="12"/>
            <color rgb="FF000000"/>
            <rFont val="Calibri"/>
            <family val="2"/>
            <charset val="1"/>
          </rPr>
          <t xml:space="preserve">Hervé Cochard:
</t>
        </r>
        <r>
          <rPr>
            <sz val="10"/>
            <color rgb="FF000000"/>
            <rFont val="Calibri"/>
            <family val="2"/>
            <charset val="1"/>
          </rPr>
          <t xml:space="preserve">End simualtion when
0= no end
 1= PLC_leaf = 100%
2= PLC_branch=100%
3= leaf or branch</t>
        </r>
      </text>
    </comment>
    <comment ref="I25" authorId="0">
      <text>
        <r>
          <rPr>
            <sz val="12"/>
            <color rgb="FF000000"/>
            <rFont val="Calibri"/>
            <family val="2"/>
            <charset val="1"/>
          </rPr>
          <t xml:space="preserve">Hervé Cochard:
</t>
        </r>
        <r>
          <rPr>
            <sz val="10"/>
            <color rgb="FF000000"/>
            <rFont val="Calibri"/>
            <family val="2"/>
            <charset val="1"/>
          </rPr>
          <t xml:space="preserve">Duration of the simulation in days. If "0" then infinite.</t>
        </r>
      </text>
    </comment>
    <comment ref="J25" authorId="0">
      <text>
        <r>
          <rPr>
            <sz val="12"/>
            <color rgb="FF000000"/>
            <rFont val="Calibri"/>
            <family val="2"/>
            <charset val="1"/>
          </rPr>
          <t xml:space="preserve">Hervé Cochard:
</t>
        </r>
        <r>
          <rPr>
            <sz val="10"/>
            <color rgb="FF000000"/>
            <rFont val="Calibri"/>
            <family val="2"/>
            <charset val="1"/>
          </rPr>
          <t xml:space="preserve">time increment for the computation. If higher then faster but may crash!</t>
        </r>
      </text>
    </comment>
    <comment ref="K25" authorId="0">
      <text>
        <r>
          <rPr>
            <sz val="12"/>
            <color rgb="FF000000"/>
            <rFont val="Calibri"/>
            <family val="2"/>
            <charset val="1"/>
          </rPr>
          <t xml:space="preserve">Hervé Cochard:
</t>
        </r>
        <r>
          <rPr>
            <sz val="10"/>
            <color rgb="FF000000"/>
            <rFont val="Calibri"/>
            <family val="2"/>
            <charset val="1"/>
          </rPr>
          <t xml:space="preserve">indicate when data are printed on screen or in the file. If 24 then only midday values ares saved.</t>
        </r>
      </text>
    </comment>
    <comment ref="L25" authorId="0">
      <text>
        <r>
          <rPr>
            <sz val="12"/>
            <color rgb="FF000000"/>
            <rFont val="Calibri"/>
            <family val="2"/>
            <charset val="1"/>
          </rPr>
          <t xml:space="preserve">Hervé Cochard:
</t>
        </r>
        <r>
          <rPr>
            <sz val="10"/>
            <color rgb="FF000000"/>
            <rFont val="Calibri"/>
            <family val="2"/>
            <charset val="1"/>
          </rPr>
          <t xml:space="preserve">0= generated no file
1= a climatic file with infra-day day and interpolation
2=  a climatic file with one data par day and computed values</t>
        </r>
      </text>
    </comment>
    <comment ref="M25" authorId="0">
      <text>
        <r>
          <rPr>
            <sz val="12"/>
            <color rgb="FF000000"/>
            <rFont val="Calibri"/>
            <family val="2"/>
            <charset val="1"/>
          </rPr>
          <t xml:space="preserve">Hervé Cochard:
</t>
        </r>
        <r>
          <rPr>
            <sz val="10"/>
            <color rgb="FF000000"/>
            <rFont val="Calibri"/>
            <family val="2"/>
            <charset val="1"/>
          </rPr>
          <t xml:space="preserve">If 1 leaf temperature is computed from energy budget. 
If  0 Tleaf=Tair</t>
        </r>
      </text>
    </comment>
    <comment ref="N25" authorId="0">
      <text>
        <r>
          <rPr>
            <sz val="12"/>
            <color rgb="FF000000"/>
            <rFont val="Calibri"/>
            <family val="2"/>
            <charset val="1"/>
          </rPr>
          <t xml:space="preserve">Hervé Cochard:
</t>
        </r>
        <r>
          <rPr>
            <sz val="10"/>
            <color rgb="FF000000"/>
            <rFont val="Tahoma"/>
            <family val="2"/>
            <charset val="1"/>
          </rPr>
          <t xml:space="preserve">if 1 account for temperature effect on water fluidity</t>
        </r>
      </text>
    </comment>
    <comment ref="O25" authorId="0">
      <text>
        <r>
          <rPr>
            <sz val="12"/>
            <color rgb="FF000000"/>
            <rFont val="Calibri"/>
            <family val="2"/>
            <charset val="1"/>
          </rPr>
          <t xml:space="preserve">Hervé Cochard:
</t>
        </r>
        <r>
          <rPr>
            <sz val="10"/>
            <color rgb="FF000000"/>
            <rFont val="Tahoma"/>
            <family val="2"/>
            <charset val="1"/>
          </rPr>
          <t xml:space="preserve">To account for T effect on ST and P50</t>
        </r>
      </text>
    </comment>
    <comment ref="P25" authorId="0">
      <text>
        <r>
          <rPr>
            <sz val="12"/>
            <color rgb="FF000000"/>
            <rFont val="Calibri"/>
            <family val="2"/>
            <charset val="1"/>
          </rPr>
          <t xml:space="preserve">Hervé Cochard:
</t>
        </r>
        <r>
          <rPr>
            <sz val="10"/>
            <color rgb="FF000000"/>
            <rFont val="Tahoma"/>
            <family val="2"/>
            <charset val="1"/>
          </rPr>
          <t xml:space="preserve">To account for the effect of T on osmotic potential</t>
        </r>
      </text>
    </comment>
    <comment ref="Q25" authorId="0">
      <text>
        <r>
          <rPr>
            <sz val="12"/>
            <color rgb="FF000000"/>
            <rFont val="Calibri"/>
            <family val="2"/>
            <charset val="1"/>
          </rPr>
          <t xml:space="preserve">Hervé Cochard:
</t>
        </r>
        <r>
          <rPr>
            <sz val="10"/>
            <color rgb="FF000000"/>
            <rFont val="Tahoma"/>
            <family val="2"/>
            <charset val="1"/>
          </rPr>
          <t xml:space="preserve">to account for the effect of T on g_min</t>
        </r>
      </text>
    </comment>
    <comment ref="R25" authorId="0">
      <text>
        <r>
          <rPr>
            <sz val="12"/>
            <color rgb="FF000000"/>
            <rFont val="Calibri"/>
            <family val="2"/>
            <charset val="1"/>
          </rPr>
          <t xml:space="preserve">Hervé Cochard:
</t>
        </r>
        <r>
          <rPr>
            <sz val="10"/>
            <color rgb="FF000000"/>
            <rFont val="Calibri"/>
            <family val="2"/>
            <charset val="1"/>
          </rPr>
          <t xml:space="preserve">0=P12
1=turgor_midday
2=turgor_max
9= custom</t>
        </r>
      </text>
    </comment>
    <comment ref="S25" authorId="0">
      <text>
        <r>
          <rPr>
            <sz val="12"/>
            <color rgb="FF000000"/>
            <rFont val="Calibri"/>
            <family val="2"/>
            <charset val="1"/>
          </rPr>
          <t xml:space="preserve">Hervé Cochard:
</t>
        </r>
        <r>
          <rPr>
            <sz val="10"/>
            <color rgb="FF000000"/>
            <rFont val="Calibri"/>
            <family val="2"/>
            <charset val="1"/>
          </rPr>
          <t xml:space="preserve">This is the threshold PLC for stomatal closure when Regul_turgor=0</t>
        </r>
      </text>
    </comment>
  </commentList>
</comments>
</file>

<file path=xl/comments3.xml><?xml version="1.0" encoding="utf-8"?>
<comments xmlns="http://schemas.openxmlformats.org/spreadsheetml/2006/main" xmlns:xdr="http://schemas.openxmlformats.org/drawingml/2006/spreadsheetDrawing">
  <authors>
    <author> </author>
  </authors>
  <commentList>
    <comment ref="E6" authorId="0">
      <text>
        <r>
          <rPr>
            <sz val="12"/>
            <color rgb="FF000000"/>
            <rFont val="Calibri"/>
            <family val="2"/>
            <charset val="1"/>
          </rPr>
          <t xml:space="preserve">Hervé Cochard:
</t>
        </r>
        <r>
          <rPr>
            <sz val="10"/>
            <color rgb="FF000000"/>
            <rFont val="Tahoma"/>
            <family val="2"/>
            <charset val="1"/>
          </rPr>
          <t xml:space="preserve">If FILE=2 then print DOY-DOY_0</t>
        </r>
      </text>
    </comment>
    <comment ref="E156" authorId="0">
      <text>
        <r>
          <rPr>
            <sz val="12"/>
            <color rgb="FF000000"/>
            <rFont val="Calibri"/>
            <family val="2"/>
            <charset val="1"/>
          </rPr>
          <t xml:space="preserve">Hervé Cochard:
</t>
        </r>
        <r>
          <rPr>
            <sz val="10"/>
            <color rgb="FF000000"/>
            <rFont val="Tahoma"/>
            <family val="2"/>
            <charset val="1"/>
          </rPr>
          <t xml:space="preserve">if 2 then in kg/day</t>
        </r>
      </text>
    </comment>
  </commentList>
</comments>
</file>

<file path=xl/comments9.xml><?xml version="1.0" encoding="utf-8"?>
<comments xmlns="http://schemas.openxmlformats.org/spreadsheetml/2006/main" xmlns:xdr="http://schemas.openxmlformats.org/drawingml/2006/spreadsheetDrawing">
  <authors>
    <author> </author>
  </authors>
  <commentList>
    <comment ref="D4" authorId="0">
      <text>
        <r>
          <rPr>
            <sz val="12"/>
            <color rgb="FF000000"/>
            <rFont val="Calibri"/>
            <family val="2"/>
            <charset val="1"/>
          </rPr>
          <t xml:space="preserve">Hervé Cochard:
</t>
        </r>
        <r>
          <rPr>
            <sz val="10"/>
            <color rgb="FF000000"/>
            <rFont val="Tahoma"/>
            <family val="2"/>
            <charset val="1"/>
          </rPr>
          <t xml:space="preserve">Typical leaf transpiration day at midday under well water conditions for the top leaves assuming gs=gs_max</t>
        </r>
      </text>
    </comment>
    <comment ref="E4" authorId="0">
      <text>
        <r>
          <rPr>
            <sz val="12"/>
            <color rgb="FF000000"/>
            <rFont val="Calibri"/>
            <family val="2"/>
            <charset val="1"/>
          </rPr>
          <t xml:space="preserve">Hervé Cochard:
</t>
        </r>
        <r>
          <rPr>
            <sz val="10"/>
            <color rgb="FF000000"/>
            <rFont val="Tahoma"/>
            <family val="2"/>
            <charset val="1"/>
          </rPr>
          <t xml:space="preserve">Typical leaf transpiration day at midday under well water conditions for </t>
        </r>
        <r>
          <rPr>
            <b val="true"/>
            <sz val="10"/>
            <color rgb="FF000000"/>
            <rFont val="Tahoma"/>
            <family val="2"/>
            <charset val="1"/>
          </rPr>
          <t xml:space="preserve">all the canopy </t>
        </r>
        <r>
          <rPr>
            <sz val="10"/>
            <color rgb="FF000000"/>
            <rFont val="Tahoma"/>
            <family val="2"/>
            <charset val="1"/>
          </rPr>
          <t xml:space="preserve">assuming gs=gs_max</t>
        </r>
      </text>
    </comment>
    <comment ref="G4" authorId="0">
      <text>
        <r>
          <rPr>
            <sz val="12"/>
            <color rgb="FF000000"/>
            <rFont val="Calibri"/>
            <family val="2"/>
            <charset val="1"/>
          </rPr>
          <t xml:space="preserve">Hervé Cochard:
</t>
        </r>
        <r>
          <rPr>
            <sz val="10"/>
            <color rgb="FF000000"/>
            <rFont val="Tahoma"/>
            <family val="2"/>
            <charset val="1"/>
          </rPr>
          <t xml:space="preserve">Typical midday leaf water potential at midday under well water conditions
Remove gravity !</t>
        </r>
      </text>
    </comment>
    <comment ref="I4" authorId="0">
      <text>
        <r>
          <rPr>
            <sz val="12"/>
            <color rgb="FF000000"/>
            <rFont val="Calibri"/>
            <family val="2"/>
            <charset val="1"/>
          </rPr>
          <t xml:space="preserve">Hervé Cochard:
</t>
        </r>
        <r>
          <rPr>
            <sz val="10"/>
            <color rgb="FF000000"/>
            <rFont val="Tahoma"/>
            <family val="2"/>
            <charset val="1"/>
          </rPr>
          <t xml:space="preserve">Whole tree leaf-area-specific hydraulic conductance</t>
        </r>
      </text>
    </comment>
    <comment ref="J4" authorId="0">
      <text>
        <r>
          <rPr>
            <sz val="12"/>
            <color rgb="FF000000"/>
            <rFont val="Calibri"/>
            <family val="2"/>
            <charset val="1"/>
          </rPr>
          <t xml:space="preserve">Hervé Cochard:
</t>
        </r>
        <r>
          <rPr>
            <sz val="10"/>
            <color rgb="FF000000"/>
            <rFont val="Tahoma"/>
            <family val="2"/>
            <charset val="1"/>
          </rPr>
          <t xml:space="preserve">Whole tree hydraulic conductance</t>
        </r>
      </text>
    </comment>
  </commentList>
</comments>
</file>

<file path=xl/sharedStrings.xml><?xml version="1.0" encoding="utf-8"?>
<sst xmlns="http://schemas.openxmlformats.org/spreadsheetml/2006/main" count="4967" uniqueCount="2546">
  <si>
    <t xml:space="preserve">SUREAU</t>
  </si>
  <si>
    <t xml:space="preserve">List of arguments (YES=1; NO=0) and variables to parametrize a simulation with Sureau.exe</t>
  </si>
  <si>
    <t xml:space="preserve">ask herve.cochard@inrae.fr for permission to distribute</t>
  </si>
  <si>
    <t xml:space="preserve">saturation - </t>
  </si>
  <si>
    <t xml:space="preserve">field capacity - </t>
  </si>
  <si>
    <t xml:space="preserve">Field capacity - </t>
  </si>
  <si>
    <t xml:space="preserve">soil</t>
  </si>
  <si>
    <t xml:space="preserve">Ptlp</t>
  </si>
  <si>
    <t xml:space="preserve">Define how the  symplasmic conductances vary or not; used also for Acclimation (=10)</t>
  </si>
  <si>
    <t xml:space="preserve">Synthesis</t>
  </si>
  <si>
    <t xml:space="preserve">Organ</t>
  </si>
  <si>
    <t xml:space="preserve">F at vpd max, mmol/s</t>
  </si>
  <si>
    <t xml:space="preserve">K, mmol/s/Mpa</t>
  </si>
  <si>
    <r>
      <rPr>
        <b val="true"/>
        <sz val="12"/>
        <color rgb="FF000000"/>
        <rFont val="Symbol"/>
        <family val="0"/>
        <charset val="2"/>
      </rPr>
      <t xml:space="preserve">Y</t>
    </r>
    <r>
      <rPr>
        <b val="true"/>
        <sz val="12"/>
        <color rgb="FF000000"/>
        <rFont val="Calibri"/>
        <family val="2"/>
        <charset val="1"/>
      </rPr>
      <t xml:space="preserve"> drop</t>
    </r>
  </si>
  <si>
    <t xml:space="preserve">Water Content Kg</t>
  </si>
  <si>
    <t xml:space="preserve">% Resistance</t>
  </si>
  <si>
    <t xml:space="preserve">%water content</t>
  </si>
  <si>
    <t xml:space="preserve">© H Cochard</t>
  </si>
  <si>
    <t xml:space="preserve">Each data line is for one simulation; add as many lines as simulations that will be treated sequencially</t>
  </si>
  <si>
    <t xml:space="preserve">E, mmol/s/m2</t>
  </si>
  <si>
    <t xml:space="preserve">Area, m2</t>
  </si>
  <si>
    <t xml:space="preserve">field capacity</t>
  </si>
  <si>
    <t xml:space="preserve">wilting point</t>
  </si>
  <si>
    <t xml:space="preserve">residual</t>
  </si>
  <si>
    <t xml:space="preserve">Wilting point</t>
  </si>
  <si>
    <t xml:space="preserve">root symp</t>
  </si>
  <si>
    <t xml:space="preserve">0: Symplasmic K constant  but vary with T</t>
  </si>
  <si>
    <t xml:space="preserve">leaf symp</t>
  </si>
  <si>
    <t xml:space="preserve">leaf</t>
  </si>
  <si>
    <t xml:space="preserve">INRAE</t>
  </si>
  <si>
    <t xml:space="preserve">Copy / Paste the data cells (only !) in the sureau_ini.txt text file (must be pasted as a plain text)</t>
  </si>
  <si>
    <t xml:space="preserve">WARNING</t>
  </si>
  <si>
    <t xml:space="preserve">leaf symp1</t>
  </si>
  <si>
    <t xml:space="preserve">Soil parametrs: </t>
  </si>
  <si>
    <t xml:space="preserve">θsat</t>
  </si>
  <si>
    <t xml:space="preserve">θres</t>
  </si>
  <si>
    <t xml:space="preserve">α </t>
  </si>
  <si>
    <t xml:space="preserve">n </t>
  </si>
  <si>
    <t xml:space="preserve">Ksat </t>
  </si>
  <si>
    <t xml:space="preserve">l</t>
  </si>
  <si>
    <t xml:space="preserve">Rock-fraction1</t>
  </si>
  <si>
    <t xml:space="preserve">RF2</t>
  </si>
  <si>
    <t xml:space="preserve">RF3</t>
  </si>
  <si>
    <t xml:space="preserve">θfc P=33kPa</t>
  </si>
  <si>
    <t xml:space="preserve">θwp P=1.585MPa</t>
  </si>
  <si>
    <t xml:space="preserve">θwp P=3.5MPa</t>
  </si>
  <si>
    <t xml:space="preserve">θfc P=xxkPa</t>
  </si>
  <si>
    <t xml:space="preserve">WR, mm</t>
  </si>
  <si>
    <t xml:space="preserve">RU_tot, mm</t>
  </si>
  <si>
    <t xml:space="preserve">REW @ fc</t>
  </si>
  <si>
    <t xml:space="preserve">RU_wp, mm</t>
  </si>
  <si>
    <t xml:space="preserve">RU_3.5, mm</t>
  </si>
  <si>
    <t xml:space="preserve">1: K_leaf variable (Scoffoni): K= K_VAR_P1 + K_VAR_P2 * exp (K_VAR_P 3 * P_Leaf_Symp) with  K_VAR_P1=6.83; K_VAR_P2=81.4; K_VAR_P3=7.56;</t>
  </si>
  <si>
    <t xml:space="preserve">leaf apo</t>
  </si>
  <si>
    <t xml:space="preserve">Cells with green data contain formulas !</t>
  </si>
  <si>
    <t xml:space="preserve">leaf symp2</t>
  </si>
  <si>
    <t xml:space="preserve">Sand</t>
  </si>
  <si>
    <t xml:space="preserve">P12 leaf</t>
  </si>
  <si>
    <t xml:space="preserve">shoot</t>
  </si>
  <si>
    <t xml:space="preserve">root</t>
  </si>
  <si>
    <t xml:space="preserve">11: like 1 but with linear equation ith Pleaf (Lawren C3 C4)</t>
  </si>
  <si>
    <t xml:space="preserve">Flower symp</t>
  </si>
  <si>
    <t xml:space="preserve">Flower</t>
  </si>
  <si>
    <t xml:space="preserve">Values for the first line #36 only</t>
  </si>
  <si>
    <t xml:space="preserve">leaf symp3</t>
  </si>
  <si>
    <t xml:space="preserve">Clay</t>
  </si>
  <si>
    <t xml:space="preserve">roo apo</t>
  </si>
  <si>
    <t xml:space="preserve">Leonardo exp (Diam aubier)</t>
  </si>
  <si>
    <t xml:space="preserve">Delta2</t>
  </si>
  <si>
    <t xml:space="preserve">Regul_gs</t>
  </si>
  <si>
    <t xml:space="preserve">2: K_root VAR (Scoffoni) K=  K_VAR_P1  + K_VAR_P2 *exp(K_VAR_P3 *P_Leaf_Symp)</t>
  </si>
  <si>
    <t xml:space="preserve">with  K_VAR_P1=4.25; K_VAR_P2=495; K_VAR_P3=5.85; </t>
  </si>
  <si>
    <t xml:space="preserve">Petiole symp</t>
  </si>
  <si>
    <t xml:space="preserve">Summary</t>
  </si>
  <si>
    <t xml:space="preserve">do not modify</t>
  </si>
  <si>
    <t xml:space="preserve">P50_Leaf, Mpa</t>
  </si>
  <si>
    <t xml:space="preserve">mmol/s/Mpa</t>
  </si>
  <si>
    <t xml:space="preserve">per m2</t>
  </si>
  <si>
    <t xml:space="preserve">Kg</t>
  </si>
  <si>
    <t xml:space="preserve">mmol</t>
  </si>
  <si>
    <t xml:space="preserve">g</t>
  </si>
  <si>
    <t xml:space="preserve">leaf apo1</t>
  </si>
  <si>
    <t xml:space="preserve">Loam</t>
  </si>
  <si>
    <t xml:space="preserve">Leonardo exp (Diam segment)</t>
  </si>
  <si>
    <t xml:space="preserve">Delta1</t>
  </si>
  <si>
    <r>
      <rPr>
        <sz val="12"/>
        <color rgb="FF000000"/>
        <rFont val="Calibri"/>
        <family val="2"/>
        <charset val="1"/>
      </rPr>
      <t xml:space="preserve">0= </t>
    </r>
    <r>
      <rPr>
        <b val="true"/>
        <sz val="12"/>
        <color rgb="FF000000"/>
        <rFont val="Calibri"/>
        <family val="2"/>
        <charset val="1"/>
      </rPr>
      <t xml:space="preserve">gs</t>
    </r>
    <r>
      <rPr>
        <sz val="12"/>
        <color rgb="FF000000"/>
        <rFont val="Calibri"/>
        <family val="2"/>
        <charset val="1"/>
      </rPr>
      <t xml:space="preserve"> not regulated</t>
    </r>
  </si>
  <si>
    <t xml:space="preserve">3: K_root VAR (Doux-Glace) </t>
  </si>
  <si>
    <t xml:space="preserve">Petiole apo</t>
  </si>
  <si>
    <t xml:space="preserve">LA, m2</t>
  </si>
  <si>
    <t xml:space="preserve">P12_Leaf</t>
  </si>
  <si>
    <t xml:space="preserve">K_leaf_symp</t>
  </si>
  <si>
    <t xml:space="preserve">Q_Leaf_Symp0, Kg</t>
  </si>
  <si>
    <t xml:space="preserve">leaf apo2</t>
  </si>
  <si>
    <t xml:space="preserve">Loamy sand</t>
  </si>
  <si>
    <t xml:space="preserve">P12 branch</t>
  </si>
  <si>
    <t xml:space="preserve">Fractal dimension (Length)</t>
  </si>
  <si>
    <t xml:space="preserve">F</t>
  </si>
  <si>
    <t xml:space="preserve">if 0 the Leaf area and root area constant to max</t>
  </si>
  <si>
    <r>
      <rPr>
        <sz val="12"/>
        <color rgb="FF000000"/>
        <rFont val="Calibri"/>
        <family val="2"/>
        <charset val="1"/>
      </rPr>
      <t xml:space="preserve">1=</t>
    </r>
    <r>
      <rPr>
        <b val="true"/>
        <sz val="12"/>
        <color rgb="FF000000"/>
        <rFont val="Calibri"/>
        <family val="2"/>
        <charset val="1"/>
      </rPr>
      <t xml:space="preserve"> gs</t>
    </r>
    <r>
      <rPr>
        <sz val="12"/>
        <color rgb="FF000000"/>
        <rFont val="Calibri"/>
        <family val="2"/>
        <charset val="1"/>
      </rPr>
      <t xml:space="preserve"> respond to  </t>
    </r>
    <r>
      <rPr>
        <b val="true"/>
        <sz val="12"/>
        <color rgb="FF000000"/>
        <rFont val="Calibri"/>
        <family val="2"/>
        <charset val="1"/>
      </rPr>
      <t xml:space="preserve">midday Turgor</t>
    </r>
  </si>
  <si>
    <t xml:space="preserve">if T_Soil_i&lt;T_soil_crit) K_Root_Symp_i = 0; </t>
  </si>
  <si>
    <t xml:space="preserve">Branch symp</t>
  </si>
  <si>
    <t xml:space="preserve">Branch</t>
  </si>
  <si>
    <t xml:space="preserve">LAI_soil</t>
  </si>
  <si>
    <t xml:space="preserve">Px_leaf</t>
  </si>
  <si>
    <t xml:space="preserve">K_leaf_apo</t>
  </si>
  <si>
    <t xml:space="preserve">Q_Leaf_Apo0, Kg</t>
  </si>
  <si>
    <t xml:space="preserve">leaf apo3</t>
  </si>
  <si>
    <t xml:space="preserve">Puechabon</t>
  </si>
  <si>
    <t xml:space="preserve">trunk apo</t>
  </si>
  <si>
    <t xml:space="preserve">Nombre de branches par nœuds</t>
  </si>
  <si>
    <t xml:space="preserve">N</t>
  </si>
  <si>
    <t xml:space="preserve">=</t>
  </si>
  <si>
    <t xml:space="preserve">if =1 then LA varies between LAmin and LAmax;  Root_area constant to max</t>
  </si>
  <si>
    <r>
      <rPr>
        <sz val="12"/>
        <color rgb="FF000000"/>
        <rFont val="Calibri"/>
        <family val="2"/>
        <charset val="1"/>
      </rPr>
      <t xml:space="preserve">2= </t>
    </r>
    <r>
      <rPr>
        <b val="true"/>
        <sz val="12"/>
        <color rgb="FF000000"/>
        <rFont val="Calibri"/>
        <family val="2"/>
        <charset val="1"/>
      </rPr>
      <t xml:space="preserve">gs</t>
    </r>
    <r>
      <rPr>
        <sz val="12"/>
        <color rgb="FF000000"/>
        <rFont val="Calibri"/>
        <family val="2"/>
        <charset val="1"/>
      </rPr>
      <t xml:space="preserve"> respond to </t>
    </r>
    <r>
      <rPr>
        <b val="true"/>
        <sz val="12"/>
        <color rgb="FF000000"/>
        <rFont val="Calibri"/>
        <family val="2"/>
        <charset val="1"/>
      </rPr>
      <t xml:space="preserve">max turgor</t>
    </r>
    <r>
      <rPr>
        <sz val="12"/>
        <color rgb="FF000000"/>
        <rFont val="Calibri"/>
        <family val="2"/>
        <charset val="1"/>
      </rPr>
      <t xml:space="preserve">*</t>
    </r>
    <r>
      <rPr>
        <i val="true"/>
        <sz val="12"/>
        <color rgb="FFFF0000"/>
        <rFont val="Calibri (Corps)"/>
        <family val="0"/>
        <charset val="1"/>
      </rPr>
      <t xml:space="preserve">para1</t>
    </r>
    <r>
      <rPr>
        <sz val="12"/>
        <color rgb="FF000000"/>
        <rFont val="Calibri"/>
        <family val="2"/>
        <charset val="1"/>
      </rPr>
      <t xml:space="preserve"> (0.5 is a typical value for para 1)</t>
    </r>
  </si>
  <si>
    <t xml:space="preserve">if T_root &lt; K_VAR_P1  K_Root_Apo_i = 0; </t>
  </si>
  <si>
    <t xml:space="preserve">Branch apo</t>
  </si>
  <si>
    <t xml:space="preserve">LAI_crown</t>
  </si>
  <si>
    <t xml:space="preserve">P50_Branch</t>
  </si>
  <si>
    <t xml:space="preserve">K_branch_sym tot</t>
  </si>
  <si>
    <t xml:space="preserve">Q_Branch_Symp</t>
  </si>
  <si>
    <t xml:space="preserve">Bonan Gordon</t>
  </si>
  <si>
    <t xml:space="preserve">segment base houppier</t>
  </si>
  <si>
    <t xml:space="preserve">node_base</t>
  </si>
  <si>
    <t xml:space="preserve">LA_day1=LA_para1  burburst</t>
  </si>
  <si>
    <r>
      <rPr>
        <sz val="12"/>
        <color rgb="FF000000"/>
        <rFont val="Calibri"/>
        <family val="2"/>
        <charset val="1"/>
      </rPr>
      <t xml:space="preserve">   15= like 2 but with a </t>
    </r>
    <r>
      <rPr>
        <b val="true"/>
        <sz val="12"/>
        <color rgb="FF000000"/>
        <rFont val="Calibri"/>
        <family val="2"/>
        <charset val="1"/>
      </rPr>
      <t xml:space="preserve">sigmoid</t>
    </r>
    <r>
      <rPr>
        <sz val="12"/>
        <color rgb="FF000000"/>
        <rFont val="Calibri"/>
        <family val="2"/>
        <charset val="1"/>
      </rPr>
      <t xml:space="preserve"> fit between P_leaf_symp at 0.12 *max_turgor*</t>
    </r>
    <r>
      <rPr>
        <i val="true"/>
        <sz val="12"/>
        <color rgb="FFFF0000"/>
        <rFont val="Calibri (Corps)"/>
        <family val="0"/>
        <charset val="1"/>
      </rPr>
      <t xml:space="preserve">para1</t>
    </r>
    <r>
      <rPr>
        <sz val="12"/>
        <color rgb="FF000000"/>
        <rFont val="Calibri"/>
        <family val="2"/>
        <charset val="1"/>
      </rPr>
      <t xml:space="preserve"> and 0.88*max_turgor*</t>
    </r>
    <r>
      <rPr>
        <i val="true"/>
        <sz val="12"/>
        <color rgb="FFFF0000"/>
        <rFont val="Calibri (Corps)"/>
        <family val="0"/>
        <charset val="1"/>
      </rPr>
      <t xml:space="preserve">para1</t>
    </r>
  </si>
  <si>
    <t xml:space="preserve">PAR_in*exp(-Extinction_Coeff*LAI_crown[i-1])</t>
  </si>
  <si>
    <t xml:space="preserve">if T_trunk&lt; K_VAR_P2  K_Trunk_Apo_i = 0; </t>
  </si>
  <si>
    <t xml:space="preserve">trunk symp</t>
  </si>
  <si>
    <t xml:space="preserve">trunk</t>
  </si>
  <si>
    <t xml:space="preserve">Height, m</t>
  </si>
  <si>
    <t xml:space="preserve">P12_Branch</t>
  </si>
  <si>
    <t xml:space="preserve">K_branch_apo tot</t>
  </si>
  <si>
    <t xml:space="preserve">Q_Branch_apo</t>
  </si>
  <si>
    <t xml:space="preserve">P12 trunk</t>
  </si>
  <si>
    <t xml:space="preserve">N terminal segments</t>
  </si>
  <si>
    <t xml:space="preserve">LA_day2=LA_para2 LA is max</t>
  </si>
  <si>
    <r>
      <rPr>
        <sz val="12"/>
        <color rgb="FF000000"/>
        <rFont val="Calibri"/>
        <family val="2"/>
        <charset val="1"/>
      </rPr>
      <t xml:space="preserve">3= </t>
    </r>
    <r>
      <rPr>
        <b val="true"/>
        <sz val="12"/>
        <color rgb="FF000000"/>
        <rFont val="Calibri"/>
        <family val="2"/>
        <charset val="1"/>
      </rPr>
      <t xml:space="preserve">E</t>
    </r>
    <r>
      <rPr>
        <sz val="12"/>
        <color rgb="FF000000"/>
        <rFont val="Calibri"/>
        <family val="2"/>
        <charset val="1"/>
      </rPr>
      <t xml:space="preserve"> respond to </t>
    </r>
    <r>
      <rPr>
        <i val="true"/>
        <sz val="12"/>
        <color rgb="FFFF0000"/>
        <rFont val="Calibri (Corps)"/>
        <family val="0"/>
        <charset val="1"/>
      </rPr>
      <t xml:space="preserve">para2</t>
    </r>
    <r>
      <rPr>
        <sz val="12"/>
        <color rgb="FFFF0000"/>
        <rFont val="Calibri (Corps)"/>
        <family val="0"/>
        <charset val="1"/>
      </rPr>
      <t xml:space="preserve"> </t>
    </r>
    <r>
      <rPr>
        <sz val="12"/>
        <color rgb="FF000000"/>
        <rFont val="Calibri"/>
        <family val="2"/>
        <charset val="1"/>
      </rPr>
      <t xml:space="preserve">= </t>
    </r>
    <r>
      <rPr>
        <b val="true"/>
        <sz val="12"/>
        <color rgb="FF000000"/>
        <rFont val="Calibri"/>
        <family val="2"/>
        <charset val="1"/>
      </rPr>
      <t xml:space="preserve">P_branch_apo</t>
    </r>
    <r>
      <rPr>
        <sz val="12"/>
        <color rgb="FF000000"/>
        <rFont val="Calibri"/>
        <family val="2"/>
        <charset val="1"/>
      </rPr>
      <t xml:space="preserve">; gamma attenuation factor is </t>
    </r>
    <r>
      <rPr>
        <i val="true"/>
        <sz val="12"/>
        <color rgb="FFFF0000"/>
        <rFont val="Calibri (Corps)"/>
        <family val="0"/>
        <charset val="1"/>
      </rPr>
      <t xml:space="preserve">para1 </t>
    </r>
    <r>
      <rPr>
        <sz val="12"/>
        <color rgb="FF000000"/>
        <rFont val="Calibri"/>
        <family val="2"/>
        <charset val="1"/>
      </rPr>
      <t xml:space="preserve">(0.8 is typical)</t>
    </r>
  </si>
  <si>
    <t xml:space="preserve">if T_branch&lt; K_VAR_P3  K_Branch_Apo_i = 0; </t>
  </si>
  <si>
    <t xml:space="preserve">Sapwood area, m2</t>
  </si>
  <si>
    <t xml:space="preserve">P_tlp</t>
  </si>
  <si>
    <t xml:space="preserve">K_trunk_sym</t>
  </si>
  <si>
    <t xml:space="preserve">Q_Trunk_Symp</t>
  </si>
  <si>
    <t xml:space="preserve">Loamy Sand</t>
  </si>
  <si>
    <t xml:space="preserve">branch apo1</t>
  </si>
  <si>
    <t xml:space="preserve">LA_day3=LA_para3 LA start to decline</t>
  </si>
  <si>
    <r>
      <rPr>
        <sz val="12"/>
        <color rgb="FF000000"/>
        <rFont val="Calibri"/>
        <family val="2"/>
        <charset val="1"/>
      </rPr>
      <t xml:space="preserve">4= </t>
    </r>
    <r>
      <rPr>
        <b val="true"/>
        <sz val="12"/>
        <color rgb="FF000000"/>
        <rFont val="Calibri"/>
        <family val="2"/>
        <charset val="1"/>
      </rPr>
      <t xml:space="preserve">E</t>
    </r>
    <r>
      <rPr>
        <sz val="12"/>
        <color rgb="FF000000"/>
        <rFont val="Calibri"/>
        <family val="2"/>
        <charset val="1"/>
      </rPr>
      <t xml:space="preserve"> respond to  </t>
    </r>
    <r>
      <rPr>
        <i val="true"/>
        <sz val="12"/>
        <color rgb="FFFF0000"/>
        <rFont val="Calibri (Corps)"/>
        <family val="0"/>
        <charset val="1"/>
      </rPr>
      <t xml:space="preserve">para2</t>
    </r>
    <r>
      <rPr>
        <sz val="12"/>
        <color rgb="FF000000"/>
        <rFont val="Calibri"/>
        <family val="2"/>
        <charset val="1"/>
      </rPr>
      <t xml:space="preserve">= </t>
    </r>
    <r>
      <rPr>
        <b val="true"/>
        <sz val="12"/>
        <color rgb="FF000000"/>
        <rFont val="Calibri"/>
        <family val="2"/>
        <charset val="1"/>
      </rPr>
      <t xml:space="preserve">P_leaf_apo</t>
    </r>
    <r>
      <rPr>
        <sz val="12"/>
        <color rgb="FF000000"/>
        <rFont val="Calibri"/>
        <family val="2"/>
        <charset val="1"/>
      </rPr>
      <t xml:space="preserve">; gamma attenuation factor is</t>
    </r>
    <r>
      <rPr>
        <i val="true"/>
        <sz val="12"/>
        <color rgb="FF000000"/>
        <rFont val="Calibri"/>
        <family val="2"/>
        <charset val="1"/>
      </rPr>
      <t xml:space="preserve"> </t>
    </r>
    <r>
      <rPr>
        <i val="true"/>
        <sz val="12"/>
        <color rgb="FFFF0000"/>
        <rFont val="Calibri (Corps)"/>
        <family val="0"/>
        <charset val="1"/>
      </rPr>
      <t xml:space="preserve">para1</t>
    </r>
    <r>
      <rPr>
        <i val="true"/>
        <sz val="12"/>
        <color rgb="FF000000"/>
        <rFont val="Calibri"/>
        <family val="2"/>
        <charset val="1"/>
      </rPr>
      <t xml:space="preserve"> </t>
    </r>
    <r>
      <rPr>
        <sz val="12"/>
        <color rgb="FF000000"/>
        <rFont val="Calibri"/>
        <family val="2"/>
        <charset val="1"/>
      </rPr>
      <t xml:space="preserve">(0.8 is typical)</t>
    </r>
  </si>
  <si>
    <t xml:space="preserve">Leaf</t>
  </si>
  <si>
    <t xml:space="preserve">LAI</t>
  </si>
  <si>
    <t xml:space="preserve">PAR</t>
  </si>
  <si>
    <t xml:space="preserve">gs_max=f(PAR)</t>
  </si>
  <si>
    <t xml:space="preserve">if T_leaf&lt; K_VAR_P3  K_Leaf_Apo_i = 0; </t>
  </si>
  <si>
    <t xml:space="preserve">HV_Branch</t>
  </si>
  <si>
    <t xml:space="preserve">P_min_leaf</t>
  </si>
  <si>
    <t xml:space="preserve">K_trunk_apo</t>
  </si>
  <si>
    <t xml:space="preserve">Q_Trunk_apo</t>
  </si>
  <si>
    <t xml:space="preserve">Branch symp1</t>
  </si>
  <si>
    <t xml:space="preserve">Sandy Loam</t>
  </si>
  <si>
    <t xml:space="preserve">LA_day4=LA_para4 LA is min</t>
  </si>
  <si>
    <r>
      <rPr>
        <sz val="12"/>
        <color rgb="FF000000"/>
        <rFont val="Calibri"/>
        <family val="2"/>
        <charset val="1"/>
      </rPr>
      <t xml:space="preserve">5= </t>
    </r>
    <r>
      <rPr>
        <b val="true"/>
        <sz val="12"/>
        <color rgb="FF000000"/>
        <rFont val="Calibri"/>
        <family val="2"/>
        <charset val="1"/>
      </rPr>
      <t xml:space="preserve">E</t>
    </r>
    <r>
      <rPr>
        <sz val="12"/>
        <color rgb="FF000000"/>
        <rFont val="Calibri"/>
        <family val="2"/>
        <charset val="1"/>
      </rPr>
      <t xml:space="preserve"> respond to</t>
    </r>
    <r>
      <rPr>
        <sz val="12"/>
        <color rgb="FFFF0000"/>
        <rFont val="Calibri (Corps)"/>
        <family val="0"/>
        <charset val="1"/>
      </rPr>
      <t xml:space="preserve"> </t>
    </r>
    <r>
      <rPr>
        <i val="true"/>
        <sz val="12"/>
        <color rgb="FFFF0000"/>
        <rFont val="Calibri (Corps)"/>
        <family val="0"/>
        <charset val="1"/>
      </rPr>
      <t xml:space="preserve">para2</t>
    </r>
    <r>
      <rPr>
        <sz val="12"/>
        <color rgb="FF000000"/>
        <rFont val="Calibri"/>
        <family val="2"/>
        <charset val="1"/>
      </rPr>
      <t xml:space="preserve">=</t>
    </r>
    <r>
      <rPr>
        <b val="true"/>
        <sz val="12"/>
        <color rgb="FF000000"/>
        <rFont val="Calibri"/>
        <family val="2"/>
        <charset val="1"/>
      </rPr>
      <t xml:space="preserve">P_leaf_evap</t>
    </r>
    <r>
      <rPr>
        <sz val="12"/>
        <color rgb="FF000000"/>
        <rFont val="Calibri"/>
        <family val="2"/>
        <charset val="1"/>
      </rPr>
      <t xml:space="preserve">; gamma attenuation factor is</t>
    </r>
    <r>
      <rPr>
        <i val="true"/>
        <sz val="12"/>
        <color rgb="FF000000"/>
        <rFont val="Calibri"/>
        <family val="2"/>
        <charset val="1"/>
      </rPr>
      <t xml:space="preserve"> </t>
    </r>
    <r>
      <rPr>
        <i val="true"/>
        <sz val="12"/>
        <color rgb="FFFF0000"/>
        <rFont val="Calibri (Corps)"/>
        <family val="0"/>
        <charset val="1"/>
      </rPr>
      <t xml:space="preserve">para1</t>
    </r>
    <r>
      <rPr>
        <i val="true"/>
        <sz val="12"/>
        <color rgb="FF000000"/>
        <rFont val="Calibri"/>
        <family val="2"/>
        <charset val="1"/>
      </rPr>
      <t xml:space="preserve"> </t>
    </r>
    <r>
      <rPr>
        <sz val="12"/>
        <color rgb="FF000000"/>
        <rFont val="Calibri"/>
        <family val="2"/>
        <charset val="1"/>
      </rPr>
      <t xml:space="preserve">(0.8 is typical)</t>
    </r>
  </si>
  <si>
    <t xml:space="preserve">4: K_root VAR (root Cortex) use Leaf fall curve for root</t>
  </si>
  <si>
    <t xml:space="preserve">root apo</t>
  </si>
  <si>
    <t xml:space="preserve">HV_Trunk</t>
  </si>
  <si>
    <t xml:space="preserve">P_min_xyl_leaf</t>
  </si>
  <si>
    <t xml:space="preserve">K_root_sym</t>
  </si>
  <si>
    <t xml:space="preserve">3 Q_Root_Symp</t>
  </si>
  <si>
    <t xml:space="preserve">Branch apo1</t>
  </si>
  <si>
    <t xml:space="preserve">P12 root</t>
  </si>
  <si>
    <t xml:space="preserve">if =2 like 1 but for the root system with root_upper etc proportionnal to LA; Leaf area constant to max</t>
  </si>
  <si>
    <r>
      <rPr>
        <sz val="12"/>
        <color rgb="FF000000"/>
        <rFont val="Calibri"/>
        <family val="2"/>
        <charset val="1"/>
      </rPr>
      <t xml:space="preserve">6= </t>
    </r>
    <r>
      <rPr>
        <b val="true"/>
        <sz val="12"/>
        <color rgb="FF000000"/>
        <rFont val="Calibri"/>
        <family val="2"/>
        <charset val="1"/>
      </rPr>
      <t xml:space="preserve">E</t>
    </r>
    <r>
      <rPr>
        <sz val="12"/>
        <color rgb="FF000000"/>
        <rFont val="Calibri"/>
        <family val="2"/>
        <charset val="1"/>
      </rPr>
      <t xml:space="preserve"> respond to </t>
    </r>
    <r>
      <rPr>
        <b val="true"/>
        <sz val="12"/>
        <color rgb="FF000000"/>
        <rFont val="Calibri"/>
        <family val="2"/>
        <charset val="1"/>
      </rPr>
      <t xml:space="preserve">P_leaf_apo</t>
    </r>
    <r>
      <rPr>
        <sz val="12"/>
        <color rgb="FF000000"/>
        <rFont val="Calibri"/>
        <family val="2"/>
        <charset val="1"/>
      </rPr>
      <t xml:space="preserve"> set to </t>
    </r>
    <r>
      <rPr>
        <i val="true"/>
        <sz val="12"/>
        <color rgb="FFFF0000"/>
        <rFont val="Calibri (Corps)"/>
        <family val="0"/>
        <charset val="1"/>
      </rPr>
      <t xml:space="preserve">para2 </t>
    </r>
    <r>
      <rPr>
        <sz val="12"/>
        <color rgb="FF000000"/>
        <rFont val="Calibri"/>
        <family val="2"/>
        <charset val="1"/>
      </rPr>
      <t xml:space="preserve">= </t>
    </r>
    <r>
      <rPr>
        <b val="true"/>
        <sz val="12"/>
        <color rgb="FF000000"/>
        <rFont val="Calibri"/>
        <family val="2"/>
        <charset val="1"/>
      </rPr>
      <t xml:space="preserve">Leaf_PLC</t>
    </r>
    <r>
      <rPr>
        <sz val="12"/>
        <color rgb="FF000000"/>
        <rFont val="Calibri"/>
        <family val="2"/>
        <charset val="1"/>
      </rPr>
      <t xml:space="preserve">; gamma attenuation factor is </t>
    </r>
    <r>
      <rPr>
        <b val="true"/>
        <sz val="12"/>
        <color rgb="FFFF0000"/>
        <rFont val="Calibri (Corps)"/>
        <family val="0"/>
        <charset val="1"/>
      </rPr>
      <t xml:space="preserve">para1</t>
    </r>
    <r>
      <rPr>
        <sz val="12"/>
        <color rgb="FF000000"/>
        <rFont val="Calibri"/>
        <family val="2"/>
        <charset val="1"/>
      </rPr>
      <t xml:space="preserve"> (0.8 is typical)</t>
    </r>
  </si>
  <si>
    <t xml:space="preserve">Cortex_Gap=100/(1+exp(K_VAR_P2/25*(P_Root_Symp1-K_VAR_P1)));</t>
  </si>
  <si>
    <t xml:space="preserve">Plant</t>
  </si>
  <si>
    <t xml:space="preserve">HV_Trunk sapwood</t>
  </si>
  <si>
    <t xml:space="preserve">P_min_Branch</t>
  </si>
  <si>
    <t xml:space="preserve">K_root_apo</t>
  </si>
  <si>
    <t xml:space="preserve">3 Q_Root_apo</t>
  </si>
  <si>
    <t xml:space="preserve">Branch apo2</t>
  </si>
  <si>
    <t xml:space="preserve">Silt</t>
  </si>
  <si>
    <t xml:space="preserve">branch apo2</t>
  </si>
  <si>
    <t xml:space="preserve">if =3  then leaf area and root area both variabile</t>
  </si>
  <si>
    <r>
      <rPr>
        <sz val="12"/>
        <color rgb="FF000000"/>
        <rFont val="Calibri"/>
        <family val="2"/>
        <charset val="1"/>
      </rPr>
      <t xml:space="preserve">8=</t>
    </r>
    <r>
      <rPr>
        <i val="true"/>
        <sz val="12"/>
        <color rgb="FF000000"/>
        <rFont val="Calibri"/>
        <family val="2"/>
        <charset val="1"/>
      </rPr>
      <t xml:space="preserve"> gs </t>
    </r>
    <r>
      <rPr>
        <sz val="12"/>
        <color rgb="FF000000"/>
        <rFont val="Calibri"/>
        <family val="2"/>
        <charset val="1"/>
      </rPr>
      <t xml:space="preserve">varies </t>
    </r>
    <r>
      <rPr>
        <b val="true"/>
        <sz val="12"/>
        <color rgb="FF000000"/>
        <rFont val="Calibri"/>
        <family val="2"/>
        <charset val="1"/>
      </rPr>
      <t xml:space="preserve">linearly</t>
    </r>
    <r>
      <rPr>
        <sz val="12"/>
        <color rgb="FF000000"/>
        <rFont val="Calibri"/>
        <family val="2"/>
        <charset val="1"/>
      </rPr>
      <t xml:space="preserve"> with Pgs_12 and Pgs_88 with</t>
    </r>
    <r>
      <rPr>
        <b val="true"/>
        <sz val="12"/>
        <color rgb="FF000000"/>
        <rFont val="Calibri"/>
        <family val="2"/>
        <charset val="1"/>
      </rPr>
      <t xml:space="preserve"> P_soil</t>
    </r>
  </si>
  <si>
    <t xml:space="preserve">           </t>
  </si>
  <si>
    <t xml:space="preserve">K = K_Root_Symp0 * Fluidity_soil * Root_Area_fi*(100-Cortex_Gap)/100;</t>
  </si>
  <si>
    <t xml:space="preserve">Soil</t>
  </si>
  <si>
    <t xml:space="preserve">Branch area m2</t>
  </si>
  <si>
    <t xml:space="preserve">P_min_Trunk</t>
  </si>
  <si>
    <t xml:space="preserve">K_plant</t>
  </si>
  <si>
    <t xml:space="preserve">Q_Organ_apo</t>
  </si>
  <si>
    <t xml:space="preserve">Branch apo3</t>
  </si>
  <si>
    <t xml:space="preserve">Silty Loam</t>
  </si>
  <si>
    <t xml:space="preserve">if=4 like 3 but LA and Root_area = 0 after LA_day4</t>
  </si>
  <si>
    <r>
      <rPr>
        <sz val="12"/>
        <color rgb="FF000000"/>
        <rFont val="Calibri"/>
        <family val="2"/>
        <charset val="1"/>
      </rPr>
      <t xml:space="preserve">9=  </t>
    </r>
    <r>
      <rPr>
        <i val="true"/>
        <sz val="12"/>
        <color rgb="FF000000"/>
        <rFont val="Calibri"/>
        <family val="2"/>
        <charset val="1"/>
      </rPr>
      <t xml:space="preserve">gs</t>
    </r>
    <r>
      <rPr>
        <sz val="12"/>
        <color rgb="FF000000"/>
        <rFont val="Calibri"/>
        <family val="2"/>
        <charset val="1"/>
      </rPr>
      <t xml:space="preserve"> varies </t>
    </r>
    <r>
      <rPr>
        <b val="true"/>
        <sz val="12"/>
        <color rgb="FF000000"/>
        <rFont val="Calibri"/>
        <family val="2"/>
        <charset val="1"/>
      </rPr>
      <t xml:space="preserve">linearly</t>
    </r>
    <r>
      <rPr>
        <sz val="12"/>
        <color rgb="FF000000"/>
        <rFont val="Calibri"/>
        <family val="2"/>
        <charset val="1"/>
      </rPr>
      <t xml:space="preserve"> with Pgs_12 and Pgs_88 with </t>
    </r>
    <r>
      <rPr>
        <b val="true"/>
        <sz val="12"/>
        <color rgb="FF000000"/>
        <rFont val="Calibri"/>
        <family val="2"/>
        <charset val="1"/>
      </rPr>
      <t xml:space="preserve">P_leaf_symp</t>
    </r>
  </si>
  <si>
    <t xml:space="preserve">with K_VAR_P1=P50  K_VAR_P2=slope </t>
  </si>
  <si>
    <t xml:space="preserve">% Br/Leaf Area</t>
  </si>
  <si>
    <t xml:space="preserve">P_min_Root</t>
  </si>
  <si>
    <t xml:space="preserve">K_xylem</t>
  </si>
  <si>
    <t xml:space="preserve">Q_Organ_Symp</t>
  </si>
  <si>
    <t xml:space="preserve">Sandy Clay Loam</t>
  </si>
  <si>
    <t xml:space="preserve">if =5 then phenology computed with a thermal model. </t>
  </si>
  <si>
    <r>
      <rPr>
        <sz val="12"/>
        <color rgb="FF000000"/>
        <rFont val="Calibri"/>
        <family val="2"/>
        <charset val="1"/>
      </rPr>
      <t xml:space="preserve">    10= like 9 but with a </t>
    </r>
    <r>
      <rPr>
        <b val="true"/>
        <sz val="12"/>
        <color rgb="FF000000"/>
        <rFont val="Calibri"/>
        <family val="2"/>
        <charset val="1"/>
      </rPr>
      <t xml:space="preserve">sigmoid</t>
    </r>
    <r>
      <rPr>
        <sz val="12"/>
        <color rgb="FF000000"/>
        <rFont val="Calibri"/>
        <family val="2"/>
        <charset val="1"/>
      </rPr>
      <t xml:space="preserve"> fit between Pgs_12 and Pgs_88 with </t>
    </r>
    <r>
      <rPr>
        <b val="true"/>
        <sz val="12"/>
        <color rgb="FF000000"/>
        <rFont val="Calibri"/>
        <family val="2"/>
        <charset val="1"/>
      </rPr>
      <t xml:space="preserve">P_leaf_symp</t>
    </r>
  </si>
  <si>
    <t xml:space="preserve">5: K_root_symp Variable for Maddy and Tim</t>
  </si>
  <si>
    <t xml:space="preserve">Trunk area m2</t>
  </si>
  <si>
    <t xml:space="preserve">3 K_root</t>
  </si>
  <si>
    <t xml:space="preserve">Clay Loam</t>
  </si>
  <si>
    <t xml:space="preserve">branch apo3</t>
  </si>
  <si>
    <t xml:space="preserve">Irrigation</t>
  </si>
  <si>
    <t xml:space="preserve">T_base= LA_para1 minimum air T for dormancy °C</t>
  </si>
  <si>
    <r>
      <rPr>
        <sz val="12"/>
        <color rgb="FF000000"/>
        <rFont val="Calibri"/>
        <family val="2"/>
        <charset val="1"/>
      </rPr>
      <t xml:space="preserve">    12= like 10 but with a </t>
    </r>
    <r>
      <rPr>
        <b val="true"/>
        <sz val="12"/>
        <color rgb="FF000000"/>
        <rFont val="Calibri"/>
        <family val="2"/>
        <charset val="1"/>
      </rPr>
      <t xml:space="preserve">sigmoid</t>
    </r>
    <r>
      <rPr>
        <sz val="12"/>
        <color rgb="FF000000"/>
        <rFont val="Calibri"/>
        <family val="2"/>
        <charset val="1"/>
      </rPr>
      <t xml:space="preserve"> fit between Pgs_12 and Pgs_88 with </t>
    </r>
    <r>
      <rPr>
        <b val="true"/>
        <sz val="12"/>
        <color rgb="FF000000"/>
        <rFont val="Calibri"/>
        <family val="2"/>
        <charset val="1"/>
      </rPr>
      <t xml:space="preserve">P_leaf_apo</t>
    </r>
  </si>
  <si>
    <t xml:space="preserve">R=pow(K_Root_Symp0/K_VAR_P1 ,-1/K_VAR_P2);  with  K_VAR_P1=1.2214; K_VAR_P2=1.97; </t>
  </si>
  <si>
    <t xml:space="preserve">3 Root area m2</t>
  </si>
  <si>
    <t xml:space="preserve">C_leaf_apo</t>
  </si>
  <si>
    <t xml:space="preserve">Silty Clay Loam</t>
  </si>
  <si>
    <t xml:space="preserve">1= the soil is rewatered each time when water content is less than threshold RWC_Irr</t>
  </si>
  <si>
    <t xml:space="preserve">S_GDD= LA_para2 Total T sum for budburst °</t>
  </si>
  <si>
    <r>
      <rPr>
        <sz val="12"/>
        <color rgb="FF000000"/>
        <rFont val="Calibri"/>
        <family val="2"/>
        <charset val="1"/>
      </rPr>
      <t xml:space="preserve">    13= like 10 but with a </t>
    </r>
    <r>
      <rPr>
        <b val="true"/>
        <sz val="12"/>
        <color rgb="FF000000"/>
        <rFont val="Calibri"/>
        <family val="2"/>
        <charset val="1"/>
      </rPr>
      <t xml:space="preserve">sigmoid</t>
    </r>
    <r>
      <rPr>
        <sz val="12"/>
        <color rgb="FF000000"/>
        <rFont val="Calibri"/>
        <family val="2"/>
        <charset val="1"/>
      </rPr>
      <t xml:space="preserve"> fit between Pgs_12 and Pgs_88 with </t>
    </r>
    <r>
      <rPr>
        <b val="true"/>
        <sz val="12"/>
        <color rgb="FF000000"/>
        <rFont val="Calibri"/>
        <family val="2"/>
        <charset val="1"/>
      </rPr>
      <t xml:space="preserve">P_branch_apo</t>
    </r>
  </si>
  <si>
    <t xml:space="preserve">          </t>
  </si>
  <si>
    <t xml:space="preserve">K_Root_Symp1=K_VAR_P1 *pow(R-P_Soil1,K_VAR_P2)*Fluidity_soil * Root_Area_fi* Root_upper;</t>
  </si>
  <si>
    <t xml:space="preserve">3 Fine root area m2</t>
  </si>
  <si>
    <t xml:space="preserve">FRACTAL TREE</t>
  </si>
  <si>
    <t xml:space="preserve">suggested</t>
  </si>
  <si>
    <t xml:space="preserve">C_branch_apo</t>
  </si>
  <si>
    <t xml:space="preserve">VPD</t>
  </si>
  <si>
    <t xml:space="preserve">Sandy Clay</t>
  </si>
  <si>
    <t xml:space="preserve">leaves apo1</t>
  </si>
  <si>
    <t xml:space="preserve">    4= then like 1 but daily_irr only  is added</t>
  </si>
  <si>
    <t xml:space="preserve">LGE= LA_para3 leaf growth effeciency in %m2/°C </t>
  </si>
  <si>
    <r>
      <rPr>
        <sz val="12"/>
        <color rgb="FF000000"/>
        <rFont val="Calibri"/>
        <family val="2"/>
        <charset val="1"/>
      </rPr>
      <t xml:space="preserve">    14= like 10 but with a </t>
    </r>
    <r>
      <rPr>
        <b val="true"/>
        <sz val="12"/>
        <color rgb="FF000000"/>
        <rFont val="Calibri"/>
        <family val="2"/>
        <charset val="1"/>
      </rPr>
      <t xml:space="preserve">linear</t>
    </r>
    <r>
      <rPr>
        <sz val="12"/>
        <color rgb="FF000000"/>
        <rFont val="Calibri"/>
        <family val="2"/>
        <charset val="1"/>
      </rPr>
      <t xml:space="preserve"> fit between Pgs_12 and Pgs_88 with </t>
    </r>
    <r>
      <rPr>
        <b val="true"/>
        <sz val="12"/>
        <color rgb="FF000000"/>
        <rFont val="Calibri"/>
        <family val="2"/>
        <charset val="1"/>
      </rPr>
      <t xml:space="preserve">P_branch_apo</t>
    </r>
  </si>
  <si>
    <t xml:space="preserve">6: same as 4 but P_Soil instead of P_Root</t>
  </si>
  <si>
    <t xml:space="preserve">Root length, m</t>
  </si>
  <si>
    <t xml:space="preserve">root/shoot ratio</t>
  </si>
  <si>
    <t xml:space="preserve">C_trunk_apo</t>
  </si>
  <si>
    <t xml:space="preserve">F @ vpd max, mmol/s</t>
  </si>
  <si>
    <t xml:space="preserve">Silty Clay</t>
  </si>
  <si>
    <r>
      <rPr>
        <sz val="10"/>
        <color rgb="FF000000"/>
        <rFont val="Tahoma"/>
        <family val="2"/>
        <charset val="1"/>
      </rPr>
      <t xml:space="preserve">    5= then like 1 but </t>
    </r>
    <r>
      <rPr>
        <sz val="10"/>
        <color rgb="FF000000"/>
        <rFont val="Calibri"/>
        <family val="2"/>
        <charset val="1"/>
      </rPr>
      <t xml:space="preserve">only beween DOY start and end </t>
    </r>
  </si>
  <si>
    <t xml:space="preserve">LA_day3=LA_para4 scenescene onset DOI (assume 40 days to zero) (oak)</t>
  </si>
  <si>
    <t xml:space="preserve">Sigmoid turgor</t>
  </si>
  <si>
    <t xml:space="preserve">Turgor12</t>
  </si>
  <si>
    <r>
      <rPr>
        <sz val="12"/>
        <color rgb="FF000000"/>
        <rFont val="Calibri"/>
        <family val="2"/>
        <charset val="1"/>
      </rPr>
      <t xml:space="preserve">11= a </t>
    </r>
    <r>
      <rPr>
        <b val="true"/>
        <sz val="12"/>
        <color rgb="FF000000"/>
        <rFont val="Calibri"/>
        <family val="2"/>
        <charset val="1"/>
      </rPr>
      <t xml:space="preserve">power</t>
    </r>
    <r>
      <rPr>
        <sz val="12"/>
        <color rgb="FF000000"/>
        <rFont val="Calibri"/>
        <family val="2"/>
        <charset val="1"/>
      </rPr>
      <t xml:space="preserve"> function of gs=gs_max/100*</t>
    </r>
    <r>
      <rPr>
        <i val="true"/>
        <sz val="12"/>
        <color rgb="FFFF0000"/>
        <rFont val="Calibri (Corps)"/>
        <family val="0"/>
        <charset val="1"/>
      </rPr>
      <t xml:space="preserve">para1</t>
    </r>
    <r>
      <rPr>
        <sz val="12"/>
        <color rgb="FF000000"/>
        <rFont val="Calibri"/>
        <family val="2"/>
        <charset val="1"/>
      </rPr>
      <t xml:space="preserve">*(-Pstem)^</t>
    </r>
    <r>
      <rPr>
        <i val="true"/>
        <sz val="12"/>
        <color rgb="FFFF0000"/>
        <rFont val="Calibri (Corps)"/>
        <family val="0"/>
        <charset val="1"/>
      </rPr>
      <t xml:space="preserve">para2</t>
    </r>
  </si>
  <si>
    <t xml:space="preserve">7: K_Branch_Symp and K_Trunk_Symp vary with PLC</t>
  </si>
  <si>
    <t xml:space="preserve">Fine Root length, m</t>
  </si>
  <si>
    <t xml:space="preserve">fine root/leaf area ratio</t>
  </si>
  <si>
    <t xml:space="preserve">C_root_apo</t>
  </si>
  <si>
    <t xml:space="preserve">E vpd, mmol/s/m2</t>
  </si>
  <si>
    <t xml:space="preserve">CLIMAT</t>
  </si>
  <si>
    <t xml:space="preserve">2= then automatic daily_irrigation at midnight of Daily_irr mm</t>
  </si>
  <si>
    <t xml:space="preserve">if LA_para4=0 then scenescence 10 days after LA_max and decline in 50 days (wheat)</t>
  </si>
  <si>
    <t xml:space="preserve">Turgor88</t>
  </si>
  <si>
    <r>
      <rPr>
        <sz val="12"/>
        <color rgb="FF000000"/>
        <rFont val="Calibri"/>
        <family val="2"/>
        <charset val="1"/>
      </rPr>
      <t xml:space="preserve">16= an </t>
    </r>
    <r>
      <rPr>
        <b val="true"/>
        <sz val="12"/>
        <color rgb="FF000000"/>
        <rFont val="Calibri"/>
        <family val="2"/>
        <charset val="1"/>
      </rPr>
      <t xml:space="preserve">exponential</t>
    </r>
    <r>
      <rPr>
        <sz val="12"/>
        <color rgb="FF000000"/>
        <rFont val="Calibri"/>
        <family val="2"/>
        <charset val="1"/>
      </rPr>
      <t xml:space="preserve"> function of gs=exp(</t>
    </r>
    <r>
      <rPr>
        <b val="true"/>
        <sz val="12"/>
        <color rgb="FF000000"/>
        <rFont val="Calibri"/>
        <family val="2"/>
        <charset val="1"/>
      </rPr>
      <t xml:space="preserve">P_branch_apo</t>
    </r>
    <r>
      <rPr>
        <sz val="12"/>
        <color rgb="FF000000"/>
        <rFont val="Calibri"/>
        <family val="2"/>
        <charset val="1"/>
      </rPr>
      <t xml:space="preserve">*</t>
    </r>
    <r>
      <rPr>
        <i val="true"/>
        <sz val="12"/>
        <color rgb="FFFF0000"/>
        <rFont val="Calibri (Corps)"/>
        <family val="0"/>
        <charset val="1"/>
      </rPr>
      <t xml:space="preserve">para1</t>
    </r>
    <r>
      <rPr>
        <sz val="12"/>
        <color rgb="FF000000"/>
        <rFont val="Calibri"/>
        <family val="2"/>
        <charset val="1"/>
      </rPr>
      <t xml:space="preserve">) for Vitis/Uri</t>
    </r>
  </si>
  <si>
    <t xml:space="preserve">8: K_root_symp Variable for Carola and Tim</t>
  </si>
  <si>
    <t xml:space="preserve">Total</t>
  </si>
  <si>
    <t xml:space="preserve">One flower</t>
  </si>
  <si>
    <t xml:space="preserve">La, m m-2</t>
  </si>
  <si>
    <t xml:space="preserve">LA term shoot, cm2</t>
  </si>
  <si>
    <t xml:space="preserve">ETP ref, mm/day</t>
  </si>
  <si>
    <t xml:space="preserve">0= automatically generated, no file</t>
  </si>
  <si>
    <t xml:space="preserve">    3= then like 2 but only beween DOY start and end</t>
  </si>
  <si>
    <t xml:space="preserve">LAI soil</t>
  </si>
  <si>
    <t xml:space="preserve">if &gt;10  acclimatation from year to year; works only in continuuous mode ! not implemented yet :</t>
  </si>
  <si>
    <t xml:space="preserve">Linear</t>
  </si>
  <si>
    <t xml:space="preserve">Pgs_0</t>
  </si>
  <si>
    <t xml:space="preserve">17- gs decreases wit soil REW_wp below a threshold at Reguls_ge_para1</t>
  </si>
  <si>
    <t xml:space="preserve">a_Res  from Heskel et al 2016</t>
  </si>
  <si>
    <t xml:space="preserve">−2.2276</t>
  </si>
  <si>
    <t xml:space="preserve">K_Root_Symp1=((Kmax(1-K_VAR_P3))*(100-100/(1+EXP(K_VAR_P2/25*(P-K_VAR_P1))))/100+Kmax*K_VAR_P3)Fluidity_soil * Root_Area_fi* Root_upper;</t>
  </si>
  <si>
    <t xml:space="preserve">Surface Petiole, m2</t>
  </si>
  <si>
    <t xml:space="preserve">Lv, m m-3</t>
  </si>
  <si>
    <t xml:space="preserve">Length term shoot, cm</t>
  </si>
  <si>
    <t xml:space="preserve">E ETP, mmol/s *m2 sol</t>
  </si>
  <si>
    <t xml:space="preserve">1= climat_hour_in.txt    a climatic file with infra-day day and interpolation</t>
  </si>
  <si>
    <t xml:space="preserve">Champenoux</t>
  </si>
  <si>
    <t xml:space="preserve">leaves apo2</t>
  </si>
  <si>
    <t xml:space="preserve">6= then automatic daily_irrigation at 19h00 of Daily_irr mm</t>
  </si>
  <si>
    <t xml:space="preserve">trunk surface, m2</t>
  </si>
  <si>
    <t xml:space="preserve">LAI crown</t>
  </si>
  <si>
    <t xml:space="preserve">if 12 then LA acclimate with PLC_Branch</t>
  </si>
  <si>
    <t xml:space="preserve">Pgs_100</t>
  </si>
  <si>
    <r>
      <rPr>
        <sz val="12"/>
        <color rgb="FF000000"/>
        <rFont val="Calibri"/>
        <family val="2"/>
        <charset val="1"/>
      </rPr>
      <t xml:space="preserve">18- gs regulated by Pgs_12 and Pgs_88 with a linear fit to </t>
    </r>
    <r>
      <rPr>
        <b val="true"/>
        <sz val="12"/>
        <color rgb="FF000000"/>
        <rFont val="Calibri"/>
        <family val="2"/>
        <charset val="1"/>
      </rPr>
      <t xml:space="preserve">P_Root_Apo</t>
    </r>
  </si>
  <si>
    <t xml:space="preserve">broadleaf deciduous temperate</t>
  </si>
  <si>
    <t xml:space="preserve">−2.2264</t>
  </si>
  <si>
    <t xml:space="preserve">with K_VAR_P1=P50  K_VAR_P2=slope K_VAR_P3=Kmax fraction to have Kmin</t>
  </si>
  <si>
    <t xml:space="preserve">Surface flower, m2</t>
  </si>
  <si>
    <t xml:space="preserve">B</t>
  </si>
  <si>
    <t xml:space="preserve">Diam term shoot, mm</t>
  </si>
  <si>
    <t xml:space="preserve">E ETP, mmol/s/m2</t>
  </si>
  <si>
    <t xml:space="preserve">2=  climat_day_in.txt   a climatic file with one data par day and computed values</t>
  </si>
  <si>
    <t xml:space="preserve">0= no heat wave</t>
  </si>
  <si>
    <t xml:space="preserve">Plateforme</t>
  </si>
  <si>
    <t xml:space="preserve">Teta_fc</t>
  </si>
  <si>
    <t xml:space="preserve">    7= then like 6 but only beween DOY start and end</t>
  </si>
  <si>
    <t xml:space="preserve">bark surface, m2</t>
  </si>
  <si>
    <t xml:space="preserve">Soil surface, m2</t>
  </si>
  <si>
    <t xml:space="preserve">if 13 then LA acclimate with PLC_Leaf</t>
  </si>
  <si>
    <t xml:space="preserve">19- gs regulated by  P_Leaf_symp between Regul_gs_para1 and Regul_gs_para2 (=Ptlp)</t>
  </si>
  <si>
    <t xml:space="preserve">broadleaf evergreen temperate</t>
  </si>
  <si>
    <t xml:space="preserve">−1.8106</t>
  </si>
  <si>
    <t xml:space="preserve">9: K_root VAR (root Cortex)  for URI</t>
  </si>
  <si>
    <t xml:space="preserve">Petiole volume, cm3</t>
  </si>
  <si>
    <t xml:space="preserve">RU, mm</t>
  </si>
  <si>
    <t xml:space="preserve">Tapering</t>
  </si>
  <si>
    <t xml:space="preserve">gs_max, mmol</t>
  </si>
  <si>
    <t xml:space="preserve">3= climat_month_in.txt   a climatic file with monthly average of daily  values</t>
  </si>
  <si>
    <t xml:space="preserve">1= heatwave with variable RH and VPD</t>
  </si>
  <si>
    <t xml:space="preserve">Scorie</t>
  </si>
  <si>
    <t xml:space="preserve">RWC_ini</t>
  </si>
  <si>
    <t xml:space="preserve">bark thickness, mm</t>
  </si>
  <si>
    <t xml:space="preserve">Branch diameter Fractal, mm</t>
  </si>
  <si>
    <t xml:space="preserve">needle-leaf evergreen</t>
  </si>
  <si>
    <t xml:space="preserve">−2.0464</t>
  </si>
  <si>
    <r>
      <rPr>
        <sz val="11"/>
        <color rgb="FF000000"/>
        <rFont val="Calibri"/>
        <family val="2"/>
        <charset val="1"/>
      </rPr>
      <t xml:space="preserve">Cortex_Gap= 0.5/(-10 × (Ψ</t>
    </r>
    <r>
      <rPr>
        <vertAlign val="subscript"/>
        <sz val="11"/>
        <color rgb="FF000000"/>
        <rFont val="Calibri"/>
        <family val="2"/>
        <charset val="1"/>
      </rPr>
      <t xml:space="preserve">soil</t>
    </r>
    <r>
      <rPr>
        <sz val="11"/>
        <color rgb="FF000000"/>
        <rFont val="Calibri"/>
        <family val="2"/>
        <charset val="1"/>
      </rPr>
      <t xml:space="preserve">)</t>
    </r>
    <r>
      <rPr>
        <vertAlign val="superscript"/>
        <sz val="11"/>
        <color rgb="FF000000"/>
        <rFont val="Calibri"/>
        <family val="2"/>
        <charset val="1"/>
      </rPr>
      <t xml:space="preserve">3 </t>
    </r>
    <r>
      <rPr>
        <sz val="11"/>
        <color rgb="FF000000"/>
        <rFont val="Calibri"/>
        <family val="2"/>
        <charset val="1"/>
      </rPr>
      <t xml:space="preserve">+ 0.5)</t>
    </r>
  </si>
  <si>
    <t xml:space="preserve">Q flower, g</t>
  </si>
  <si>
    <t xml:space="preserve">Soil_V, l</t>
  </si>
  <si>
    <t xml:space="preserve">Root relative ramif  L</t>
  </si>
  <si>
    <t xml:space="preserve">g_cuti</t>
  </si>
  <si>
    <t xml:space="preserve">4= climat_day_in.txt + soil temperature</t>
  </si>
  <si>
    <t xml:space="preserve">2= heatwave with constant RH</t>
  </si>
  <si>
    <t xml:space="preserve">leaves apo3</t>
  </si>
  <si>
    <t xml:space="preserve">REW_t_ini</t>
  </si>
  <si>
    <t xml:space="preserve">Branch diameter morphometric, mm</t>
  </si>
  <si>
    <t xml:space="preserve">C3 herbaceous</t>
  </si>
  <si>
    <t xml:space="preserve">−1.7507</t>
  </si>
  <si>
    <t xml:space="preserve">K = K_Root_Symp0 * Fluidity_soil * Root_Area_fi*Cortex_Gap);</t>
  </si>
  <si>
    <t xml:space="preserve">Q petiole Symp, g</t>
  </si>
  <si>
    <t xml:space="preserve">Leaf Apo</t>
  </si>
  <si>
    <t xml:space="preserve">Branch Apo</t>
  </si>
  <si>
    <t xml:space="preserve">Trunk Apo</t>
  </si>
  <si>
    <t xml:space="preserve">Root Apo</t>
  </si>
  <si>
    <t xml:space="preserve">CFL value for C</t>
  </si>
  <si>
    <t xml:space="preserve">Soil Water, Kg</t>
  </si>
  <si>
    <t xml:space="preserve">Length fine roots, cm</t>
  </si>
  <si>
    <t xml:space="preserve">Trunk</t>
  </si>
  <si>
    <t xml:space="preserve">g_crown</t>
  </si>
  <si>
    <t xml:space="preserve">5= constant values, no daily variations; set to Tmax RHmin PARmax</t>
  </si>
  <si>
    <t xml:space="preserve">3= heatwave with variable RH to obtain a constant air VPD</t>
  </si>
  <si>
    <t xml:space="preserve">Par_att</t>
  </si>
  <si>
    <t xml:space="preserve">Leaf boundary g</t>
  </si>
  <si>
    <t xml:space="preserve">Penman Coeff</t>
  </si>
  <si>
    <t xml:space="preserve">evergreen shrubs</t>
  </si>
  <si>
    <t xml:space="preserve">−1.8150</t>
  </si>
  <si>
    <t xml:space="preserve">10: set K_interface to 0 when DOY&gt;K_VAR_P1</t>
  </si>
  <si>
    <t xml:space="preserve">Q petiole Apo, g</t>
  </si>
  <si>
    <t xml:space="preserve">Avail Soil Water, Kg</t>
  </si>
  <si>
    <t xml:space="preserve">Diam fine roots, mm</t>
  </si>
  <si>
    <t xml:space="preserve">Root</t>
  </si>
  <si>
    <t xml:space="preserve">gs regulation</t>
  </si>
  <si>
    <t xml:space="preserve">4= a dry air wave with vpd x HW_T; Tair is constant</t>
  </si>
  <si>
    <r>
      <rPr>
        <sz val="10"/>
        <color rgb="FF000000"/>
        <rFont val="Calibri"/>
        <family val="2"/>
        <charset val="1"/>
      </rPr>
      <t xml:space="preserve">12: set a native level of embolism in the branch (for Vitis apoplexy). K_VARPx is the PLC of branch X</t>
    </r>
    <r>
      <rPr>
        <sz val="8"/>
        <color rgb="FF000000"/>
        <rFont val="Calibri"/>
        <family val="2"/>
        <charset val="1"/>
      </rPr>
      <t xml:space="preserve"> </t>
    </r>
  </si>
  <si>
    <t xml:space="preserve">Non Allometric</t>
  </si>
  <si>
    <t xml:space="preserve">Number of terminal shoots</t>
  </si>
  <si>
    <t xml:space="preserve">13: same as 4 but with soil RWC; linear between RWC=K_VAR_P1 er K_VAR_P2</t>
  </si>
  <si>
    <t xml:space="preserve">Control parameters</t>
  </si>
  <si>
    <t xml:space="preserve">SOIL</t>
  </si>
  <si>
    <t xml:space="preserve">Water balance</t>
  </si>
  <si>
    <t xml:space="preserve">Tree morphology</t>
  </si>
  <si>
    <t xml:space="preserve">LEAF traits</t>
  </si>
  <si>
    <t xml:space="preserve">STOMATA</t>
  </si>
  <si>
    <t xml:space="preserve">PV Curves</t>
  </si>
  <si>
    <t xml:space="preserve">Hydraulic Conductances</t>
  </si>
  <si>
    <t xml:space="preserve">Cavitation curves</t>
  </si>
  <si>
    <t xml:space="preserve">Apoplasmic capacitances</t>
  </si>
  <si>
    <t xml:space="preserve">Growth</t>
  </si>
  <si>
    <t xml:space="preserve">Axillary organs</t>
  </si>
  <si>
    <t xml:space="preserve">van Genurchen equation</t>
  </si>
  <si>
    <t xml:space="preserve">Rain interception</t>
  </si>
  <si>
    <t xml:space="preserve">IRRIGATION</t>
  </si>
  <si>
    <t xml:space="preserve">Rehydratation</t>
  </si>
  <si>
    <t xml:space="preserve">Branch/crown</t>
  </si>
  <si>
    <t xml:space="preserve">Crown area, m2</t>
  </si>
  <si>
    <t xml:space="preserve">Root n=3</t>
  </si>
  <si>
    <t xml:space="preserve">EPT-Penman</t>
  </si>
  <si>
    <t xml:space="preserve">Crown</t>
  </si>
  <si>
    <t xml:space="preserve">gs</t>
  </si>
  <si>
    <t xml:space="preserve">Photosynthesis</t>
  </si>
  <si>
    <t xml:space="preserve">Respiration</t>
  </si>
  <si>
    <t xml:space="preserve">Aploplasm</t>
  </si>
  <si>
    <t xml:space="preserve">Symplasm conductivity</t>
  </si>
  <si>
    <t xml:space="preserve">For boolean yes is 1 no is 0</t>
  </si>
  <si>
    <t xml:space="preserve">sec</t>
  </si>
  <si>
    <t xml:space="preserve">hours</t>
  </si>
  <si>
    <t xml:space="preserve">Soil competitions</t>
  </si>
  <si>
    <t xml:space="preserve">days</t>
  </si>
  <si>
    <t xml:space="preserve">Continuous</t>
  </si>
  <si>
    <t xml:space="preserve">Climat</t>
  </si>
  <si>
    <t xml:space="preserve">DOY</t>
  </si>
  <si>
    <t xml:space="preserve">Latitude</t>
  </si>
  <si>
    <t xml:space="preserve">Air</t>
  </si>
  <si>
    <t xml:space="preserve">e_air =</t>
  </si>
  <si>
    <t xml:space="preserve">e_sat_air =</t>
  </si>
  <si>
    <t xml:space="preserve">VPD_max =</t>
  </si>
  <si>
    <t xml:space="preserve">Heat Wave / Dry air Wave</t>
  </si>
  <si>
    <t xml:space="preserve">PAR_attenuation</t>
  </si>
  <si>
    <t xml:space="preserve">T_soil Crit @ K_root=0</t>
  </si>
  <si>
    <t xml:space="preserve">Soil layer distribution</t>
  </si>
  <si>
    <t xml:space="preserve">Layer_1</t>
  </si>
  <si>
    <t xml:space="preserve">Layer_2</t>
  </si>
  <si>
    <t xml:space="preserve">Layer_3</t>
  </si>
  <si>
    <t xml:space="preserve">Soil volume, m3</t>
  </si>
  <si>
    <t xml:space="preserve">Root distribution</t>
  </si>
  <si>
    <t xml:space="preserve">beta</t>
  </si>
  <si>
    <t xml:space="preserve">Root interface</t>
  </si>
  <si>
    <t xml:space="preserve">Soil P at FC </t>
  </si>
  <si>
    <t xml:space="preserve">Soil osmotic P</t>
  </si>
  <si>
    <t xml:space="preserve">Initial soil water content for each layer</t>
  </si>
  <si>
    <t xml:space="preserve">INTERCEPTION</t>
  </si>
  <si>
    <t xml:space="preserve">Interception_min</t>
  </si>
  <si>
    <t xml:space="preserve">Threshold_rain</t>
  </si>
  <si>
    <t xml:space="preserve">Interception_factor</t>
  </si>
  <si>
    <t xml:space="preserve">IRRIGATE</t>
  </si>
  <si>
    <t xml:space="preserve">REW_Irr/days</t>
  </si>
  <si>
    <t xml:space="preserve">Daily_irr,mm</t>
  </si>
  <si>
    <t xml:space="preserve">Day start if 3</t>
  </si>
  <si>
    <t xml:space="preserve">Day end</t>
  </si>
  <si>
    <t xml:space="preserve">REHYDRATE</t>
  </si>
  <si>
    <t xml:space="preserve">PLC_Rehyd</t>
  </si>
  <si>
    <t xml:space="preserve"> 0=manual 2=root &amp; shoot fractal; 1=shoot manual; root fractall</t>
  </si>
  <si>
    <t xml:space="preserve">Crown diameter</t>
  </si>
  <si>
    <t xml:space="preserve">Branch distribution</t>
  </si>
  <si>
    <t xml:space="preserve">Number</t>
  </si>
  <si>
    <t xml:space="preserve">Length</t>
  </si>
  <si>
    <t xml:space="preserve">apo fraction</t>
  </si>
  <si>
    <t xml:space="preserve">symp fraction</t>
  </si>
  <si>
    <t xml:space="preserve">Branch diameter</t>
  </si>
  <si>
    <t xml:space="preserve">Q, Kg</t>
  </si>
  <si>
    <t xml:space="preserve">Density</t>
  </si>
  <si>
    <t xml:space="preserve">dbh</t>
  </si>
  <si>
    <t xml:space="preserve">sapwood  fraction</t>
  </si>
  <si>
    <t xml:space="preserve">Water content</t>
  </si>
  <si>
    <t xml:space="preserve">Fine root diam</t>
  </si>
  <si>
    <t xml:space="preserve">Area</t>
  </si>
  <si>
    <t xml:space="preserve">Root values for 3 roots</t>
  </si>
  <si>
    <t xml:space="preserve">Characteristic size</t>
  </si>
  <si>
    <t xml:space="preserve">Leaf angle/horizon</t>
  </si>
  <si>
    <t xml:space="preserve">Leaf Area</t>
  </si>
  <si>
    <t xml:space="preserve">Days</t>
  </si>
  <si>
    <t xml:space="preserve">Leaf fall/Root mortality</t>
  </si>
  <si>
    <t xml:space="preserve">succulence</t>
  </si>
  <si>
    <t xml:space="preserve">Apoplasmic fraction</t>
  </si>
  <si>
    <t xml:space="preserve">LMA</t>
  </si>
  <si>
    <t xml:space="preserve">g-crown</t>
  </si>
  <si>
    <t xml:space="preserve">dynamic</t>
  </si>
  <si>
    <t xml:space="preserve">régulation</t>
  </si>
  <si>
    <t xml:space="preserve">gs, mmol s-1 m-2</t>
  </si>
  <si>
    <t xml:space="preserve">Model</t>
  </si>
  <si>
    <t xml:space="preserve">VcMax 25°C</t>
  </si>
  <si>
    <t xml:space="preserve">VjMAx 25°C</t>
  </si>
  <si>
    <t xml:space="preserve">Ca</t>
  </si>
  <si>
    <t xml:space="preserve">Rdark at 25°C &gt;0</t>
  </si>
  <si>
    <t xml:space="preserve">Qye</t>
  </si>
  <si>
    <t xml:space="preserve">Kc 25°C</t>
  </si>
  <si>
    <t xml:space="preserve">Ko 25°C</t>
  </si>
  <si>
    <t xml:space="preserve">a param Heskel</t>
  </si>
  <si>
    <t xml:space="preserve">K</t>
  </si>
  <si>
    <t xml:space="preserve">Modulus of elasticity, Mpa</t>
  </si>
  <si>
    <t xml:space="preserve">PI0 Mpa</t>
  </si>
  <si>
    <t xml:space="preserve">Control</t>
  </si>
  <si>
    <t xml:space="preserve">Leaf Specific Conductances</t>
  </si>
  <si>
    <t xml:space="preserve">   Terminal Branch Trunk Root Specific Conductivity, mmol m s-1 Mpa-1 m-2</t>
  </si>
  <si>
    <t xml:space="preserve">Surface area symplasmic specific conductance, mmol s-1 Mpa-1 m-2</t>
  </si>
  <si>
    <t xml:space="preserve">P50, Mpa</t>
  </si>
  <si>
    <t xml:space="preserve">slope, %Mpa</t>
  </si>
  <si>
    <t xml:space="preserve">Xylem refilling</t>
  </si>
  <si>
    <t xml:space="preserve">Legacy of PLC</t>
  </si>
  <si>
    <t xml:space="preserve">ACCLIMATE</t>
  </si>
  <si>
    <t xml:space="preserve">Specific Apoplasmic Capacitances, kg MPA-1 L-1</t>
  </si>
  <si>
    <t xml:space="preserve">Pameters for a sigmoidal growth</t>
  </si>
  <si>
    <t xml:space="preserve">Lockhart</t>
  </si>
  <si>
    <t xml:space="preserve">Carbon budget</t>
  </si>
  <si>
    <t xml:space="preserve">Axillary Organs</t>
  </si>
  <si>
    <t xml:space="preserve">m</t>
  </si>
  <si>
    <t xml:space="preserve">conductances mmol s-1 Mpa-1 for one bud</t>
  </si>
  <si>
    <t xml:space="preserve">Symplasm PV curve</t>
  </si>
  <si>
    <t xml:space="preserve">Apoplasm VC</t>
  </si>
  <si>
    <t xml:space="preserve">Peridermal Conductance</t>
  </si>
  <si>
    <t xml:space="preserve">Temperature effect</t>
  </si>
  <si>
    <t xml:space="preserve">Simul #</t>
  </si>
  <si>
    <t xml:space="preserve">1=DYNAMIC  &gt;2Both</t>
  </si>
  <si>
    <t xml:space="preserve">dPLCcrit </t>
  </si>
  <si>
    <t xml:space="preserve">REWcrit</t>
  </si>
  <si>
    <t xml:space="preserve">DEBUG</t>
  </si>
  <si>
    <t xml:space="preserve">TRANSIENT</t>
  </si>
  <si>
    <t xml:space="preserve">RANDOMISE</t>
  </si>
  <si>
    <t xml:space="preserve">PRINT_SCREEN</t>
  </si>
  <si>
    <t xml:space="preserve">PRINT_GRAPH</t>
  </si>
  <si>
    <t xml:space="preserve">dt</t>
  </si>
  <si>
    <t xml:space="preserve">dt2</t>
  </si>
  <si>
    <t xml:space="preserve">t_out</t>
  </si>
  <si>
    <t xml:space="preserve">Compet</t>
  </si>
  <si>
    <t xml:space="preserve">CUT</t>
  </si>
  <si>
    <t xml:space="preserve">END_DEATH</t>
  </si>
  <si>
    <t xml:space="preserve">PLC </t>
  </si>
  <si>
    <t xml:space="preserve">Tleaf</t>
  </si>
  <si>
    <t xml:space="preserve">FLUID</t>
  </si>
  <si>
    <t xml:space="preserve">SURFACE_TENSION</t>
  </si>
  <si>
    <t xml:space="preserve">T_OSMOTIC</t>
  </si>
  <si>
    <t xml:space="preserve">GRAVITY</t>
  </si>
  <si>
    <t xml:space="preserve">years to years</t>
  </si>
  <si>
    <t xml:space="preserve">1-365</t>
  </si>
  <si>
    <t xml:space="preserve">(-90;90)</t>
  </si>
  <si>
    <t xml:space="preserve">T_air_min</t>
  </si>
  <si>
    <t xml:space="preserve">T_air_max</t>
  </si>
  <si>
    <t xml:space="preserve">RH_air_min</t>
  </si>
  <si>
    <t xml:space="preserve">RH_air_max</t>
  </si>
  <si>
    <t xml:space="preserve">PAR_MAX, µmol</t>
  </si>
  <si>
    <t xml:space="preserve">Wind, m/s</t>
  </si>
  <si>
    <t xml:space="preserve">Time Tmax</t>
  </si>
  <si>
    <t xml:space="preserve">Time RHmax</t>
  </si>
  <si>
    <t xml:space="preserve">yes/no</t>
  </si>
  <si>
    <t xml:space="preserve">Start Day</t>
  </si>
  <si>
    <t xml:space="preserve">Duration</t>
  </si>
  <si>
    <t xml:space="preserve">+T</t>
  </si>
  <si>
    <t xml:space="preserve">Fraction 0-1</t>
  </si>
  <si>
    <t xml:space="preserve">T_Soil_Crit</t>
  </si>
  <si>
    <t xml:space="preserve">Layer 1</t>
  </si>
  <si>
    <t xml:space="preserve">Layer 2</t>
  </si>
  <si>
    <t xml:space="preserve">Layer 3</t>
  </si>
  <si>
    <t xml:space="preserve">K_sat, mol/s/Mpa</t>
  </si>
  <si>
    <t xml:space="preserve">L</t>
  </si>
  <si>
    <t xml:space="preserve">Rock fraction </t>
  </si>
  <si>
    <t xml:space="preserve">Soil_Depth, m</t>
  </si>
  <si>
    <t xml:space="preserve">Soil_Width, m</t>
  </si>
  <si>
    <t xml:space="preserve">Root_upper</t>
  </si>
  <si>
    <t xml:space="preserve">Root_middle</t>
  </si>
  <si>
    <t xml:space="preserve">Root_lower</t>
  </si>
  <si>
    <t xml:space="preserve">gap</t>
  </si>
  <si>
    <t xml:space="preserve">Capillarity</t>
  </si>
  <si>
    <t xml:space="preserve">kPa</t>
  </si>
  <si>
    <t xml:space="preserve">Mpa</t>
  </si>
  <si>
    <t xml:space="preserve">θ1</t>
  </si>
  <si>
    <t xml:space="preserve">θ2</t>
  </si>
  <si>
    <t xml:space="preserve">θ3</t>
  </si>
  <si>
    <t xml:space="preserve">NULL= no</t>
  </si>
  <si>
    <t xml:space="preserve">%</t>
  </si>
  <si>
    <t xml:space="preserve">mm</t>
  </si>
  <si>
    <t xml:space="preserve">0/1</t>
  </si>
  <si>
    <t xml:space="preserve">0-1</t>
  </si>
  <si>
    <t xml:space="preserve">LA_term_shoot, cm2</t>
  </si>
  <si>
    <t xml:space="preserve">Length_term_shoot, cm</t>
  </si>
  <si>
    <t xml:space="preserve">Length_fine_root, mm</t>
  </si>
  <si>
    <t xml:space="preserve">root_shoot_ratio</t>
  </si>
  <si>
    <t xml:space="preserve">root_ramif</t>
  </si>
  <si>
    <t xml:space="preserve">Branch_upper</t>
  </si>
  <si>
    <t xml:space="preserve">Branch_middle</t>
  </si>
  <si>
    <t xml:space="preserve">Branch_lower</t>
  </si>
  <si>
    <t xml:space="preserve">m </t>
  </si>
  <si>
    <t xml:space="preserve">Branch_Area_FR</t>
  </si>
  <si>
    <t xml:space="preserve">Q_Branch_Symp_FR</t>
  </si>
  <si>
    <t xml:space="preserve">Q_Branch_Apo_FR</t>
  </si>
  <si>
    <t xml:space="preserve">Kg/m3</t>
  </si>
  <si>
    <t xml:space="preserve">Trunk_Area_FR</t>
  </si>
  <si>
    <t xml:space="preserve">Q_Trunk_Sym_FR</t>
  </si>
  <si>
    <t xml:space="preserve">Q_Trunk_Apo_FR</t>
  </si>
  <si>
    <t xml:space="preserve">3 Root_Area_FR, m2</t>
  </si>
  <si>
    <t xml:space="preserve">3 Root_Area_fi, m2</t>
  </si>
  <si>
    <t xml:space="preserve">3 Root length, m</t>
  </si>
  <si>
    <t xml:space="preserve">Root_Diam, m</t>
  </si>
  <si>
    <t xml:space="preserve">1 Q_Root_Symp_FR</t>
  </si>
  <si>
    <t xml:space="preserve">1 Q_Root_Apo_FR</t>
  </si>
  <si>
    <t xml:space="preserve">degrees</t>
  </si>
  <si>
    <t xml:space="preserve">Variable</t>
  </si>
  <si>
    <t xml:space="preserve">LA_max, m2</t>
  </si>
  <si>
    <t xml:space="preserve">LA_min, m2</t>
  </si>
  <si>
    <t xml:space="preserve">LA_Para1</t>
  </si>
  <si>
    <t xml:space="preserve">LA_Para2</t>
  </si>
  <si>
    <t xml:space="preserve">LA_Para3</t>
  </si>
  <si>
    <t xml:space="preserve">LA_Para4</t>
  </si>
  <si>
    <t xml:space="preserve">1= leaf 2=root/ 0= NO</t>
  </si>
  <si>
    <t xml:space="preserve">P50</t>
  </si>
  <si>
    <t xml:space="preserve">slope</t>
  </si>
  <si>
    <t xml:space="preserve">g H2O/m2</t>
  </si>
  <si>
    <t xml:space="preserve">% 0-1</t>
  </si>
  <si>
    <t xml:space="preserve">g /m2</t>
  </si>
  <si>
    <t xml:space="preserve">coefficient</t>
  </si>
  <si>
    <t xml:space="preserve">mmol/m2/s</t>
  </si>
  <si>
    <t xml:space="preserve">gs_tc</t>
  </si>
  <si>
    <t xml:space="preserve">Regul_gs_para1</t>
  </si>
  <si>
    <t xml:space="preserve">Regul_gs_para2</t>
  </si>
  <si>
    <t xml:space="preserve">Regul_gs_para3</t>
  </si>
  <si>
    <t xml:space="preserve">Regul_gs_para4</t>
  </si>
  <si>
    <t xml:space="preserve">gs_max</t>
  </si>
  <si>
    <t xml:space="preserve">gs_night</t>
  </si>
  <si>
    <t xml:space="preserve">gs_constant</t>
  </si>
  <si>
    <t xml:space="preserve">Jarvis_PAR</t>
  </si>
  <si>
    <t xml:space="preserve">Gs_max = f(T)</t>
  </si>
  <si>
    <t xml:space="preserve">GS CO2 sens</t>
  </si>
  <si>
    <t xml:space="preserve">Tgs_optim, °C</t>
  </si>
  <si>
    <t xml:space="preserve">Tgs_sens</t>
  </si>
  <si>
    <t xml:space="preserve">T_g_cuti</t>
  </si>
  <si>
    <t xml:space="preserve">g_cuti_Leaf 20°C projected</t>
  </si>
  <si>
    <t xml:space="preserve">TP °C</t>
  </si>
  <si>
    <t xml:space="preserve">Q10_1</t>
  </si>
  <si>
    <t xml:space="preserve">Q10_2</t>
  </si>
  <si>
    <t xml:space="preserve">RWC_sens</t>
  </si>
  <si>
    <t xml:space="preserve">g_Branch</t>
  </si>
  <si>
    <t xml:space="preserve">g_Trunk</t>
  </si>
  <si>
    <t xml:space="preserve">g_Root</t>
  </si>
  <si>
    <t xml:space="preserve">g_soil_saturated</t>
  </si>
  <si>
    <t xml:space="preserve">umol.s-1.m-2</t>
  </si>
  <si>
    <t xml:space="preserve">ppm</t>
  </si>
  <si>
    <r>
      <rPr>
        <sz val="10"/>
        <color rgb="FF000000"/>
        <rFont val="LMMathItalic10"/>
        <family val="0"/>
        <charset val="1"/>
      </rPr>
      <t xml:space="preserve">μmol</t>
    </r>
    <r>
      <rPr>
        <sz val="10"/>
        <color rgb="FF000000"/>
        <rFont val="LMMathSymbols10"/>
        <family val="0"/>
        <charset val="1"/>
      </rPr>
      <t xml:space="preserve">·</t>
    </r>
    <r>
      <rPr>
        <sz val="10"/>
        <color rgb="FF000000"/>
        <rFont val="LMMathItalic10"/>
        <family val="0"/>
        <charset val="1"/>
      </rPr>
      <t xml:space="preserve">mol</t>
    </r>
    <r>
      <rPr>
        <sz val="7"/>
        <color rgb="FF000000"/>
        <rFont val="LMMathSymbols7"/>
        <family val="0"/>
        <charset val="1"/>
      </rPr>
      <t xml:space="preserve">−</t>
    </r>
    <r>
      <rPr>
        <sz val="7"/>
        <color rgb="FF000000"/>
        <rFont val="LMRoman7"/>
        <family val="0"/>
        <charset val="1"/>
      </rPr>
      <t xml:space="preserve">1 </t>
    </r>
  </si>
  <si>
    <r>
      <rPr>
        <sz val="10"/>
        <color rgb="FF000000"/>
        <rFont val="LMMathItalic10"/>
        <family val="0"/>
        <charset val="1"/>
      </rPr>
      <t xml:space="preserve">mmol</t>
    </r>
    <r>
      <rPr>
        <sz val="10"/>
        <color rgb="FF000000"/>
        <rFont val="LMMathSymbols10"/>
        <family val="0"/>
        <charset val="1"/>
      </rPr>
      <t xml:space="preserve">·</t>
    </r>
    <r>
      <rPr>
        <sz val="10"/>
        <color rgb="FF000000"/>
        <rFont val="LMMathItalic10"/>
        <family val="0"/>
        <charset val="1"/>
      </rPr>
      <t xml:space="preserve">mol</t>
    </r>
    <r>
      <rPr>
        <sz val="7"/>
        <color rgb="FF000000"/>
        <rFont val="LMMathSymbols7"/>
        <family val="0"/>
        <charset val="1"/>
      </rPr>
      <t xml:space="preserve">−</t>
    </r>
    <r>
      <rPr>
        <sz val="7"/>
        <color rgb="FF000000"/>
        <rFont val="LMRoman7"/>
        <family val="0"/>
        <charset val="1"/>
      </rPr>
      <t xml:space="preserve">1 </t>
    </r>
  </si>
  <si>
    <t xml:space="preserve">extinction coeff</t>
  </si>
  <si>
    <t xml:space="preserve">Epsilon_Leaf_Symp</t>
  </si>
  <si>
    <t xml:space="preserve">Epsilon_Branch_Symp</t>
  </si>
  <si>
    <t xml:space="preserve">Epsilon_Trunk_Symp</t>
  </si>
  <si>
    <t xml:space="preserve">Epsilon_Root_Symp</t>
  </si>
  <si>
    <t xml:space="preserve">Pi0_Leaf_Symp</t>
  </si>
  <si>
    <t xml:space="preserve">Pi0_Branch_Symp</t>
  </si>
  <si>
    <t xml:space="preserve">Pi0_Trunk_Symp</t>
  </si>
  <si>
    <t xml:space="preserve">Pi0_Root_Symp</t>
  </si>
  <si>
    <t xml:space="preserve">K_VAR</t>
  </si>
  <si>
    <t xml:space="preserve">K_VAR_P1</t>
  </si>
  <si>
    <t xml:space="preserve">K_VAR_P2</t>
  </si>
  <si>
    <t xml:space="preserve">K_VAR_P3</t>
  </si>
  <si>
    <t xml:space="preserve">K_Leaf_Apo0, mmol s-1 Mpa-1 m-2</t>
  </si>
  <si>
    <t xml:space="preserve">1 K_Branch_Apo0</t>
  </si>
  <si>
    <t xml:space="preserve">K_Trunk_Apo0</t>
  </si>
  <si>
    <t xml:space="preserve">K_Root_Apo0</t>
  </si>
  <si>
    <t xml:space="preserve">K_Branch_Apo_FR</t>
  </si>
  <si>
    <t xml:space="preserve">K_Trunk_Apo_FR </t>
  </si>
  <si>
    <t xml:space="preserve">1 K_Root_Apo_FR</t>
  </si>
  <si>
    <t xml:space="preserve">K_Leaf_Symp</t>
  </si>
  <si>
    <t xml:space="preserve">1 K_Branch_Symp</t>
  </si>
  <si>
    <t xml:space="preserve">K_Trunk_Symp</t>
  </si>
  <si>
    <t xml:space="preserve">K_Root_Symp</t>
  </si>
  <si>
    <t xml:space="preserve">P50_Leaf_Apo1</t>
  </si>
  <si>
    <t xml:space="preserve">P50_Leaf_Apo2</t>
  </si>
  <si>
    <t xml:space="preserve">P50_Leaf_Apo3</t>
  </si>
  <si>
    <t xml:space="preserve">P50_Branch_Apo1</t>
  </si>
  <si>
    <t xml:space="preserve">P50_Branch_Apo2</t>
  </si>
  <si>
    <t xml:space="preserve">P50_Branch_Apo3</t>
  </si>
  <si>
    <t xml:space="preserve">P50_Trunk_Apo</t>
  </si>
  <si>
    <t xml:space="preserve">P50_Root_Apo</t>
  </si>
  <si>
    <t xml:space="preserve"> Slope_Leaf_Apo1</t>
  </si>
  <si>
    <t xml:space="preserve"> Slope_Leaf_Apo2</t>
  </si>
  <si>
    <t xml:space="preserve"> Slope_Leaf_Apo3</t>
  </si>
  <si>
    <t xml:space="preserve"> Slope_Branch_Apo1</t>
  </si>
  <si>
    <t xml:space="preserve"> Slope_Branch_Apo2</t>
  </si>
  <si>
    <t xml:space="preserve"> Slope_Branch_Apo3</t>
  </si>
  <si>
    <t xml:space="preserve"> Slope_Trunk_Apo</t>
  </si>
  <si>
    <t xml:space="preserve"> Slope_Root_Apo</t>
  </si>
  <si>
    <t xml:space="preserve">0 -1</t>
  </si>
  <si>
    <t xml:space="preserve">threshold P_apo</t>
  </si>
  <si>
    <t xml:space="preserve">C_Leaf_Apo_A</t>
  </si>
  <si>
    <t xml:space="preserve"> C_Branch_Apo_A</t>
  </si>
  <si>
    <t xml:space="preserve"> C_Trunk_Apo_A</t>
  </si>
  <si>
    <t xml:space="preserve"> C_Root_Apo_A</t>
  </si>
  <si>
    <t xml:space="preserve">Growth_50 or T_crit</t>
  </si>
  <si>
    <t xml:space="preserve">Growth_slope or Topt</t>
  </si>
  <si>
    <t xml:space="preserve">Extensibility</t>
  </si>
  <si>
    <t xml:space="preserve">Yield, Mpa</t>
  </si>
  <si>
    <t xml:space="preserve">bark, %</t>
  </si>
  <si>
    <t xml:space="preserve">Rm_25</t>
  </si>
  <si>
    <t xml:space="preserve">Rg_25</t>
  </si>
  <si>
    <t xml:space="preserve">NSC</t>
  </si>
  <si>
    <t xml:space="preserve">1=Bud 2=fruit 3=Flower</t>
  </si>
  <si>
    <t xml:space="preserve">Number  per branch</t>
  </si>
  <si>
    <t xml:space="preserve">Diam_Axil</t>
  </si>
  <si>
    <t xml:space="preserve">Petiole length, m</t>
  </si>
  <si>
    <t xml:space="preserve">Petiole diam, m</t>
  </si>
  <si>
    <t xml:space="preserve">WC_Axil</t>
  </si>
  <si>
    <t xml:space="preserve">K_Axil_Apo0</t>
  </si>
  <si>
    <t xml:space="preserve">K_Axil_Symp</t>
  </si>
  <si>
    <t xml:space="preserve">K_Axil_Symp2</t>
  </si>
  <si>
    <t xml:space="preserve">Epsilon_Axil_Symp</t>
  </si>
  <si>
    <t xml:space="preserve">Pi0_Axil_Symp</t>
  </si>
  <si>
    <t xml:space="preserve">P50_Axil_Apo</t>
  </si>
  <si>
    <t xml:space="preserve"> Slope_Axil_Apo</t>
  </si>
  <si>
    <t xml:space="preserve">g_Axil_regul</t>
  </si>
  <si>
    <t xml:space="preserve">g_Axil_min</t>
  </si>
  <si>
    <t xml:space="preserve">g_Axil_max</t>
  </si>
  <si>
    <t xml:space="preserve">g_Petiole</t>
  </si>
  <si>
    <t xml:space="preserve"> C_Axil_Apo</t>
  </si>
  <si>
    <t xml:space="preserve">Yield, Mpa &gt;0</t>
  </si>
  <si>
    <t xml:space="preserve">#0 Simul</t>
  </si>
  <si>
    <t xml:space="preserve">#1 DYNAMIC0</t>
  </si>
  <si>
    <t xml:space="preserve">#2 dPLC_crit</t>
  </si>
  <si>
    <t xml:space="preserve">#3 REW_crit</t>
  </si>
  <si>
    <t xml:space="preserve">#4 debug</t>
  </si>
  <si>
    <t xml:space="preserve">#5 TRANSIENT</t>
  </si>
  <si>
    <t xml:space="preserve">#205 RANDOMISE</t>
  </si>
  <si>
    <t xml:space="preserve">#6 PRINT_SCREEN</t>
  </si>
  <si>
    <t xml:space="preserve">#7 PRINT_GRAPH</t>
  </si>
  <si>
    <t xml:space="preserve">#14 dt_dyna</t>
  </si>
  <si>
    <t xml:space="preserve">#15 dt_stat</t>
  </si>
  <si>
    <t xml:space="preserve">#16 t_out</t>
  </si>
  <si>
    <t xml:space="preserve">#195 COMPET</t>
  </si>
  <si>
    <t xml:space="preserve">#10 CUT</t>
  </si>
  <si>
    <t xml:space="preserve">#13 days_simul</t>
  </si>
  <si>
    <t xml:space="preserve">#11 END_DEATH</t>
  </si>
  <si>
    <t xml:space="preserve">#12 PLC_END</t>
  </si>
  <si>
    <t xml:space="preserve">#18 TLEAF</t>
  </si>
  <si>
    <t xml:space="preserve">#19 FLUID</t>
  </si>
  <si>
    <t xml:space="preserve">#20 SURFACE_TENSION</t>
  </si>
  <si>
    <t xml:space="preserve">#21 T_OSMOTIC</t>
  </si>
  <si>
    <t xml:space="preserve">#23 GRAVITY</t>
  </si>
  <si>
    <t xml:space="preserve">#63 CONTINUOUS</t>
  </si>
  <si>
    <t xml:space="preserve">#17 CLIMAT</t>
  </si>
  <si>
    <t xml:space="preserve">#30 DOY_0</t>
  </si>
  <si>
    <t xml:space="preserve">#31 Lat</t>
  </si>
  <si>
    <t xml:space="preserve">#32 T_air_min</t>
  </si>
  <si>
    <t xml:space="preserve">#33 T_air_max</t>
  </si>
  <si>
    <t xml:space="preserve">#34 RH_air_min</t>
  </si>
  <si>
    <t xml:space="preserve">#35 RH_air_max</t>
  </si>
  <si>
    <t xml:space="preserve">#36 PAR_max</t>
  </si>
  <si>
    <t xml:space="preserve">#37 Wind</t>
  </si>
  <si>
    <t xml:space="preserve">#199 HH1</t>
  </si>
  <si>
    <t xml:space="preserve">#200 HH2</t>
  </si>
  <si>
    <t xml:space="preserve">#38 HW</t>
  </si>
  <si>
    <t xml:space="preserve">#39 HW_day</t>
  </si>
  <si>
    <t xml:space="preserve">#40 HW_duration</t>
  </si>
  <si>
    <t xml:space="preserve">#41 HW_T</t>
  </si>
  <si>
    <t xml:space="preserve">#247 PAR_att</t>
  </si>
  <si>
    <t xml:space="preserve">#194 T_Soil_Crit</t>
  </si>
  <si>
    <t xml:space="preserve">#216 Layer_1</t>
  </si>
  <si>
    <t xml:space="preserve">#216 Layer_2</t>
  </si>
  <si>
    <t xml:space="preserve">#218 Layer_3</t>
  </si>
  <si>
    <t xml:space="preserve">#42 Teta_s_1</t>
  </si>
  <si>
    <t xml:space="preserve">#43 Teta_r_1</t>
  </si>
  <si>
    <t xml:space="preserve">#44 alpha_1</t>
  </si>
  <si>
    <t xml:space="preserve">#45 n_1</t>
  </si>
  <si>
    <t xml:space="preserve">#46 K_sat_1</t>
  </si>
  <si>
    <t xml:space="preserve">#219 Teta_s_2</t>
  </si>
  <si>
    <t xml:space="preserve">#220 Teta_r_2</t>
  </si>
  <si>
    <t xml:space="preserve">#221 alpha_2</t>
  </si>
  <si>
    <t xml:space="preserve">#222 n_2</t>
  </si>
  <si>
    <t xml:space="preserve">#223 K_sat_2</t>
  </si>
  <si>
    <t xml:space="preserve">#224 Teta_s_3</t>
  </si>
  <si>
    <t xml:space="preserve">#225 Teta_r_3</t>
  </si>
  <si>
    <t xml:space="preserve">#226 alpha_3</t>
  </si>
  <si>
    <t xml:space="preserve">#227 n_3</t>
  </si>
  <si>
    <t xml:space="preserve">#228 K_sat_3</t>
  </si>
  <si>
    <t xml:space="preserve">#47 L</t>
  </si>
  <si>
    <t xml:space="preserve">#48 Rock_f1</t>
  </si>
  <si>
    <t xml:space="preserve">#196 Rock_f2</t>
  </si>
  <si>
    <t xml:space="preserve">#197 Rock_f3</t>
  </si>
  <si>
    <t xml:space="preserve">#139 Soil_Depth</t>
  </si>
  <si>
    <t xml:space="preserve">#140 Soil_Width</t>
  </si>
  <si>
    <t xml:space="preserve">#141 Root_upper</t>
  </si>
  <si>
    <t xml:space="preserve">#142 Root_middle</t>
  </si>
  <si>
    <t xml:space="preserve">#143 Root_lower</t>
  </si>
  <si>
    <t xml:space="preserve">#144 gap</t>
  </si>
  <si>
    <t xml:space="preserve">#24 CAPILLARITY</t>
  </si>
  <si>
    <t xml:space="preserve">#260 Psoil_FC</t>
  </si>
  <si>
    <t xml:space="preserve">#259 PI0_Soil</t>
  </si>
  <si>
    <t xml:space="preserve">#261 Teta_ini_1</t>
  </si>
  <si>
    <t xml:space="preserve">#262 Teta_ini_2</t>
  </si>
  <si>
    <t xml:space="preserve">#263 Teta_ini_3</t>
  </si>
  <si>
    <t xml:space="preserve">#52 INTERCEPTION</t>
  </si>
  <si>
    <t xml:space="preserve">#53 Interception_min</t>
  </si>
  <si>
    <t xml:space="preserve">#54 Threshold_rain</t>
  </si>
  <si>
    <t xml:space="preserve">#55 Interception_factor</t>
  </si>
  <si>
    <t xml:space="preserve">#56 IRRIGATE</t>
  </si>
  <si>
    <t xml:space="preserve">#57 RWC_Irr</t>
  </si>
  <si>
    <t xml:space="preserve">#58 Daily_Irr</t>
  </si>
  <si>
    <t xml:space="preserve">#59 IRR_DOY_S</t>
  </si>
  <si>
    <t xml:space="preserve">#60 IRR_DOY_F</t>
  </si>
  <si>
    <t xml:space="preserve">#61 REHYDRATE</t>
  </si>
  <si>
    <t xml:space="preserve">#62 PLC_REHYD</t>
  </si>
  <si>
    <t xml:space="preserve">#103 FRACTAL</t>
  </si>
  <si>
    <t xml:space="preserve">#206 LA_term_shoot</t>
  </si>
  <si>
    <t xml:space="preserve">#211 Length_term_shoot</t>
  </si>
  <si>
    <t xml:space="preserve">#210 Length_fine_root, cm</t>
  </si>
  <si>
    <t xml:space="preserve">#207 Tapering</t>
  </si>
  <si>
    <t xml:space="preserve">#208 root_shoot_ratio</t>
  </si>
  <si>
    <t xml:space="preserve">#209 root_ramif</t>
  </si>
  <si>
    <t xml:space="preserve">#246 crown_diam</t>
  </si>
  <si>
    <t xml:space="preserve">#230 Branch_distri1</t>
  </si>
  <si>
    <t xml:space="preserve">#231 Branch_distri2</t>
  </si>
  <si>
    <t xml:space="preserve">#232 Branch_distri3</t>
  </si>
  <si>
    <t xml:space="preserve">#88 Number_Branch</t>
  </si>
  <si>
    <t xml:space="preserve">#89 Length_Branch</t>
  </si>
  <si>
    <t xml:space="preserve">#91 Branch_apo_fraction</t>
  </si>
  <si>
    <t xml:space="preserve">#92 Branch_symp_fraction</t>
  </si>
  <si>
    <t xml:space="preserve">#90 Diam_Branch</t>
  </si>
  <si>
    <t xml:space="preserve">#110 Branch_Area_FR</t>
  </si>
  <si>
    <t xml:space="preserve">#104 Q_Branch_Symp_FR</t>
  </si>
  <si>
    <t xml:space="preserve">#105 Q_Branch_Apo_FR</t>
  </si>
  <si>
    <t xml:space="preserve">#93 Density</t>
  </si>
  <si>
    <t xml:space="preserve">#94 Length_Trunk</t>
  </si>
  <si>
    <t xml:space="preserve">#95 Diam_Trunk</t>
  </si>
  <si>
    <t xml:space="preserve">#96 Trunk_apo_fraction</t>
  </si>
  <si>
    <t xml:space="preserve">#97 Trunk_symp_fraction</t>
  </si>
  <si>
    <t xml:space="preserve">#98 Trunk_sapwood_fraction</t>
  </si>
  <si>
    <t xml:space="preserve">#111 Trunk_Area_FR</t>
  </si>
  <si>
    <t xml:space="preserve">#106 Q_Trunk_Sym_FR</t>
  </si>
  <si>
    <t xml:space="preserve">#107 Q_Trunk_Apo_FR</t>
  </si>
  <si>
    <t xml:space="preserve">#99 Length_Root_fi</t>
  </si>
  <si>
    <t xml:space="preserve">#100 Diam_Root</t>
  </si>
  <si>
    <t xml:space="preserve">#112 Root_Area_FR</t>
  </si>
  <si>
    <t xml:space="preserve">#113 Root_Area_fi_0</t>
  </si>
  <si>
    <t xml:space="preserve">#114 Length_Root_FR</t>
  </si>
  <si>
    <t xml:space="preserve">#115 Diam_Root_FR</t>
  </si>
  <si>
    <t xml:space="preserve">#108 Q_Root_Symp_FR</t>
  </si>
  <si>
    <t xml:space="preserve">#109 Q_Root_Apo_FR</t>
  </si>
  <si>
    <t xml:space="preserve">#101 Root_apo_fraction</t>
  </si>
  <si>
    <t xml:space="preserve">#102 Root_symp_fraction</t>
  </si>
  <si>
    <t xml:space="preserve">#65 Leaf_size</t>
  </si>
  <si>
    <t xml:space="preserve">#66 leaf_angle1</t>
  </si>
  <si>
    <t xml:space="preserve">#66 leaf_angle2</t>
  </si>
  <si>
    <t xml:space="preserve">#66 leaf_angle3</t>
  </si>
  <si>
    <t xml:space="preserve">#67 LA_Var</t>
  </si>
  <si>
    <t xml:space="preserve">#68 LA_max_init</t>
  </si>
  <si>
    <t xml:space="preserve">#69 LA_min</t>
  </si>
  <si>
    <t xml:space="preserve">#70 LA_Para1</t>
  </si>
  <si>
    <t xml:space="preserve">#71 LA_Para2</t>
  </si>
  <si>
    <t xml:space="preserve">#72 LA_Para3</t>
  </si>
  <si>
    <t xml:space="preserve">#73 LA_Para4</t>
  </si>
  <si>
    <t xml:space="preserve">#74 Leaf_Fall</t>
  </si>
  <si>
    <t xml:space="preserve">#75 P50_Leaf_Fall</t>
  </si>
  <si>
    <t xml:space="preserve">#76 Slope_Leaf_Fall</t>
  </si>
  <si>
    <t xml:space="preserve">#77 Succulence</t>
  </si>
  <si>
    <t xml:space="preserve">#78 Leaf_apo_fraction</t>
  </si>
  <si>
    <t xml:space="preserve">#79 LMA</t>
  </si>
  <si>
    <t xml:space="preserve">#49 PENMAN</t>
  </si>
  <si>
    <t xml:space="preserve">#50 Penman_Coeff</t>
  </si>
  <si>
    <t xml:space="preserve">#51 g_crown0</t>
  </si>
  <si>
    <t xml:space="preserve">#204 gs_tc</t>
  </si>
  <si>
    <t xml:space="preserve">#25 Regul_gs</t>
  </si>
  <si>
    <t xml:space="preserve">#26 Regul_gs_para1</t>
  </si>
  <si>
    <t xml:space="preserve">#27 Regul_gs_para2</t>
  </si>
  <si>
    <t xml:space="preserve">#28 Regul_gs_para3</t>
  </si>
  <si>
    <t xml:space="preserve">#29 Regul_gs_para4</t>
  </si>
  <si>
    <t xml:space="preserve">#119 gs_max1</t>
  </si>
  <si>
    <t xml:space="preserve">#119 gs_max2</t>
  </si>
  <si>
    <t xml:space="preserve">#119 gs_max3</t>
  </si>
  <si>
    <t xml:space="preserve">#120 gs_night</t>
  </si>
  <si>
    <t xml:space="preserve">#8 gs_cst</t>
  </si>
  <si>
    <t xml:space="preserve">#121 Jarvis_PAR</t>
  </si>
  <si>
    <t xml:space="preserve">#122 GS_MAX</t>
  </si>
  <si>
    <t xml:space="preserve">#198 gs_CO2_sens</t>
  </si>
  <si>
    <t xml:space="preserve">#123 Tgs_optim</t>
  </si>
  <si>
    <t xml:space="preserve">#124 Tgs_sens</t>
  </si>
  <si>
    <t xml:space="preserve">#22 T_g_cuti</t>
  </si>
  <si>
    <t xml:space="preserve">#125 g_cuti_20</t>
  </si>
  <si>
    <t xml:space="preserve">#126 TP</t>
  </si>
  <si>
    <t xml:space="preserve">#127 Q10_1</t>
  </si>
  <si>
    <t xml:space="preserve">#128 Q10_2</t>
  </si>
  <si>
    <t xml:space="preserve">#245 RWC_sens</t>
  </si>
  <si>
    <t xml:space="preserve">#129 g_Branch</t>
  </si>
  <si>
    <t xml:space="preserve">#130 g_Trunk</t>
  </si>
  <si>
    <t xml:space="preserve">#131 g_Root</t>
  </si>
  <si>
    <t xml:space="preserve">#132 g_Soil0</t>
  </si>
  <si>
    <t xml:space="preserve">#PhotoS_model</t>
  </si>
  <si>
    <t xml:space="preserve">#80 VcMax</t>
  </si>
  <si>
    <t xml:space="preserve">#81 VjMax</t>
  </si>
  <si>
    <t xml:space="preserve">#82 CO2_atm</t>
  </si>
  <si>
    <t xml:space="preserve">#83 Rd25</t>
  </si>
  <si>
    <t xml:space="preserve">#84 Qye</t>
  </si>
  <si>
    <t xml:space="preserve">#85 Kc25</t>
  </si>
  <si>
    <t xml:space="preserve">#86 Ko25</t>
  </si>
  <si>
    <t xml:space="preserve">#87 a_Res</t>
  </si>
  <si>
    <t xml:space="preserve">#64 Extinction_Coeff</t>
  </si>
  <si>
    <t xml:space="preserve">#145 Epsilon_Leaf_Symp</t>
  </si>
  <si>
    <t xml:space="preserve">#146 Epsilon_Branch_Symp</t>
  </si>
  <si>
    <t xml:space="preserve">#147 Epsilon_Trunk_Symp</t>
  </si>
  <si>
    <t xml:space="preserve">#148 Epsilon_Root_Symp</t>
  </si>
  <si>
    <t xml:space="preserve">#149 Pi0_Leaf_Symp</t>
  </si>
  <si>
    <t xml:space="preserve">#150 Pi0_Branch_Symp</t>
  </si>
  <si>
    <t xml:space="preserve">#151 Pi0_Trunk_Symp</t>
  </si>
  <si>
    <t xml:space="preserve">#152 Pi0_Root_Symp</t>
  </si>
  <si>
    <t xml:space="preserve">#9 K_VAR</t>
  </si>
  <si>
    <t xml:space="preserve">#201 K_VAR_P1</t>
  </si>
  <si>
    <t xml:space="preserve">#202 K_VAR_P2</t>
  </si>
  <si>
    <t xml:space="preserve">#203 K_VAR_P3</t>
  </si>
  <si>
    <t xml:space="preserve">#153 K_Leaf_Apo0</t>
  </si>
  <si>
    <t xml:space="preserve">#154 K_Branch_Apo0</t>
  </si>
  <si>
    <t xml:space="preserve">#155 K_Trunk_Apo0</t>
  </si>
  <si>
    <t xml:space="preserve">#156 K_Root_Apo0</t>
  </si>
  <si>
    <t xml:space="preserve">#116 K_Branch_Apo_FR</t>
  </si>
  <si>
    <t xml:space="preserve">#117 K_Trunk_Apo_FR</t>
  </si>
  <si>
    <t xml:space="preserve">#118 K_Root_Apo_FR</t>
  </si>
  <si>
    <t xml:space="preserve">#157 K_Leaf_Symp_0</t>
  </si>
  <si>
    <t xml:space="preserve">#158 K_Branch_Symp0</t>
  </si>
  <si>
    <t xml:space="preserve">#159 K_Trunk_Symp0</t>
  </si>
  <si>
    <t xml:space="preserve">#160 K_Root_Symp0</t>
  </si>
  <si>
    <t xml:space="preserve">#161 P50_Leaf_Apo_01</t>
  </si>
  <si>
    <t xml:space="preserve">#233 P50_Leaf_Apo_02</t>
  </si>
  <si>
    <t xml:space="preserve">#232 P50_Leaf_Apo_03</t>
  </si>
  <si>
    <t xml:space="preserve">#162 P50_Branch_Apo</t>
  </si>
  <si>
    <t xml:space="preserve">#237 P50_Branch_Apo2</t>
  </si>
  <si>
    <t xml:space="preserve">#238 P50_Branch_Apo3</t>
  </si>
  <si>
    <t xml:space="preserve">#163 P50_Trunk_Apo</t>
  </si>
  <si>
    <t xml:space="preserve">#164 P50_Root_Apo</t>
  </si>
  <si>
    <t xml:space="preserve">#165 Slope_Leaf_Apo</t>
  </si>
  <si>
    <t xml:space="preserve">#235 Slope_Leaf_Apo2</t>
  </si>
  <si>
    <t xml:space="preserve">#236 Slope_Leaf_Apo3</t>
  </si>
  <si>
    <t xml:space="preserve">#166 Slope_Branch_Apo1</t>
  </si>
  <si>
    <t xml:space="preserve">#239 Slope_Branch_Apo2</t>
  </si>
  <si>
    <t xml:space="preserve">#240 Slope_Branch_Apo3</t>
  </si>
  <si>
    <t xml:space="preserve">#167 Slope_Trunk_Apo</t>
  </si>
  <si>
    <t xml:space="preserve">#168 Slope_Root_Apo</t>
  </si>
  <si>
    <t xml:space="preserve">#188 REFILL</t>
  </si>
  <si>
    <t xml:space="preserve">#189 P_REFILL</t>
  </si>
  <si>
    <t xml:space="preserve">#190 leg_Leaf</t>
  </si>
  <si>
    <t xml:space="preserve">#191 leg_Branch</t>
  </si>
  <si>
    <t xml:space="preserve">#192 leg_Trunk</t>
  </si>
  <si>
    <t xml:space="preserve">#193 leg_Root</t>
  </si>
  <si>
    <t xml:space="preserve">#212 ACCLIMATE</t>
  </si>
  <si>
    <t xml:space="preserve">#213 Acc_P1</t>
  </si>
  <si>
    <t xml:space="preserve">#214 Acc_P2</t>
  </si>
  <si>
    <t xml:space="preserve">#215 Acc_P3</t>
  </si>
  <si>
    <t xml:space="preserve">#135 C_Leaf_Apo</t>
  </si>
  <si>
    <t xml:space="preserve">#136 C_Branch_Apo</t>
  </si>
  <si>
    <t xml:space="preserve">#137 C_Trunk_Apo</t>
  </si>
  <si>
    <t xml:space="preserve">#138 C_Root_Apo</t>
  </si>
  <si>
    <t xml:space="preserve">#258 Growth_control</t>
  </si>
  <si>
    <t xml:space="preserve">#252 Growth_para1</t>
  </si>
  <si>
    <t xml:space="preserve">#253 Growth_para2</t>
  </si>
  <si>
    <t xml:space="preserve">#133 Extensibility_trunk</t>
  </si>
  <si>
    <t xml:space="preserve">#134 Yield_trunk</t>
  </si>
  <si>
    <t xml:space="preserve">#218 bark</t>
  </si>
  <si>
    <t xml:space="preserve">#249 Rm_25</t>
  </si>
  <si>
    <t xml:space="preserve">#250 Rg_25</t>
  </si>
  <si>
    <t xml:space="preserve">#251 NSC</t>
  </si>
  <si>
    <t xml:space="preserve">#169 Type_Axil</t>
  </si>
  <si>
    <t xml:space="preserve">#170 N_Axil</t>
  </si>
  <si>
    <t xml:space="preserve">#182 Diam_Axil</t>
  </si>
  <si>
    <t xml:space="preserve">#183 Length_Petiole</t>
  </si>
  <si>
    <t xml:space="preserve">#184 Diam_Petiole</t>
  </si>
  <si>
    <t xml:space="preserve">#185 WC_Axil</t>
  </si>
  <si>
    <t xml:space="preserve">#171 K_Axil_Apo0</t>
  </si>
  <si>
    <t xml:space="preserve">#172 K_Axil_Symp</t>
  </si>
  <si>
    <t xml:space="preserve">#173 K_Axil_Symp2</t>
  </si>
  <si>
    <t xml:space="preserve">#174 Epsilon_Axil_Symp</t>
  </si>
  <si>
    <t xml:space="preserve">#175 Pi0_Axil_Symp</t>
  </si>
  <si>
    <t xml:space="preserve">#176 P50_Axil_Apo</t>
  </si>
  <si>
    <t xml:space="preserve">#177 Slope_Axil_Apo</t>
  </si>
  <si>
    <t xml:space="preserve">#252 g_Axil_regul</t>
  </si>
  <si>
    <t xml:space="preserve">#178 g_Axil_min20</t>
  </si>
  <si>
    <t xml:space="preserve">#179 g_Axil_max</t>
  </si>
  <si>
    <t xml:space="preserve">#180 g_Petiole</t>
  </si>
  <si>
    <t xml:space="preserve">#253 TP_Axil</t>
  </si>
  <si>
    <t xml:space="preserve">#254 Q10_1_Axil</t>
  </si>
  <si>
    <t xml:space="preserve">#255 Q10_2_Axil</t>
  </si>
  <si>
    <t xml:space="preserve">#181 C_Axil_Apo</t>
  </si>
  <si>
    <t xml:space="preserve">#186 Extensibility_fruit</t>
  </si>
  <si>
    <t xml:space="preserve">#187 Yield_fruit</t>
  </si>
  <si>
    <t xml:space="preserve">species</t>
  </si>
  <si>
    <t xml:space="preserve">Quercus </t>
  </si>
  <si>
    <t xml:space="preserve">Sort by "old order"</t>
  </si>
  <si>
    <t xml:space="preserve">sureau_para_txt contains the "old order" column sorted as "new order".</t>
  </si>
  <si>
    <t xml:space="preserve">Copy values</t>
  </si>
  <si>
    <t xml:space="preserve">Sort by new order</t>
  </si>
  <si>
    <t xml:space="preserve">Copy/transpose in init</t>
  </si>
  <si>
    <t xml:space="preserve">Parameter</t>
  </si>
  <si>
    <t xml:space="preserve">NEW order</t>
  </si>
  <si>
    <t xml:space="preserve">OLD order</t>
  </si>
  <si>
    <t xml:space="preserve">Value</t>
  </si>
  <si>
    <t xml:space="preserve">#66 leaf_angle</t>
  </si>
  <si>
    <t xml:space="preserve">#28 Pgs_12</t>
  </si>
  <si>
    <t xml:space="preserve">#29 Pgs_88</t>
  </si>
  <si>
    <t xml:space="preserve">#119 gs_max</t>
  </si>
  <si>
    <t xml:space="preserve">#161 P50_Leaf_Apo</t>
  </si>
  <si>
    <t xml:space="preserve">#166 Slope_Branch_Apo</t>
  </si>
  <si>
    <t xml:space="preserve">List of parameters to be displayed on screen and saved in the transient_out.cvs file</t>
  </si>
  <si>
    <t xml:space="preserve">Check 1 in the columns E anf F to validate</t>
  </si>
  <si>
    <t xml:space="preserve">Copy / Paste the yellow cells (only !) in the transient_out.txt text file</t>
  </si>
  <si>
    <t xml:space="preserve">Currently:</t>
  </si>
  <si>
    <t xml:space="preserve">SCREEN</t>
  </si>
  <si>
    <t xml:space="preserve">FILE</t>
  </si>
  <si>
    <t xml:space="preserve">Category</t>
  </si>
  <si>
    <t xml:space="preserve">time</t>
  </si>
  <si>
    <t xml:space="preserve">type</t>
  </si>
  <si>
    <t xml:space="preserve">Variable name</t>
  </si>
  <si>
    <t xml:space="preserve">Variable parameter/formula in the code</t>
  </si>
  <si>
    <t xml:space="preserve">Label</t>
  </si>
  <si>
    <t xml:space="preserve">Pointer</t>
  </si>
  <si>
    <t xml:space="preserve">Yes=1 / No =0</t>
  </si>
  <si>
    <t xml:space="preserve">Time, days DOY (1) or DOY-DOY_0 (2)</t>
  </si>
  <si>
    <t xml:space="preserve">T/3600/24</t>
  </si>
  <si>
    <t xml:space="preserve">1-climat</t>
  </si>
  <si>
    <t xml:space="preserve">3-sec</t>
  </si>
  <si>
    <t xml:space="preserve">climat</t>
  </si>
  <si>
    <t xml:space="preserve">Air temperature, °C</t>
  </si>
  <si>
    <t xml:space="preserve">T_air</t>
  </si>
  <si>
    <t xml:space="preserve">Leaf temperature, °C</t>
  </si>
  <si>
    <t xml:space="preserve">T_Leaf[0]</t>
  </si>
  <si>
    <t xml:space="preserve">T_leaf</t>
  </si>
  <si>
    <t xml:space="preserve">Air relative humidity, %</t>
  </si>
  <si>
    <t xml:space="preserve">RH_air</t>
  </si>
  <si>
    <t xml:space="preserve">PAR, µmol</t>
  </si>
  <si>
    <t xml:space="preserve">PAR[0]</t>
  </si>
  <si>
    <t xml:space="preserve">Leaf-to-air VPD, kPa</t>
  </si>
  <si>
    <t xml:space="preserve">VPD_Leaf[0]</t>
  </si>
  <si>
    <t xml:space="preserve">VPD_Leaf</t>
  </si>
  <si>
    <t xml:space="preserve">Cuti-to-air VPD, kPa</t>
  </si>
  <si>
    <t xml:space="preserve">VPD_Cuti[0]</t>
  </si>
  <si>
    <t xml:space="preserve">VPD_Cuti</t>
  </si>
  <si>
    <t xml:space="preserve">Organ-to-air VPD, kPa</t>
  </si>
  <si>
    <t xml:space="preserve">VPD_Organ</t>
  </si>
  <si>
    <t xml:space="preserve">Branch-to-air VPD, kPa</t>
  </si>
  <si>
    <t xml:space="preserve">VPD_Branch[0]</t>
  </si>
  <si>
    <t xml:space="preserve">VPD_Bra</t>
  </si>
  <si>
    <t xml:space="preserve">Trunk-to-air VPD, kPa</t>
  </si>
  <si>
    <t xml:space="preserve">VPD_Trunk</t>
  </si>
  <si>
    <t xml:space="preserve">VPD_Tru</t>
  </si>
  <si>
    <t xml:space="preserve">Root1-to-air VPD, kPa</t>
  </si>
  <si>
    <t xml:space="preserve">VPD_Root1</t>
  </si>
  <si>
    <t xml:space="preserve">VPD_R1</t>
  </si>
  <si>
    <t xml:space="preserve">Root2-to-air VPD, kPa</t>
  </si>
  <si>
    <t xml:space="preserve">VPD_Root2</t>
  </si>
  <si>
    <t xml:space="preserve">VPD_R2</t>
  </si>
  <si>
    <t xml:space="preserve">Root3-to-air VPD, kPa</t>
  </si>
  <si>
    <t xml:space="preserve">VPD_Root3</t>
  </si>
  <si>
    <t xml:space="preserve">VPD_R3</t>
  </si>
  <si>
    <t xml:space="preserve">Soil-to-air VPD, kPa</t>
  </si>
  <si>
    <t xml:space="preserve">VPD_Soil</t>
  </si>
  <si>
    <t xml:space="preserve">total Potential PAR, µmol</t>
  </si>
  <si>
    <t xml:space="preserve">Pot_PAR_tot</t>
  </si>
  <si>
    <t xml:space="preserve">Air water potential, Mpa</t>
  </si>
  <si>
    <t xml:space="preserve">P_air</t>
  </si>
  <si>
    <t xml:space="preserve">Pair</t>
  </si>
  <si>
    <t xml:space="preserve">2-leaf</t>
  </si>
  <si>
    <t xml:space="preserve">Evaporation rate</t>
  </si>
  <si>
    <t xml:space="preserve">Leaf Evaporation due to climatic demand, mmol s-1 m-2</t>
  </si>
  <si>
    <t xml:space="preserve">E_clim[0]</t>
  </si>
  <si>
    <t xml:space="preserve">E_clim</t>
  </si>
  <si>
    <t xml:space="preserve">Evaporation (rate)</t>
  </si>
  <si>
    <t xml:space="preserve">Leaf Evaporation rate,  in (1) mmol s-1 m-2 or (2) mmol s-1</t>
  </si>
  <si>
    <t xml:space="preserve">E_Leaf[0]</t>
  </si>
  <si>
    <t xml:space="preserve">E_Leaf</t>
  </si>
  <si>
    <t xml:space="preserve">Cuticule Evaporation rate, in (1) mmol s-1 m-2 or (2) mmol s-1</t>
  </si>
  <si>
    <t xml:space="preserve">E_cuti[0]</t>
  </si>
  <si>
    <t xml:space="preserve">E_cuti</t>
  </si>
  <si>
    <t xml:space="preserve">3-branch</t>
  </si>
  <si>
    <t xml:space="preserve">Branch bark Evaporation rate,  in (1) mmol s-1 m-2 or (2) mmol s-1</t>
  </si>
  <si>
    <t xml:space="preserve">E_Branch[0]</t>
  </si>
  <si>
    <t xml:space="preserve">E_Bran</t>
  </si>
  <si>
    <t xml:space="preserve">4-trunk</t>
  </si>
  <si>
    <t xml:space="preserve">Trunk bark Evaporation rate, in (1) mmol s-1 m-2 or (2) mmol s-1</t>
  </si>
  <si>
    <t xml:space="preserve">E_Trunk</t>
  </si>
  <si>
    <t xml:space="preserve">5-Organ</t>
  </si>
  <si>
    <t xml:space="preserve">Organ Evaporation rate, in (1) mmol s-1 m-2 or (2) mmol s-1</t>
  </si>
  <si>
    <t xml:space="preserve">E_Organ</t>
  </si>
  <si>
    <t xml:space="preserve">6-root</t>
  </si>
  <si>
    <t xml:space="preserve">Root 1 Evaporation rate, mmol s-1 m-2</t>
  </si>
  <si>
    <t xml:space="preserve">E_Root1</t>
  </si>
  <si>
    <t xml:space="preserve">Root 2 Evaporation rate, mmol s-1 m-2</t>
  </si>
  <si>
    <t xml:space="preserve">E_Root2</t>
  </si>
  <si>
    <t xml:space="preserve">Root 3 Evaporation rate, mmol s-1 m-2</t>
  </si>
  <si>
    <t xml:space="preserve">E_Root3</t>
  </si>
  <si>
    <t xml:space="preserve">7-soil</t>
  </si>
  <si>
    <t xml:space="preserve">Soil Evaporation rate, mmol s-1 m-2</t>
  </si>
  <si>
    <t xml:space="preserve">E_Soil</t>
  </si>
  <si>
    <t xml:space="preserve">8-plant</t>
  </si>
  <si>
    <t xml:space="preserve">Evaporation</t>
  </si>
  <si>
    <t xml:space="preserve">Whole plant evaporation, in (1) mmol s-1  or (2) g/h</t>
  </si>
  <si>
    <t xml:space="preserve">E_Plant</t>
  </si>
  <si>
    <t xml:space="preserve">E</t>
  </si>
  <si>
    <t xml:space="preserve">Whole plant evaporation, mmol s-1 m-2</t>
  </si>
  <si>
    <t xml:space="preserve">E_Plant/Leaf_Area</t>
  </si>
  <si>
    <t xml:space="preserve">E/m2</t>
  </si>
  <si>
    <t xml:space="preserve">1-year</t>
  </si>
  <si>
    <t xml:space="preserve">Cumulated plant water loss,  Kg</t>
  </si>
  <si>
    <t xml:space="preserve">E_tot*18/1000/1000</t>
  </si>
  <si>
    <t xml:space="preserve">E_tot</t>
  </si>
  <si>
    <t xml:space="preserve">Conductance</t>
  </si>
  <si>
    <t xml:space="preserve">Canopy conductance, mmol s-1 m-2</t>
  </si>
  <si>
    <t xml:space="preserve">g_Canopy</t>
  </si>
  <si>
    <t xml:space="preserve">g_canopy</t>
  </si>
  <si>
    <t xml:space="preserve">Leaf stomatal conductance, mmols-1 m-2</t>
  </si>
  <si>
    <t xml:space="preserve">g_s[0]</t>
  </si>
  <si>
    <t xml:space="preserve">g_s</t>
  </si>
  <si>
    <t xml:space="preserve">Cuticle conductance, mmols-1m-2</t>
  </si>
  <si>
    <t xml:space="preserve">g_cuti[0]</t>
  </si>
  <si>
    <t xml:space="preserve">Potential</t>
  </si>
  <si>
    <t xml:space="preserve">Water potential at leaf evaporation sites, Mpa</t>
  </si>
  <si>
    <t xml:space="preserve">P_Leaf_Evap[0]</t>
  </si>
  <si>
    <t xml:space="preserve">P_evap_a</t>
  </si>
  <si>
    <t xml:space="preserve">Symplasmic leaf water potential, Mpa</t>
  </si>
  <si>
    <t xml:space="preserve">P_Leaf_Symp[0]</t>
  </si>
  <si>
    <t xml:space="preserve">P_leaf_s</t>
  </si>
  <si>
    <t xml:space="preserve">Apoplasmic leaf water potential, Mpa</t>
  </si>
  <si>
    <t xml:space="preserve">P_Leaf_Apo[0]</t>
  </si>
  <si>
    <t xml:space="preserve">P_leaf_a</t>
  </si>
  <si>
    <t xml:space="preserve">relative leaf turgor, 0-1</t>
  </si>
  <si>
    <t xml:space="preserve">turgor</t>
  </si>
  <si>
    <t xml:space="preserve">Symplasmic leaf turgor potential, Mpa</t>
  </si>
  <si>
    <t xml:space="preserve">Turgor_Leaf_Symp[0]</t>
  </si>
  <si>
    <t xml:space="preserve">Turgor_l</t>
  </si>
  <si>
    <t xml:space="preserve">Symplasmic bud water potential, Mpa</t>
  </si>
  <si>
    <t xml:space="preserve">P_Organ_Symp</t>
  </si>
  <si>
    <t xml:space="preserve">P_Organ_s</t>
  </si>
  <si>
    <t xml:space="preserve">Apoplasmic bud water potential, Mpa</t>
  </si>
  <si>
    <t xml:space="preserve">P_Organ_Apo</t>
  </si>
  <si>
    <t xml:space="preserve">P_Organ_a</t>
  </si>
  <si>
    <t xml:space="preserve">Symplasmic branch water potential, Mpa</t>
  </si>
  <si>
    <t xml:space="preserve">P_Branch_Symp[0]</t>
  </si>
  <si>
    <t xml:space="preserve">P_branch_s</t>
  </si>
  <si>
    <t xml:space="preserve">Apoplasmic branch water potential, Mpa</t>
  </si>
  <si>
    <t xml:space="preserve">P_Branch_Apo[0]</t>
  </si>
  <si>
    <t xml:space="preserve">P_branch_a</t>
  </si>
  <si>
    <t xml:space="preserve">Symplasmic trunk water potential, Mpa</t>
  </si>
  <si>
    <t xml:space="preserve">P_Trunk_Symp</t>
  </si>
  <si>
    <t xml:space="preserve">P_trunk_s</t>
  </si>
  <si>
    <t xml:space="preserve">Apoplasmic trunk water potential, Mpa</t>
  </si>
  <si>
    <t xml:space="preserve">P_Trunk_Apo</t>
  </si>
  <si>
    <t xml:space="preserve">P_trunk_a</t>
  </si>
  <si>
    <t xml:space="preserve">Symplasmic trunk turgor pressure, Mpa</t>
  </si>
  <si>
    <t xml:space="preserve">Turgor_Trunk_Symp</t>
  </si>
  <si>
    <t xml:space="preserve">Turgor</t>
  </si>
  <si>
    <t xml:space="preserve">Symplasmic root#1 water potential, Mpa</t>
  </si>
  <si>
    <t xml:space="preserve">P_Root_Symp1</t>
  </si>
  <si>
    <t xml:space="preserve">P_root1_s</t>
  </si>
  <si>
    <t xml:space="preserve">Root#1 endoplasm water potential, Mpa</t>
  </si>
  <si>
    <t xml:space="preserve">P_Root_Endo1</t>
  </si>
  <si>
    <t xml:space="preserve">P_endo1</t>
  </si>
  <si>
    <t xml:space="preserve">Apoplasmic Root#1 water potential, Mpa</t>
  </si>
  <si>
    <t xml:space="preserve">P_Root_Apo1</t>
  </si>
  <si>
    <t xml:space="preserve">P_root1_a</t>
  </si>
  <si>
    <t xml:space="preserve">Symplasmic root#2 water potential, Mpa</t>
  </si>
  <si>
    <t xml:space="preserve">P_Root_Symp2</t>
  </si>
  <si>
    <t xml:space="preserve">P_root2_s</t>
  </si>
  <si>
    <t xml:space="preserve">Root#2 endoplasm water potential, Mpa</t>
  </si>
  <si>
    <t xml:space="preserve">P_Root_Endo2</t>
  </si>
  <si>
    <t xml:space="preserve">P_endo2</t>
  </si>
  <si>
    <t xml:space="preserve">Apoplasmic Root#2 water potential, Mpa</t>
  </si>
  <si>
    <t xml:space="preserve">P_Root_Apo2</t>
  </si>
  <si>
    <t xml:space="preserve">P_root2_a</t>
  </si>
  <si>
    <t xml:space="preserve">Symplasmic root#3 water potential, Mpa</t>
  </si>
  <si>
    <t xml:space="preserve">P_Root_Symp3</t>
  </si>
  <si>
    <t xml:space="preserve">P_root3_s</t>
  </si>
  <si>
    <t xml:space="preserve">Root#13endoplasm water potential, Mpa</t>
  </si>
  <si>
    <t xml:space="preserve">P_Root_Endo3</t>
  </si>
  <si>
    <t xml:space="preserve">P_endo3</t>
  </si>
  <si>
    <t xml:space="preserve">Apoplasmic Root#3 water potential, Mpa</t>
  </si>
  <si>
    <t xml:space="preserve">P_Root_Apo3</t>
  </si>
  <si>
    <t xml:space="preserve">P_root3_a</t>
  </si>
  <si>
    <t xml:space="preserve">Soil layer 1 water potential, Mpa</t>
  </si>
  <si>
    <t xml:space="preserve">P_Soil1</t>
  </si>
  <si>
    <t xml:space="preserve">P_soil1</t>
  </si>
  <si>
    <t xml:space="preserve">Soil layer 2 water potential, Mpa</t>
  </si>
  <si>
    <t xml:space="preserve">P_Soil2</t>
  </si>
  <si>
    <t xml:space="preserve">P_soil2</t>
  </si>
  <si>
    <t xml:space="preserve">Soil layer 3 water potential, Mpa</t>
  </si>
  <si>
    <t xml:space="preserve">P_Soil3</t>
  </si>
  <si>
    <t xml:space="preserve">P_soil3</t>
  </si>
  <si>
    <t xml:space="preserve">R_Water content</t>
  </si>
  <si>
    <t xml:space="preserve">Soil layer 1 relative  volumetric water content, %</t>
  </si>
  <si>
    <t xml:space="preserve">(teta-teta_r)/(teta_s-teta_r)</t>
  </si>
  <si>
    <t xml:space="preserve">RWC1</t>
  </si>
  <si>
    <t xml:space="preserve">Soil layer 2  relative  volumetric water content, %</t>
  </si>
  <si>
    <t xml:space="preserve">RWC2</t>
  </si>
  <si>
    <t xml:space="preserve">Soil layer 3  relative  volumetric water content, %</t>
  </si>
  <si>
    <t xml:space="preserve">RWC3</t>
  </si>
  <si>
    <t xml:space="preserve">Soil layer 1 conductance</t>
  </si>
  <si>
    <t xml:space="preserve">K_Soil1</t>
  </si>
  <si>
    <t xml:space="preserve">Soil layer 2 conductance</t>
  </si>
  <si>
    <t xml:space="preserve">K_Soil2</t>
  </si>
  <si>
    <t xml:space="preserve">Soil layer 3 conductance</t>
  </si>
  <si>
    <t xml:space="preserve">K_Soil3</t>
  </si>
  <si>
    <t xml:space="preserve">Soil-Root1 interface conductance</t>
  </si>
  <si>
    <t xml:space="preserve">K_Interface1</t>
  </si>
  <si>
    <t xml:space="preserve">K_Inter1</t>
  </si>
  <si>
    <t xml:space="preserve">Soil-Root2 interface conductance</t>
  </si>
  <si>
    <t xml:space="preserve">K_Interface2</t>
  </si>
  <si>
    <t xml:space="preserve">K_Inter2</t>
  </si>
  <si>
    <t xml:space="preserve">Soil-Root3 interface conductance</t>
  </si>
  <si>
    <t xml:space="preserve">K_Interface3</t>
  </si>
  <si>
    <t xml:space="preserve">K_Inter3</t>
  </si>
  <si>
    <t xml:space="preserve">Leaf symplasmic conductance, (1) mmol s-1 Mpa-1 m-2 or (2) mmol s-1 Mpa-1</t>
  </si>
  <si>
    <t xml:space="preserve">K_Leaf_Symp/Leaf_Area</t>
  </si>
  <si>
    <t xml:space="preserve">K_leaf_s</t>
  </si>
  <si>
    <t xml:space="preserve">Leaf apoplasmic conductance, (1) mmol s-1 Mpa-1 m-2 or (2) mmol s-1 Mpa-1</t>
  </si>
  <si>
    <t xml:space="preserve">K_Leaf_Apo/Leaf_Area</t>
  </si>
  <si>
    <t xml:space="preserve">K_leaf_a</t>
  </si>
  <si>
    <t xml:space="preserve">Whole leaf conductance, (1) mmol s-1 Mpa-1 m-2 or (2) mmol s-1 Mpa-1</t>
  </si>
  <si>
    <t xml:space="preserve">1/(1/K_Leaf_Apo+1/K_Leaf_Symp)/Leaf_Area</t>
  </si>
  <si>
    <t xml:space="preserve">K_leaf</t>
  </si>
  <si>
    <t xml:space="preserve">Root1 symplasmic conductance, (1) mmol s-1 Mpa-1 m-2 or (2) mmol s-1 Mpa-1</t>
  </si>
  <si>
    <t xml:space="preserve">K_Root_Symp1*3/Leaf_Area</t>
  </si>
  <si>
    <t xml:space="preserve">K_r1_s</t>
  </si>
  <si>
    <t xml:space="preserve">Root1 apoplasmic conductance, (1) mmol s-1 Mpa-1 m-2 or (2) mmol s-1 Mpa-1</t>
  </si>
  <si>
    <t xml:space="preserve">K_Root_Apo1*3/Leaf_Area</t>
  </si>
  <si>
    <t xml:space="preserve">K_r1_a</t>
  </si>
  <si>
    <t xml:space="preserve">Root2 symplasmic conductance, (1) mmol s-1 Mpa-1 m-2 or (2) mmol s-1 Mpa-1</t>
  </si>
  <si>
    <t xml:space="preserve">K_Root_Symp2*3/Leaf_Area</t>
  </si>
  <si>
    <t xml:space="preserve">K_r2_s</t>
  </si>
  <si>
    <t xml:space="preserve">Root2 apoplasmic conductance, (1) mmol s-1 Mpa-1 m-2 or (2) mmol s-1 Mpa-1</t>
  </si>
  <si>
    <t xml:space="preserve">K_Root_Apo2*3/Leaf_Area</t>
  </si>
  <si>
    <t xml:space="preserve">K_r2_a</t>
  </si>
  <si>
    <t xml:space="preserve">Root3 symplasmic conductance, (1) mmol s-1 Mpa-1 m-2 or (2) mmol s-1 Mpa-1</t>
  </si>
  <si>
    <t xml:space="preserve">K_Root_Symp3*3/Leaf_Area</t>
  </si>
  <si>
    <t xml:space="preserve">K_r3_s</t>
  </si>
  <si>
    <t xml:space="preserve">Root3 apoplasmic conductance, (1) mmol s-1 Mpa-1 m-2 or (2) mmol s-1 Mpa-1</t>
  </si>
  <si>
    <t xml:space="preserve">K_Root_Apo3*3/Leaf_Area</t>
  </si>
  <si>
    <t xml:space="preserve">K_r3_a</t>
  </si>
  <si>
    <t xml:space="preserve">Whole root conductance, (1) mmol s-1 Mpa-1 m-2 or (2) mmol s-1 Mpa-1</t>
  </si>
  <si>
    <t xml:space="preserve">3/(1/K_Root_Symp1+1/K_Root_Apo1)/Leaf_Area</t>
  </si>
  <si>
    <t xml:space="preserve">K_root</t>
  </si>
  <si>
    <t xml:space="preserve">Trunk apoplasmic conductance, (1) mmol s-1 Mpa-1 m-2 or (2) mmol s-1 Mpa-1</t>
  </si>
  <si>
    <t xml:space="preserve">K_Trunk_Apo/Leaf_Area</t>
  </si>
  <si>
    <t xml:space="preserve">K_trunk</t>
  </si>
  <si>
    <t xml:space="preserve">Whole plant conductance, (1) mmol s-1 Mpa-1 m-2 or (2) mmol s-1 Mpa-1</t>
  </si>
  <si>
    <t xml:space="preserve">K_Plant</t>
  </si>
  <si>
    <t xml:space="preserve">Soil + Plant conductance, (1) mmol s-1 Mpa-1 m-2 or (2) mmol s-1 Mpa-1</t>
  </si>
  <si>
    <t xml:space="preserve">K_tot derived from K</t>
  </si>
  <si>
    <t xml:space="preserve">K_tot</t>
  </si>
  <si>
    <t xml:space="preserve">PLC</t>
  </si>
  <si>
    <t xml:space="preserve">Apoplasmic leaf PLC</t>
  </si>
  <si>
    <t xml:space="preserve">PLC_Leaf_Apo[0]</t>
  </si>
  <si>
    <t xml:space="preserve">PLC_leaf</t>
  </si>
  <si>
    <t xml:space="preserve">Apoplasmic Branch PLC</t>
  </si>
  <si>
    <t xml:space="preserve">PLC_Branch_Apo[0]</t>
  </si>
  <si>
    <t xml:space="preserve">PLC_bran</t>
  </si>
  <si>
    <t xml:space="preserve">Apoplasmic Organ PLC</t>
  </si>
  <si>
    <t xml:space="preserve">PLC_Organ_Apo</t>
  </si>
  <si>
    <t xml:space="preserve">PLC_Organ</t>
  </si>
  <si>
    <t xml:space="preserve">Apoplasmic Trunk PLC</t>
  </si>
  <si>
    <t xml:space="preserve">PLC_Trunk_Apo</t>
  </si>
  <si>
    <t xml:space="preserve">PLC_trunk</t>
  </si>
  <si>
    <t xml:space="preserve">Apoplasmic Root#1 PLC</t>
  </si>
  <si>
    <t xml:space="preserve">PLC_Root_Apo1</t>
  </si>
  <si>
    <t xml:space="preserve">PLC_root1</t>
  </si>
  <si>
    <t xml:space="preserve">Apoplasmic Root#2 PLC</t>
  </si>
  <si>
    <t xml:space="preserve">PLC_Root_Apo2</t>
  </si>
  <si>
    <t xml:space="preserve">PLC_root2</t>
  </si>
  <si>
    <t xml:space="preserve">Apoplasmic Root#3 PLC</t>
  </si>
  <si>
    <t xml:space="preserve">PLC_Root_Apo3</t>
  </si>
  <si>
    <t xml:space="preserve">PLC_root3</t>
  </si>
  <si>
    <t xml:space="preserve">Whole plant water content, Kg</t>
  </si>
  <si>
    <t xml:space="preserve">Q_Plant</t>
  </si>
  <si>
    <t xml:space="preserve">Q_plant</t>
  </si>
  <si>
    <t xml:space="preserve">Soil water (1) or deficit (2), Kg</t>
  </si>
  <si>
    <t xml:space="preserve">(Q_Soil01-Q_Soil1+Q_Soil02-Q_Soil2+Q_Soil03-Q_Soil3)*18/1000/1000</t>
  </si>
  <si>
    <t xml:space="preserve">DQ_soil</t>
  </si>
  <si>
    <t xml:space="preserve">Leaf evaporation site water content, Kg</t>
  </si>
  <si>
    <t xml:space="preserve">Q_Leaf_Evap*18/1000/1000</t>
  </si>
  <si>
    <t xml:space="preserve">Q_evap_a</t>
  </si>
  <si>
    <t xml:space="preserve">Symplasmic leaf water content, Kg</t>
  </si>
  <si>
    <t xml:space="preserve">Q_Leaf_Symp*18/1000/1000</t>
  </si>
  <si>
    <t xml:space="preserve">Q_leaf_s</t>
  </si>
  <si>
    <t xml:space="preserve">Apoplasmic leaf water content, Kg</t>
  </si>
  <si>
    <t xml:space="preserve">Q_Leaf_Apo*18/1000/1000</t>
  </si>
  <si>
    <t xml:space="preserve">Q_leaf_a</t>
  </si>
  <si>
    <t xml:space="preserve">Symplasmic branch water content, Kg</t>
  </si>
  <si>
    <t xml:space="preserve">Q_Branch_Symp*18/1000/1000</t>
  </si>
  <si>
    <t xml:space="preserve">Q_branch_s</t>
  </si>
  <si>
    <t xml:space="preserve">Apoplasmic branch water content, Kg</t>
  </si>
  <si>
    <t xml:space="preserve">Q_Branch_Apo*18/1000/1000</t>
  </si>
  <si>
    <t xml:space="preserve">Q_branch_a</t>
  </si>
  <si>
    <t xml:space="preserve">Symplasmic bud water content, Kg</t>
  </si>
  <si>
    <t xml:space="preserve">Q_Organ_Symp*18/1000/1000</t>
  </si>
  <si>
    <t xml:space="preserve">Q_bud_s</t>
  </si>
  <si>
    <t xml:space="preserve">Apoplasmic bud water content, Kg</t>
  </si>
  <si>
    <t xml:space="preserve">Q_Organ_Apo*18/1000/1000</t>
  </si>
  <si>
    <t xml:space="preserve">Q_bud_a</t>
  </si>
  <si>
    <t xml:space="preserve">Symplasmic trunk water content, Kg</t>
  </si>
  <si>
    <t xml:space="preserve">Q_Trunk_Symp*18/1000/1000</t>
  </si>
  <si>
    <t xml:space="preserve">Q_trunk_s</t>
  </si>
  <si>
    <t xml:space="preserve">Apoplasmic trunk water content, Kg</t>
  </si>
  <si>
    <t xml:space="preserve">Q_Trunk_Apo*18/1000/1000</t>
  </si>
  <si>
    <t xml:space="preserve">Q_trunk_a</t>
  </si>
  <si>
    <t xml:space="preserve">Symplasmic roots water content, Kg</t>
  </si>
  <si>
    <t xml:space="preserve">(Q_Root_Symp1+Q_Root_Symp2+Q_Root_Symp2)*18/1000/1000</t>
  </si>
  <si>
    <t xml:space="preserve">Q_root_s</t>
  </si>
  <si>
    <t xml:space="preserve">Apoplasmic roots water content, Kg</t>
  </si>
  <si>
    <t xml:space="preserve">(Q_Root_Apo1+Q_Root_Apo2+Q_Root_Apo3)*18/1000/1000</t>
  </si>
  <si>
    <t xml:space="preserve">Q_root_a</t>
  </si>
  <si>
    <t xml:space="preserve">Root endoplasm water content, Kg</t>
  </si>
  <si>
    <t xml:space="preserve">(Q_Root_Endo1+Q_Root_Endo2+Q_Root_Endo3)*18/1000/1000</t>
  </si>
  <si>
    <t xml:space="preserve">Q_endo</t>
  </si>
  <si>
    <t xml:space="preserve">Soil layer 1 water content, kg</t>
  </si>
  <si>
    <t xml:space="preserve">Q_Soil1*18/1000/1000</t>
  </si>
  <si>
    <t xml:space="preserve">Q_soil1</t>
  </si>
  <si>
    <t xml:space="preserve">Soil layer 2 water content, kg</t>
  </si>
  <si>
    <t xml:space="preserve">Q_Soil2*18/1000/1000</t>
  </si>
  <si>
    <t xml:space="preserve">Q_soil2</t>
  </si>
  <si>
    <t xml:space="preserve">Soil layer 3 water content, kg</t>
  </si>
  <si>
    <t xml:space="preserve">Q_soil3</t>
  </si>
  <si>
    <t xml:space="preserve">Trunk Growth rate, s-1</t>
  </si>
  <si>
    <t xml:space="preserve">Growth_rate</t>
  </si>
  <si>
    <t xml:space="preserve">Growth_r</t>
  </si>
  <si>
    <t xml:space="preserve">Trunk Radius variation, µm, relative (1) or absolute (2)</t>
  </si>
  <si>
    <t xml:space="preserve">Radius</t>
  </si>
  <si>
    <t xml:space="preserve">Mean Leaf Photosynthesis per leaf area, µmol s-1 m-2</t>
  </si>
  <si>
    <t xml:space="preserve">A_net[0]</t>
  </si>
  <si>
    <t xml:space="preserve">Cumulated photosynthesis at whole tree level,  mol</t>
  </si>
  <si>
    <t xml:space="preserve">A_net_tot_c/1000/1000</t>
  </si>
  <si>
    <t xml:space="preserve">A_net_tot_c</t>
  </si>
  <si>
    <t xml:space="preserve">Water use efficiency</t>
  </si>
  <si>
    <t xml:space="preserve">A_net_tot/E_tot/1000</t>
  </si>
  <si>
    <t xml:space="preserve">WUE</t>
  </si>
  <si>
    <t xml:space="preserve">Maintenance respiration rate, mol CO2/s</t>
  </si>
  <si>
    <t xml:space="preserve">R_main</t>
  </si>
  <si>
    <t xml:space="preserve">Rm</t>
  </si>
  <si>
    <t xml:space="preserve">Co2 equ content, mol</t>
  </si>
  <si>
    <t xml:space="preserve">Reserve</t>
  </si>
  <si>
    <t xml:space="preserve">Leaf area, m2</t>
  </si>
  <si>
    <t xml:space="preserve">Leaf_Area[0]</t>
  </si>
  <si>
    <t xml:space="preserve">Leaf_Area</t>
  </si>
  <si>
    <t xml:space="preserve">Specific leaf water content, g H20 per g leaf dry mass</t>
  </si>
  <si>
    <t xml:space="preserve">Specific_Leaf_WC</t>
  </si>
  <si>
    <t xml:space="preserve">Leaf_wc</t>
  </si>
  <si>
    <t xml:space="preserve">Specific Branch water content, kg H20 per kg wood dry mass</t>
  </si>
  <si>
    <t xml:space="preserve">Specific_Br_WC</t>
  </si>
  <si>
    <t xml:space="preserve">Branch_wc</t>
  </si>
  <si>
    <t xml:space="preserve">Specific Branch symplasmic water content, kg H20 per kg symp dry mass</t>
  </si>
  <si>
    <t xml:space="preserve">Specific_Br_Symp_WC</t>
  </si>
  <si>
    <t xml:space="preserve">Br_Sy_wc</t>
  </si>
  <si>
    <t xml:space="preserve">Specific Branch apoplasmic water content, kg H20 per kg wood dry mass</t>
  </si>
  <si>
    <t xml:space="preserve">Specific_Br_Apo_WC</t>
  </si>
  <si>
    <t xml:space="preserve">Br_Apo_wc</t>
  </si>
  <si>
    <t xml:space="preserve">Relative leaf+shoot water content, %</t>
  </si>
  <si>
    <t xml:space="preserve">RWC_shoot</t>
  </si>
  <si>
    <t xml:space="preserve">Organ relative water content, %</t>
  </si>
  <si>
    <t xml:space="preserve">RWC_Organ</t>
  </si>
  <si>
    <t xml:space="preserve">Mean soil relative volumetric water content RWC, %</t>
  </si>
  <si>
    <t xml:space="preserve">RWC_Soil</t>
  </si>
  <si>
    <t xml:space="preserve">Minimum soil RWC</t>
  </si>
  <si>
    <t xml:space="preserve">RWC_min</t>
  </si>
  <si>
    <t xml:space="preserve">Integrated (1) RWC deficit or (2) REW1 PF4.2 (3)REW2 PF100</t>
  </si>
  <si>
    <t xml:space="preserve">RWC_int / REW_int1 /REW_int2</t>
  </si>
  <si>
    <t xml:space="preserve">RWC_int</t>
  </si>
  <si>
    <t xml:space="preserve">Mean soil water potential, all 3 layers</t>
  </si>
  <si>
    <t xml:space="preserve">P_soil</t>
  </si>
  <si>
    <t xml:space="preserve">minimum Psoil</t>
  </si>
  <si>
    <t xml:space="preserve">P_soil_min</t>
  </si>
  <si>
    <t xml:space="preserve">Integrated Psoil</t>
  </si>
  <si>
    <t xml:space="preserve">P_soil_int</t>
  </si>
  <si>
    <t xml:space="preserve">9-Ecosystem</t>
  </si>
  <si>
    <t xml:space="preserve">Cumulated irrigation, mm</t>
  </si>
  <si>
    <t xml:space="preserve">Flux</t>
  </si>
  <si>
    <t xml:space="preserve">Sap flow density, g m-2 s-1</t>
  </si>
  <si>
    <t xml:space="preserve">Sap_flow_d</t>
  </si>
  <si>
    <t xml:space="preserve">Sap flow density, dm3 dm-2 h-1</t>
  </si>
  <si>
    <t xml:space="preserve">Sap_flow_d2</t>
  </si>
  <si>
    <t xml:space="preserve">Air VPD</t>
  </si>
  <si>
    <t xml:space="preserve">VPD_Air</t>
  </si>
  <si>
    <t xml:space="preserve">Fruit Diameter, mm</t>
  </si>
  <si>
    <t xml:space="preserve">Diam_Fruit</t>
  </si>
  <si>
    <t xml:space="preserve">ETP_Penman_totale, cumul in mm</t>
  </si>
  <si>
    <t xml:space="preserve">ETP_Penman_tot</t>
  </si>
  <si>
    <t xml:space="preserve">ETP_Pen_t</t>
  </si>
  <si>
    <t xml:space="preserve">ETP_Penman, instant in mmol/s  m-2 of soil</t>
  </si>
  <si>
    <t xml:space="preserve">ETP_Penman</t>
  </si>
  <si>
    <t xml:space="preserve">ETP_Pen</t>
  </si>
  <si>
    <t xml:space="preserve">Annual rain, cumul mm</t>
  </si>
  <si>
    <t xml:space="preserve">Rain_tot</t>
  </si>
  <si>
    <t xml:space="preserve">Annual rain reaching the soil, cumul mm</t>
  </si>
  <si>
    <t xml:space="preserve">Rain_soil</t>
  </si>
  <si>
    <t xml:space="preserve">Cumulative AIR VPD</t>
  </si>
  <si>
    <t xml:space="preserve">VPD_Air_tot</t>
  </si>
  <si>
    <t xml:space="preserve">VPD_Air_t</t>
  </si>
  <si>
    <t xml:space="preserve">Cumulative Leaf VPD when leafy</t>
  </si>
  <si>
    <t xml:space="preserve">VPD_Leaf_tot</t>
  </si>
  <si>
    <t xml:space="preserve">VPD_Leaf_t</t>
  </si>
  <si>
    <t xml:space="preserve">Rain when leafy, cumul, mm</t>
  </si>
  <si>
    <t xml:space="preserve">Rain_Leaf_tot</t>
  </si>
  <si>
    <t xml:space="preserve">Rain_Leaf_t</t>
  </si>
  <si>
    <t xml:space="preserve">ETP when leafy, cumul, mm</t>
  </si>
  <si>
    <t xml:space="preserve">ETP_leaf_tot</t>
  </si>
  <si>
    <t xml:space="preserve">ETP_leaf_t</t>
  </si>
  <si>
    <t xml:space="preserve">Mean annual temperature, °C</t>
  </si>
  <si>
    <t xml:space="preserve">T_air_an</t>
  </si>
  <si>
    <t xml:space="preserve">Mean annual temperature, when leafy °C</t>
  </si>
  <si>
    <t xml:space="preserve">T_air_an_l</t>
  </si>
  <si>
    <t xml:space="preserve">Whole plant + soil evaporation, mmol s-1</t>
  </si>
  <si>
    <t xml:space="preserve">EvapoT </t>
  </si>
  <si>
    <t xml:space="preserve">EvapoT</t>
  </si>
  <si>
    <t xml:space="preserve">Cumulated plant + soil water loss,  per soil surface, mm</t>
  </si>
  <si>
    <t xml:space="preserve">EvapoT_tot*18/1000/1000/Surface_Soil</t>
  </si>
  <si>
    <t xml:space="preserve">EvapoT_tot</t>
  </si>
  <si>
    <t xml:space="preserve">2-day</t>
  </si>
  <si>
    <t xml:space="preserve">ETP_Penman per day, in mm</t>
  </si>
  <si>
    <t xml:space="preserve">ETP_Penman_day</t>
  </si>
  <si>
    <t xml:space="preserve">ETP_d, mm</t>
  </si>
  <si>
    <t xml:space="preserve">Sap flow in the trunk, mmol/s</t>
  </si>
  <si>
    <t xml:space="preserve">Flux_Trunk_Apo_Branch_Apo/dt</t>
  </si>
  <si>
    <t xml:space="preserve">Sap_flow</t>
  </si>
  <si>
    <t xml:space="preserve">Branch apoplasmic conductance, (1) mmol s-1 Mpa-1 m-2 or (2) mmol s-1 Mpa-1</t>
  </si>
  <si>
    <t xml:space="preserve">K_Branch_Apo/Leaf_Area</t>
  </si>
  <si>
    <t xml:space="preserve">K_branch</t>
  </si>
  <si>
    <t xml:space="preserve">Seasonal minimum leaf water potential</t>
  </si>
  <si>
    <t xml:space="preserve">min (P_leaf_symp)</t>
  </si>
  <si>
    <t xml:space="preserve">P_min_lf</t>
  </si>
  <si>
    <t xml:space="preserve">Seasonal minimum branch water potential</t>
  </si>
  <si>
    <t xml:space="preserve">min (P_branch_apo)</t>
  </si>
  <si>
    <t xml:space="preserve">P_min_br</t>
  </si>
  <si>
    <t xml:space="preserve">K_tot derived from E and Y</t>
  </si>
  <si>
    <t xml:space="preserve">K_tot2</t>
  </si>
  <si>
    <t xml:space="preserve">Whole Canopy net Photosynthesis , µmol CO2/s</t>
  </si>
  <si>
    <t xml:space="preserve">A_net[0]*Leaf_Area[0]</t>
  </si>
  <si>
    <t xml:space="preserve">A_net_c</t>
  </si>
  <si>
    <t xml:space="preserve">Leaf interception, mm</t>
  </si>
  <si>
    <t xml:space="preserve">Rain_tot-Rain_soil</t>
  </si>
  <si>
    <t xml:space="preserve">Intercep</t>
  </si>
  <si>
    <t xml:space="preserve">GPP, gross photosynthesis, gC/m2_soil/yrs</t>
  </si>
  <si>
    <t xml:space="preserve">A_net_tot/surfac_soil*12</t>
  </si>
  <si>
    <t xml:space="preserve">GPP</t>
  </si>
  <si>
    <t xml:space="preserve">GPP, gross photosynthesis, gC/m2_soil/day</t>
  </si>
  <si>
    <t xml:space="preserve">A_net_day/suface_soil*12</t>
  </si>
  <si>
    <t xml:space="preserve">GPP_day</t>
  </si>
  <si>
    <t xml:space="preserve">Daily plant + soil water loss,  Kg H20/ m2_soil, mm</t>
  </si>
  <si>
    <t xml:space="preserve">EvapoT_day*18/1000/1000/Surface_Soil</t>
  </si>
  <si>
    <t xml:space="preserve">ETR_d, mm</t>
  </si>
  <si>
    <t xml:space="preserve">Daily plant water loss in Kg H20/ m2_crown=mm (1)  or Kg H20/day (2)</t>
  </si>
  <si>
    <t xml:space="preserve">E_tot_day*18/1000/1000/Crown_area</t>
  </si>
  <si>
    <t xml:space="preserve">E_day, mm</t>
  </si>
  <si>
    <t xml:space="preserve">T_Soil</t>
  </si>
  <si>
    <t xml:space="preserve">Potential PAR</t>
  </si>
  <si>
    <t xml:space="preserve">POTENTIAL_PAR</t>
  </si>
  <si>
    <t xml:space="preserve">PAR_pot</t>
  </si>
  <si>
    <t xml:space="preserve">cloud_cover</t>
  </si>
  <si>
    <t xml:space="preserve">Cloud</t>
  </si>
  <si>
    <t xml:space="preserve">a1-flux</t>
  </si>
  <si>
    <t xml:space="preserve">Flux_Leaf_Symp_Leaf_Evap/dt</t>
  </si>
  <si>
    <t xml:space="preserve">-Flux_Leaf_Symp_Leaf_Evap/dt</t>
  </si>
  <si>
    <t xml:space="preserve">F_ls_le</t>
  </si>
  <si>
    <t xml:space="preserve">Flux_Leaf_Apo_Leaf_Evap/dt</t>
  </si>
  <si>
    <t xml:space="preserve">F_la_le</t>
  </si>
  <si>
    <t xml:space="preserve">Flux_Branch_Apo_Leaf_Apo/dt</t>
  </si>
  <si>
    <t xml:space="preserve">F_ba_la</t>
  </si>
  <si>
    <t xml:space="preserve">Flux_Branch_Apo_Branch_Symp/dt</t>
  </si>
  <si>
    <t xml:space="preserve">F_ba_bs</t>
  </si>
  <si>
    <t xml:space="preserve">F_ta_ba</t>
  </si>
  <si>
    <t xml:space="preserve">Flux_Trunk_Apo_Trunk_Symp/dt</t>
  </si>
  <si>
    <t xml:space="preserve">F_ta_ts</t>
  </si>
  <si>
    <t xml:space="preserve">Flux_Organ_Apo_Organ_Symp/dt</t>
  </si>
  <si>
    <t xml:space="preserve">F_bua_bus</t>
  </si>
  <si>
    <t xml:space="preserve">Flux_Branch_Apo_Organ_Apo/dt</t>
  </si>
  <si>
    <t xml:space="preserve">F_ba_bua</t>
  </si>
  <si>
    <t xml:space="preserve">Flux_Root_Apo_Trunk_Apo/dt</t>
  </si>
  <si>
    <r>
      <rPr>
        <sz val="12"/>
        <color rgb="FF000000"/>
        <rFont val="Symbol"/>
        <family val="0"/>
        <charset val="2"/>
      </rPr>
      <t xml:space="preserve">S</t>
    </r>
    <r>
      <rPr>
        <sz val="12"/>
        <color rgb="FF000000"/>
        <rFont val="Calibri"/>
        <family val="2"/>
        <charset val="1"/>
      </rPr>
      <t xml:space="preserve"> Flux_Root_Apo_Trunk_Apo/dt</t>
    </r>
  </si>
  <si>
    <t xml:space="preserve">F_ra_ta</t>
  </si>
  <si>
    <t xml:space="preserve">Flux_Root_Endo_Root_Apo/dt</t>
  </si>
  <si>
    <r>
      <rPr>
        <sz val="12"/>
        <color rgb="FF000000"/>
        <rFont val="Symbol"/>
        <family val="0"/>
        <charset val="2"/>
      </rPr>
      <t xml:space="preserve">S</t>
    </r>
    <r>
      <rPr>
        <sz val="12"/>
        <color rgb="FF000000"/>
        <rFont val="Calibri"/>
        <family val="2"/>
        <charset val="1"/>
      </rPr>
      <t xml:space="preserve"> Flux_Root_Endo_Root_Apo/dt</t>
    </r>
  </si>
  <si>
    <t xml:space="preserve">F_re_ra</t>
  </si>
  <si>
    <t xml:space="preserve">Flux_Root_Symp_Root_Endo/dt</t>
  </si>
  <si>
    <r>
      <rPr>
        <sz val="12"/>
        <color rgb="FF000000"/>
        <rFont val="Symbol"/>
        <family val="0"/>
        <charset val="2"/>
      </rPr>
      <t xml:space="preserve">S</t>
    </r>
    <r>
      <rPr>
        <sz val="12"/>
        <color rgb="FF000000"/>
        <rFont val="Calibri"/>
        <family val="2"/>
        <charset val="1"/>
      </rPr>
      <t xml:space="preserve"> Flux_Root_Symp_Root_Endo/dt</t>
    </r>
  </si>
  <si>
    <t xml:space="preserve">F_rs_re</t>
  </si>
  <si>
    <t xml:space="preserve">Flux_Soil_Root_Endo/dt</t>
  </si>
  <si>
    <r>
      <rPr>
        <sz val="12"/>
        <color rgb="FF000000"/>
        <rFont val="Symbol"/>
        <family val="0"/>
        <charset val="2"/>
      </rPr>
      <t xml:space="preserve">S</t>
    </r>
    <r>
      <rPr>
        <sz val="12"/>
        <color rgb="FF000000"/>
        <rFont val="Calibri"/>
        <family val="2"/>
        <charset val="1"/>
      </rPr>
      <t xml:space="preserve"> Flux_Soil_Root_Endo/dt</t>
    </r>
  </si>
  <si>
    <t xml:space="preserve">F_s_re</t>
  </si>
  <si>
    <t xml:space="preserve">Flux_Soil_12/dt in mmol/1 (1) or mm/day (2)</t>
  </si>
  <si>
    <t xml:space="preserve">-Flux_Soil_12/dt</t>
  </si>
  <si>
    <t xml:space="preserve">F_s_12</t>
  </si>
  <si>
    <t xml:space="preserve">Flux_Soil_23/dt  in mmol/1 (1) or mm/day (2)</t>
  </si>
  <si>
    <t xml:space="preserve">-Flux_Soil_23/dt</t>
  </si>
  <si>
    <t xml:space="preserve">F_s_23</t>
  </si>
  <si>
    <t xml:space="preserve">Rubisco-limited rate of photosynthesis, µmol s-1 m-2</t>
  </si>
  <si>
    <t xml:space="preserve">A_net1</t>
  </si>
  <si>
    <t xml:space="preserve">Light-limited rate of photosynthesis,  µmol s-1 m-2</t>
  </si>
  <si>
    <t xml:space="preserve">A_net2</t>
  </si>
  <si>
    <t xml:space="preserve">g_Organ</t>
  </si>
  <si>
    <t xml:space="preserve">Fine Root Area</t>
  </si>
  <si>
    <t xml:space="preserve">Root-Area</t>
  </si>
  <si>
    <t xml:space="preserve">Root_Area_fi</t>
  </si>
  <si>
    <t xml:space="preserve">Organ Water (Content Fresh -dry)/fresh</t>
  </si>
  <si>
    <t xml:space="preserve">Organ_WC %</t>
  </si>
  <si>
    <t xml:space="preserve">Soil RU totale, per soil surface, mm</t>
  </si>
  <si>
    <t xml:space="preserve">(Q_Soil*18/1000000000/Volume_soil- Teta_r)*Soil_Depth*1000;</t>
  </si>
  <si>
    <t xml:space="preserve">RU_soil_t</t>
  </si>
  <si>
    <t xml:space="preserve">ETR Cumulated plant water loss per m2 crown mm</t>
  </si>
  <si>
    <t xml:space="preserve">E_tot*18/1000/1000/Crown_area</t>
  </si>
  <si>
    <t xml:space="preserve">ETR</t>
  </si>
  <si>
    <t xml:space="preserve">Drainage, mm</t>
  </si>
  <si>
    <t xml:space="preserve">Drainage*18/1000/1000/Surface_Soil</t>
  </si>
  <si>
    <t xml:space="preserve">Drainage</t>
  </si>
  <si>
    <t xml:space="preserve">Growth respiration rate, µmol CO2/s</t>
  </si>
  <si>
    <t xml:space="preserve">R_Growth</t>
  </si>
  <si>
    <t xml:space="preserve">tree net Photosynthesis cumul year, mol</t>
  </si>
  <si>
    <t xml:space="preserve">A_net_tot</t>
  </si>
  <si>
    <t xml:space="preserve">Leaf Gross Photosynthesis per leaf area cumul year, mol</t>
  </si>
  <si>
    <t xml:space="preserve">A_gross_tot</t>
  </si>
  <si>
    <t xml:space="preserve">Respiration cumul year, mmol  m-2</t>
  </si>
  <si>
    <t xml:space="preserve">Resp_tot/1000</t>
  </si>
  <si>
    <t xml:space="preserve">Resp_tot</t>
  </si>
  <si>
    <t xml:space="preserve">Leaf exportation of glucose per leaf area, µmol s-1 m-2</t>
  </si>
  <si>
    <t xml:space="preserve">Export</t>
  </si>
  <si>
    <t xml:space="preserve">export</t>
  </si>
  <si>
    <t xml:space="preserve">Total Leaf exportation of glucose per leaf area, mmol m-2</t>
  </si>
  <si>
    <t xml:space="preserve">Export_tot/1000</t>
  </si>
  <si>
    <t xml:space="preserve">export_tot</t>
  </si>
  <si>
    <t xml:space="preserve">T_Soil1</t>
  </si>
  <si>
    <t xml:space="preserve">T_Soil2</t>
  </si>
  <si>
    <t xml:space="preserve">T_Soil3</t>
  </si>
  <si>
    <t xml:space="preserve">Soil RU to wilting point 1..5MPA, per soil surface, mm</t>
  </si>
  <si>
    <t xml:space="preserve">(Q_Soil*18/1000000000/Volume_soil- Teta_wp)*Soil_Depth*1000;</t>
  </si>
  <si>
    <t xml:space="preserve">RU_soil_wp</t>
  </si>
  <si>
    <t xml:space="preserve">Soil REW total, %</t>
  </si>
  <si>
    <t xml:space="preserve">(teta-teta_r)/(teta_fc-teta_r)</t>
  </si>
  <si>
    <t xml:space="preserve">REW_t</t>
  </si>
  <si>
    <t xml:space="preserve">Symplasmic Petiole water content, Kg</t>
  </si>
  <si>
    <t xml:space="preserve">Q_Petiole_Symp*18/1000/1000</t>
  </si>
  <si>
    <t xml:space="preserve">Q_Pet_s</t>
  </si>
  <si>
    <t xml:space="preserve">Organ petiole Evaporation rate, in (1) mmol s-1 m-2 or (2) mmol s-1</t>
  </si>
  <si>
    <t xml:space="preserve">E_Petiole</t>
  </si>
  <si>
    <t xml:space="preserve">Organ petiole Symplasmic potential, mmol s-1 m-2</t>
  </si>
  <si>
    <t xml:space="preserve">P_Petiole_Symp</t>
  </si>
  <si>
    <t xml:space="preserve">P_Pet_s</t>
  </si>
  <si>
    <t xml:space="preserve">Petiole diameter, µm</t>
  </si>
  <si>
    <t xml:space="preserve">Petiole_diam</t>
  </si>
  <si>
    <t xml:space="preserve">Pet_Diam</t>
  </si>
  <si>
    <t xml:space="preserve">Whole plant apoplasmic water content, Kg</t>
  </si>
  <si>
    <t xml:space="preserve">Q_Plant_a</t>
  </si>
  <si>
    <t xml:space="preserve">Whole plant symplasmic water content, Kg</t>
  </si>
  <si>
    <t xml:space="preserve">Q_Plant_s</t>
  </si>
  <si>
    <t xml:space="preserve">relative leaf water content, %</t>
  </si>
  <si>
    <t xml:space="preserve">Q_Leaf/Q_Leaf0</t>
  </si>
  <si>
    <t xml:space="preserve">RWC_leaf</t>
  </si>
  <si>
    <t xml:space="preserve">Relative Symplasmic leaf water content; %</t>
  </si>
  <si>
    <t xml:space="preserve">Q_Leaf_Symp/Q_Leaf_Symp0</t>
  </si>
  <si>
    <t xml:space="preserve">RWC_leaf_s</t>
  </si>
  <si>
    <t xml:space="preserve">Q_Leaf_Apo/Q_Leaf_Apo0</t>
  </si>
  <si>
    <t xml:space="preserve">RWC_leaf_a</t>
  </si>
  <si>
    <t xml:space="preserve">relative branch water content, %</t>
  </si>
  <si>
    <t xml:space="preserve">Q_Branch/Q_Branch0</t>
  </si>
  <si>
    <t xml:space="preserve">RWC_Branch</t>
  </si>
  <si>
    <t xml:space="preserve">Relative Symplasmic branch water content; %</t>
  </si>
  <si>
    <t xml:space="preserve">Q_Branch_Symp/Q_Branch_Symp0</t>
  </si>
  <si>
    <t xml:space="preserve">RWC_Branch_s</t>
  </si>
  <si>
    <t xml:space="preserve">Q_Branch_APo/Q_Branch_Apo0</t>
  </si>
  <si>
    <t xml:space="preserve">RWC_Branch_a</t>
  </si>
  <si>
    <t xml:space="preserve">relative trunk water content, %</t>
  </si>
  <si>
    <t xml:space="preserve">Q_Trunk/Q_Trunk0</t>
  </si>
  <si>
    <t xml:space="preserve">RWC_Trunk</t>
  </si>
  <si>
    <t xml:space="preserve">Relative Symplasmic trunk water content; %</t>
  </si>
  <si>
    <t xml:space="preserve">Q_Trunk_Symp/Q_Trunk_Symp0</t>
  </si>
  <si>
    <t xml:space="preserve">RWC_Trunk_s</t>
  </si>
  <si>
    <t xml:space="preserve">Q_Trunk_APo/Q_Trunk_Apo0</t>
  </si>
  <si>
    <t xml:space="preserve">RWC_Trunk_a</t>
  </si>
  <si>
    <t xml:space="preserve">relative root water content, %</t>
  </si>
  <si>
    <t xml:space="preserve">Q_Root/Q_Root0</t>
  </si>
  <si>
    <t xml:space="preserve">RWC_Root</t>
  </si>
  <si>
    <t xml:space="preserve">Relative Symplasmic root water content; %</t>
  </si>
  <si>
    <t xml:space="preserve">Q_Root_Symp/Q_Root_Symp0</t>
  </si>
  <si>
    <t xml:space="preserve">RWC_Root_s</t>
  </si>
  <si>
    <t xml:space="preserve">Symplasmic root water content, Kg</t>
  </si>
  <si>
    <t xml:space="preserve">Q_Root_APo/Q_Root_Apo0</t>
  </si>
  <si>
    <t xml:space="preserve">RWC_Root_a</t>
  </si>
  <si>
    <t xml:space="preserve">relative plant water content, %</t>
  </si>
  <si>
    <t xml:space="preserve">Q_Plant/Q_Plant0</t>
  </si>
  <si>
    <t xml:space="preserve">RWC_Plant</t>
  </si>
  <si>
    <t xml:space="preserve">Relative Symplasmic plant water content; %</t>
  </si>
  <si>
    <t xml:space="preserve">Q_Plant_Symp/Q_Plant_Symp0</t>
  </si>
  <si>
    <t xml:space="preserve">RWC_Plant_s</t>
  </si>
  <si>
    <t xml:space="preserve">Symplasmic plant water content, Kg</t>
  </si>
  <si>
    <t xml:space="preserve">Q_Plant_APo/Q_Plant_Apo0</t>
  </si>
  <si>
    <t xml:space="preserve">RWC_Plant_a</t>
  </si>
  <si>
    <t xml:space="preserve">Daily plant water loss mmol /s/ m2</t>
  </si>
  <si>
    <t xml:space="preserve">E_tot_day</t>
  </si>
  <si>
    <t xml:space="preserve">E_day, mmol</t>
  </si>
  <si>
    <t xml:space="preserve">Daily minimum leaf water potential</t>
  </si>
  <si>
    <t xml:space="preserve">P_min_lf_d</t>
  </si>
  <si>
    <t xml:space="preserve">Daily maximum leaf water potential</t>
  </si>
  <si>
    <t xml:space="preserve">max (P_leaf_symp)</t>
  </si>
  <si>
    <t xml:space="preserve">P_max_lf_d</t>
  </si>
  <si>
    <t xml:space="preserve">Daily minimum leaf conductance</t>
  </si>
  <si>
    <t xml:space="preserve">min (g_s+g_cuti)</t>
  </si>
  <si>
    <t xml:space="preserve">gs_min_d</t>
  </si>
  <si>
    <t xml:space="preserve">Daily maximum leaf conductance</t>
  </si>
  <si>
    <t xml:space="preserve">max (g_s+g_cuti)</t>
  </si>
  <si>
    <t xml:space="preserve">gs_max_d</t>
  </si>
  <si>
    <t xml:space="preserve">Daily min Sap flow density, dm3 dm-2 h-1</t>
  </si>
  <si>
    <t xml:space="preserve">min(Sap_flow_d2)</t>
  </si>
  <si>
    <t xml:space="preserve">SF_min_d</t>
  </si>
  <si>
    <t xml:space="preserve">Daily max Sap flow density, dm3 dm-2 h-1</t>
  </si>
  <si>
    <t xml:space="preserve">max(Sap_flow_d2)</t>
  </si>
  <si>
    <t xml:space="preserve">SF_max_d</t>
  </si>
  <si>
    <t xml:space="preserve">Daily maximum leaf conductance at Pleaf_min</t>
  </si>
  <si>
    <t xml:space="preserve">(g_s+g_cuti) @ min(P_leaf_sym)</t>
  </si>
  <si>
    <t xml:space="preserve">gs_max_d2</t>
  </si>
  <si>
    <t xml:space="preserve">Fruit Diameter growth, mm</t>
  </si>
  <si>
    <t xml:space="preserve">Growth_Fruit</t>
  </si>
  <si>
    <t xml:space="preserve">Fruit_gr</t>
  </si>
  <si>
    <t xml:space="preserve">Teta soil Water content</t>
  </si>
  <si>
    <t xml:space="preserve">Teta Soil water content, %</t>
  </si>
  <si>
    <t xml:space="preserve">(Q_Soil1+Q_Soil2+Q_Soil3)/1000/1000/1000*18/Volume_soil</t>
  </si>
  <si>
    <t xml:space="preserve">teta_soil</t>
  </si>
  <si>
    <t xml:space="preserve">(Q_Soil1)/1000/1000/1000*18/Volume_soil*3</t>
  </si>
  <si>
    <t xml:space="preserve">Teta_Soil1</t>
  </si>
  <si>
    <t xml:space="preserve">(Q_Soil2)/1000/1000/1000*18/Volume_soil*3</t>
  </si>
  <si>
    <t xml:space="preserve">Teta_Soil2</t>
  </si>
  <si>
    <t xml:space="preserve">(Q_Soil3)/1000/1000/1000*18/Volume_soil*3</t>
  </si>
  <si>
    <t xml:space="preserve">Teta_Soil3</t>
  </si>
  <si>
    <t xml:space="preserve">Ca, atm CO2 concentration, ppm</t>
  </si>
  <si>
    <t xml:space="preserve">Whole plant  conductance at 20°C, (1) mmol s-1 Mpa-1 m-2 or (2) mmol s-1 Mpa-1</t>
  </si>
  <si>
    <t xml:space="preserve">K_Plant_20</t>
  </si>
  <si>
    <t xml:space="preserve">Whole plant PLC (root symp to leaf symplasl), %</t>
  </si>
  <si>
    <t xml:space="preserve">PLC_Plant</t>
  </si>
  <si>
    <t xml:space="preserve">Apoplasmic leaf P50</t>
  </si>
  <si>
    <t xml:space="preserve">P50_Leaf_Apo</t>
  </si>
  <si>
    <t xml:space="preserve">P50_leaf </t>
  </si>
  <si>
    <t xml:space="preserve">Apoplasmic Branch P50</t>
  </si>
  <si>
    <t xml:space="preserve">P50_Branch_Apo</t>
  </si>
  <si>
    <t xml:space="preserve">P50_bran</t>
  </si>
  <si>
    <t xml:space="preserve">Apoplasmic Trunk P50</t>
  </si>
  <si>
    <t xml:space="preserve">P50_trunk</t>
  </si>
  <si>
    <t xml:space="preserve">Apoplasmic Root#1 P50</t>
  </si>
  <si>
    <t xml:space="preserve">P50_Root_Apo1</t>
  </si>
  <si>
    <t xml:space="preserve">P50_root</t>
  </si>
  <si>
    <t xml:space="preserve">Osmotic potential at saturation, Mpa</t>
  </si>
  <si>
    <t xml:space="preserve">PI0_leaf _symp</t>
  </si>
  <si>
    <t xml:space="preserve">PI0_leaf </t>
  </si>
  <si>
    <t xml:space="preserve">Water potential at stomatal regulation, Mpa</t>
  </si>
  <si>
    <t xml:space="preserve">Px_gs      </t>
  </si>
  <si>
    <t xml:space="preserve">Leaf Osmotic potential, Mpa</t>
  </si>
  <si>
    <t xml:space="preserve">PI_leaf _symp</t>
  </si>
  <si>
    <t xml:space="preserve">PI_leaf </t>
  </si>
  <si>
    <t xml:space="preserve">Whole plant+soil  conductance at 20°C, (1) mmol s-1 Mpa-1 m-2 or (2) mmol s-1 Mpa-1</t>
  </si>
  <si>
    <t xml:space="preserve">K_tot_20</t>
  </si>
  <si>
    <t xml:space="preserve">Whole plant+soil PLC (soil to leaf symplasl), %</t>
  </si>
  <si>
    <t xml:space="preserve">PLC_Plant_Soil</t>
  </si>
  <si>
    <t xml:space="preserve">PLC_Pl_Soil</t>
  </si>
  <si>
    <t xml:space="preserve">PAR_tot daily, µmol</t>
  </si>
  <si>
    <t xml:space="preserve">PAR_tot</t>
  </si>
  <si>
    <t xml:space="preserve">Mean leaf water potential when leafy</t>
  </si>
  <si>
    <t xml:space="preserve">P_min_leaf_mean_leafy</t>
  </si>
  <si>
    <t xml:space="preserve">P_mean_lf</t>
  </si>
  <si>
    <t xml:space="preserve">Leaf conductance (stomatal + cuticular), mmols-1 m-2</t>
  </si>
  <si>
    <t xml:space="preserve">g_Leaf</t>
  </si>
  <si>
    <t xml:space="preserve">g_leaf</t>
  </si>
  <si>
    <t xml:space="preserve">Stomatal Evaporation rate, mmol s-1 m-2</t>
  </si>
  <si>
    <t xml:space="preserve">E_stomata</t>
  </si>
  <si>
    <t xml:space="preserve">Jarvis conductance , mmols-1 m-2</t>
  </si>
  <si>
    <t xml:space="preserve">gs_Jarvis</t>
  </si>
  <si>
    <t xml:space="preserve">Crown conductance, mmols-1 m-2</t>
  </si>
  <si>
    <t xml:space="preserve">Leaf boundary layer conductance, mmols-1 m-2</t>
  </si>
  <si>
    <t xml:space="preserve">g_bl</t>
  </si>
  <si>
    <t xml:space="preserve">Mesophyll Co2 concentration, Cm, ppm</t>
  </si>
  <si>
    <t xml:space="preserve">Cm</t>
  </si>
  <si>
    <t xml:space="preserve">VcMax_t</t>
  </si>
  <si>
    <t xml:space="preserve">VcMax</t>
  </si>
  <si>
    <t xml:space="preserve">VjMax_t</t>
  </si>
  <si>
    <t xml:space="preserve">VjMax</t>
  </si>
  <si>
    <t xml:space="preserve">Rd_t</t>
  </si>
  <si>
    <t xml:space="preserve">Rd</t>
  </si>
  <si>
    <t xml:space="preserve">Stomatal chamber  Co2 concentration, Ci, ppm</t>
  </si>
  <si>
    <t xml:space="preserve">Ci</t>
  </si>
  <si>
    <t xml:space="preserve">Bundle sheat  Co2 concentration, Cbs ppm, for C4</t>
  </si>
  <si>
    <t xml:space="preserve">Cbs</t>
  </si>
  <si>
    <t xml:space="preserve">PLC_Leaf_Apo</t>
  </si>
  <si>
    <t xml:space="preserve">PLC_leaf 1</t>
  </si>
  <si>
    <t xml:space="preserve">PLC_leaf 2</t>
  </si>
  <si>
    <t xml:space="preserve">PLC_leaf 3</t>
  </si>
  <si>
    <t xml:space="preserve">Apoplasmic branch1 PLC</t>
  </si>
  <si>
    <t xml:space="preserve">PLC_Branch_Apo</t>
  </si>
  <si>
    <t xml:space="preserve">PLC_branch1</t>
  </si>
  <si>
    <t xml:space="preserve">Apoplasmic branch2 PLC</t>
  </si>
  <si>
    <t xml:space="preserve">PLC_branch2</t>
  </si>
  <si>
    <t xml:space="preserve">Apoplasmic branch3 PLC</t>
  </si>
  <si>
    <t xml:space="preserve">PLC_branch3</t>
  </si>
  <si>
    <t xml:space="preserve">gs_leaf1</t>
  </si>
  <si>
    <t xml:space="preserve">gs_1</t>
  </si>
  <si>
    <t xml:space="preserve">gs_leaf2</t>
  </si>
  <si>
    <t xml:space="preserve">gs_2</t>
  </si>
  <si>
    <t xml:space="preserve">gs_leaf3</t>
  </si>
  <si>
    <t xml:space="preserve">gs_3</t>
  </si>
  <si>
    <t xml:space="preserve">P_Leaf_Symp1</t>
  </si>
  <si>
    <t xml:space="preserve">P_leaf_s1</t>
  </si>
  <si>
    <t xml:space="preserve">P_Leaf_Symp2</t>
  </si>
  <si>
    <t xml:space="preserve">P_leaf_s2</t>
  </si>
  <si>
    <t xml:space="preserve">P_Leaf_Symp3</t>
  </si>
  <si>
    <t xml:space="preserve">P_leaf_s3</t>
  </si>
  <si>
    <t xml:space="preserve">P_Leaf_Apo1</t>
  </si>
  <si>
    <t xml:space="preserve">P_leaf_a1</t>
  </si>
  <si>
    <t xml:space="preserve">P_Leaf_Apo2</t>
  </si>
  <si>
    <t xml:space="preserve">P_leaf_a2</t>
  </si>
  <si>
    <t xml:space="preserve">P_Leaf_Apo3</t>
  </si>
  <si>
    <t xml:space="preserve">P_leaf_a3</t>
  </si>
  <si>
    <t xml:space="preserve">P_Branch_Apo1</t>
  </si>
  <si>
    <t xml:space="preserve">P_branch_a1</t>
  </si>
  <si>
    <t xml:space="preserve">P_Branch_Apo2</t>
  </si>
  <si>
    <t xml:space="preserve">P_branch_a2</t>
  </si>
  <si>
    <t xml:space="preserve">P_Branch_Apo3</t>
  </si>
  <si>
    <t xml:space="preserve">P_branch_a3</t>
  </si>
  <si>
    <t xml:space="preserve">T_leaf1</t>
  </si>
  <si>
    <t xml:space="preserve">T_leaf2</t>
  </si>
  <si>
    <t xml:space="preserve">T_leaf3</t>
  </si>
  <si>
    <t xml:space="preserve">Leaf Evaporation rate, mmol s-1 m-2</t>
  </si>
  <si>
    <t xml:space="preserve">E_Leaf1</t>
  </si>
  <si>
    <t xml:space="preserve">E_Leaf2</t>
  </si>
  <si>
    <t xml:space="preserve">E_Leaf3</t>
  </si>
  <si>
    <t xml:space="preserve">Top Leaf1 Photosynthesis per leaf area, µmol s-1 m-2</t>
  </si>
  <si>
    <t xml:space="preserve">Top Leaf2 Photosynthesis per leaf area, µmol s-1 m-2</t>
  </si>
  <si>
    <t xml:space="preserve">Top Leaf3 Photosynthesis per leaf area, µmol s-1 m-2</t>
  </si>
  <si>
    <t xml:space="preserve">A_net3</t>
  </si>
  <si>
    <t xml:space="preserve">PAR Branch1, µmol</t>
  </si>
  <si>
    <t xml:space="preserve">PAR1</t>
  </si>
  <si>
    <t xml:space="preserve">PAR Branch2, µmol</t>
  </si>
  <si>
    <t xml:space="preserve">PAR2</t>
  </si>
  <si>
    <t xml:space="preserve">PAR Branch3, µmol</t>
  </si>
  <si>
    <t xml:space="preserve">PAR3</t>
  </si>
  <si>
    <t xml:space="preserve">Leaf_Area[1]</t>
  </si>
  <si>
    <t xml:space="preserve">Leaf_Area1</t>
  </si>
  <si>
    <t xml:space="preserve">Leaf_Area[2]</t>
  </si>
  <si>
    <t xml:space="preserve">Leaf_Area2</t>
  </si>
  <si>
    <t xml:space="preserve">Leaf_Area[3]</t>
  </si>
  <si>
    <t xml:space="preserve">Leaf_Area3</t>
  </si>
  <si>
    <t xml:space="preserve">ETR Cumulated whole layer  water loss per m2 crown, kg</t>
  </si>
  <si>
    <t xml:space="preserve">E_tot*18/1000/1000*COMPET</t>
  </si>
  <si>
    <t xml:space="preserve">E_layer</t>
  </si>
  <si>
    <t xml:space="preserve">ETR Cumulated whole layer plant water loss per m2 crown; mm</t>
  </si>
  <si>
    <t xml:space="preserve">E_tot*18/1000/1000/Crown_area*COMPET</t>
  </si>
  <si>
    <t xml:space="preserve">ETR_layer</t>
  </si>
  <si>
    <t xml:space="preserve">ETR daily Cumulated whole layer  water loss per m2 crown, kg</t>
  </si>
  <si>
    <t xml:space="preserve">E_tot_day*18/1000/1000*COMPET</t>
  </si>
  <si>
    <t xml:space="preserve">E_layer_d</t>
  </si>
  <si>
    <t xml:space="preserve">ETR daily Cumulated whole layer plant water loss per m2 crown; mm</t>
  </si>
  <si>
    <t xml:space="preserve">E_tot_day*18/1000/1000/Crown_area*COMPET</t>
  </si>
  <si>
    <t xml:space="preserve">ETR_layer_d</t>
  </si>
  <si>
    <t xml:space="preserve">Branch temperature, °C</t>
  </si>
  <si>
    <t xml:space="preserve">T_branch1</t>
  </si>
  <si>
    <t xml:space="preserve">T_branch2</t>
  </si>
  <si>
    <t xml:space="preserve">T_branch3</t>
  </si>
  <si>
    <t xml:space="preserve">Trunk temperature, °C</t>
  </si>
  <si>
    <t xml:space="preserve">T_trunk3</t>
  </si>
  <si>
    <t xml:space="preserve">Cumulated Plant Growth, mol CO2</t>
  </si>
  <si>
    <t xml:space="preserve">C_growth_tot</t>
  </si>
  <si>
    <t xml:space="preserve">Cumulated Maintenance respiration,  mol CO2</t>
  </si>
  <si>
    <t xml:space="preserve">R_main_tot</t>
  </si>
  <si>
    <t xml:space="preserve">Cumulated Growth respiration, mol CO2</t>
  </si>
  <si>
    <t xml:space="preserve">R_growth_tot</t>
  </si>
  <si>
    <t xml:space="preserve">Axil temperature, °C</t>
  </si>
  <si>
    <t xml:space="preserve">T_Axil</t>
  </si>
  <si>
    <t xml:space="preserve">Symplasmic Organ turgor potential, Mpa</t>
  </si>
  <si>
    <t xml:space="preserve">Turgor_Axil_Symp</t>
  </si>
  <si>
    <t xml:space="preserve">Turgor_A</t>
  </si>
  <si>
    <t xml:space="preserve">Flux_Soil_Root_Endo1/dt</t>
  </si>
  <si>
    <t xml:space="preserve">F_s_re1</t>
  </si>
  <si>
    <t xml:space="preserve">Flux_Soil_Root_Endo2/dt</t>
  </si>
  <si>
    <t xml:space="preserve">F_s_re2</t>
  </si>
  <si>
    <t xml:space="preserve">Flux_Soil_Root_Endo3/dt</t>
  </si>
  <si>
    <t xml:space="preserve">F_s_re3</t>
  </si>
  <si>
    <t xml:space="preserve">REW_t1</t>
  </si>
  <si>
    <t xml:space="preserve">REW_t2</t>
  </si>
  <si>
    <t xml:space="preserve">REW_t3</t>
  </si>
  <si>
    <t xml:space="preserve">Soil REW wilting point, %</t>
  </si>
  <si>
    <t xml:space="preserve">(teta-teta_wp)/(teta_fc-teta_wp)</t>
  </si>
  <si>
    <t xml:space="preserve">REW_wp</t>
  </si>
  <si>
    <t xml:space="preserve">REW_wp1</t>
  </si>
  <si>
    <t xml:space="preserve">REW_wp2</t>
  </si>
  <si>
    <t xml:space="preserve">REW_wp3</t>
  </si>
  <si>
    <t xml:space="preserve">a2_test</t>
  </si>
  <si>
    <t xml:space="preserve">Test</t>
  </si>
  <si>
    <t xml:space="preserve">Test1</t>
  </si>
  <si>
    <t xml:space="preserve">Test2</t>
  </si>
  <si>
    <t xml:space="preserve">Gaussian CV</t>
  </si>
  <si>
    <t xml:space="preserve">Variation min %</t>
  </si>
  <si>
    <t xml:space="preserve">Variation max %</t>
  </si>
  <si>
    <t xml:space="preserve">value</t>
  </si>
  <si>
    <t xml:space="preserve">min</t>
  </si>
  <si>
    <t xml:space="preserve">max</t>
  </si>
  <si>
    <t xml:space="preserve">%min</t>
  </si>
  <si>
    <t xml:space="preserve">%max</t>
  </si>
  <si>
    <t xml:space="preserve">#30 DOY</t>
  </si>
  <si>
    <t xml:space="preserve">#42 Teta_s</t>
  </si>
  <si>
    <t xml:space="preserve">#43 Teta_r</t>
  </si>
  <si>
    <t xml:space="preserve">#44 alpha</t>
  </si>
  <si>
    <t xml:space="preserve">#45 n</t>
  </si>
  <si>
    <t xml:space="preserve">#46 K_sat</t>
  </si>
  <si>
    <t xml:space="preserve">#70 LA_day1</t>
  </si>
  <si>
    <t xml:space="preserve">#71 LA_day2</t>
  </si>
  <si>
    <t xml:space="preserve">#72 LA_day3</t>
  </si>
  <si>
    <t xml:space="preserve">#73 LA_day4</t>
  </si>
  <si>
    <t xml:space="preserve">Climatic data when passed as multiple set of parameter per day (option CLIMAT=1).</t>
  </si>
  <si>
    <t xml:space="preserve">Copy / Paste the yellow cells (only !) in the climat_hour_in.txt text file (must be pasted as a plain text)</t>
  </si>
  <si>
    <t xml:space="preserve">option CLIMAT=1</t>
  </si>
  <si>
    <t xml:space="preserve">option CLIMAT=6</t>
  </si>
  <si>
    <t xml:space="preserve">Year</t>
  </si>
  <si>
    <t xml:space="preserve">Days, fraction of day</t>
  </si>
  <si>
    <t xml:space="preserve">PAR, µmol/s/m2</t>
  </si>
  <si>
    <t xml:space="preserve">T_air, °C</t>
  </si>
  <si>
    <t xml:space="preserve">RH_air, %</t>
  </si>
  <si>
    <t xml:space="preserve">rain, mm</t>
  </si>
  <si>
    <t xml:space="preserve">T_Trunk</t>
  </si>
  <si>
    <t xml:space="preserve">T_Branch1</t>
  </si>
  <si>
    <t xml:space="preserve">T_Branch2</t>
  </si>
  <si>
    <t xml:space="preserve">T_Branch3</t>
  </si>
  <si>
    <t xml:space="preserve">Climatic data when passed as one set of parameter per day (option CLIMAT=2).</t>
  </si>
  <si>
    <t xml:space="preserve">Copy / Paste the yellow cells (only !) in the climat_day_in.txt text file (must be pasted as a plain text)</t>
  </si>
  <si>
    <t xml:space="preserve">option CLIMAT=2</t>
  </si>
  <si>
    <t xml:space="preserve">option CLIMAT=4</t>
  </si>
  <si>
    <t xml:space="preserve">T_air_min, °C</t>
  </si>
  <si>
    <t xml:space="preserve">T_air_max, °C</t>
  </si>
  <si>
    <t xml:space="preserve">RH_air_min, %</t>
  </si>
  <si>
    <t xml:space="preserve">RH_air_max,  %</t>
  </si>
  <si>
    <t xml:space="preserve">T_soil1</t>
  </si>
  <si>
    <t xml:space="preserve">T_soil2</t>
  </si>
  <si>
    <t xml:space="preserve">T_soil3</t>
  </si>
  <si>
    <t xml:space="preserve">Month</t>
  </si>
  <si>
    <t xml:space="preserve">rain, mm/day</t>
  </si>
  <si>
    <t xml:space="preserve">Radiation conversion</t>
  </si>
  <si>
    <t xml:space="preserve">Calcul de Rhmin et Rhmax avec Tmin Tmax et Rhmean ou Rhmin</t>
  </si>
  <si>
    <t xml:space="preserve">Calcul de RH avec Tair et VPD</t>
  </si>
  <si>
    <t xml:space="preserve">Calcul de RH avec Tair et Tpoint de rosée</t>
  </si>
  <si>
    <t xml:space="preserve">With latitude effect</t>
  </si>
  <si>
    <t xml:space="preserve">Rg, W/m2/day</t>
  </si>
  <si>
    <t xml:space="preserve">PAR_max, µmol/m2/s</t>
  </si>
  <si>
    <t xml:space="preserve">Tmin, °C</t>
  </si>
  <si>
    <t xml:space="preserve">Tmax, °C</t>
  </si>
  <si>
    <t xml:space="preserve">Hum spé, g/Kg</t>
  </si>
  <si>
    <t xml:space="preserve">Rhmin</t>
  </si>
  <si>
    <t xml:space="preserve">Rhmax</t>
  </si>
  <si>
    <t xml:space="preserve">T, °C</t>
  </si>
  <si>
    <t xml:space="preserve">VPD, kPa</t>
  </si>
  <si>
    <t xml:space="preserve">RH, %</t>
  </si>
  <si>
    <t xml:space="preserve">Tair, °C</t>
  </si>
  <si>
    <t xml:space="preserve">T_dew-point, °C</t>
  </si>
  <si>
    <t xml:space="preserve">Rg, MJ/m2/day</t>
  </si>
  <si>
    <t xml:space="preserve">Tmean</t>
  </si>
  <si>
    <t xml:space="preserve">Rhmean</t>
  </si>
  <si>
    <t xml:space="preserve">Rg, J/cm2/day</t>
  </si>
  <si>
    <t xml:space="preserve">Tmax</t>
  </si>
  <si>
    <t xml:space="preserve">Without latitude effect</t>
  </si>
  <si>
    <t xml:space="preserve">Hour</t>
  </si>
  <si>
    <t xml:space="preserve">LAT, °</t>
  </si>
  <si>
    <t xml:space="preserve">declinaison, °</t>
  </si>
  <si>
    <t xml:space="preserve">daylength, h</t>
  </si>
  <si>
    <t xml:space="preserve">Potential PAR max</t>
  </si>
  <si>
    <t xml:space="preserve">RSGS pot, µmol</t>
  </si>
  <si>
    <t xml:space="preserve">RSGS pot; W/m2</t>
  </si>
  <si>
    <t xml:space="preserve">RSDS measured, w/m2</t>
  </si>
  <si>
    <t xml:space="preserve">Par max pot2</t>
  </si>
  <si>
    <t xml:space="preserve">Par </t>
  </si>
  <si>
    <t xml:space="preserve">Potential PAR µmol</t>
  </si>
  <si>
    <t xml:space="preserve">PAR_mean, µmol/m2/s</t>
  </si>
  <si>
    <t xml:space="preserve">Rg, j/cm2/day</t>
  </si>
  <si>
    <t xml:space="preserve">PAR, j/cm2/day</t>
  </si>
  <si>
    <t xml:space="preserve">PAR(joules/cm²/H)</t>
  </si>
  <si>
    <t xml:space="preserve">RG (J/cm2/H)</t>
  </si>
  <si>
    <t xml:space="preserve">RG W/m2</t>
  </si>
  <si>
    <t xml:space="preserve">PAR (µmol/m2/s</t>
  </si>
  <si>
    <t xml:space="preserve">Use this sheet to define a tree with simple allometric rules</t>
  </si>
  <si>
    <t xml:space="preserve">Conductivity</t>
  </si>
  <si>
    <t xml:space="preserve">K mmol/s/Mpa/m2</t>
  </si>
  <si>
    <t xml:space="preserve">k mmol/s/Mpa</t>
  </si>
  <si>
    <t xml:space="preserve">Resistance distribution  %</t>
  </si>
  <si>
    <t xml:space="preserve">Leaf area</t>
  </si>
  <si>
    <t xml:space="preserve">Etop, mmol/s/m2</t>
  </si>
  <si>
    <t xml:space="preserve">Ecanop, mmol/s/m2</t>
  </si>
  <si>
    <t xml:space="preserve">Sap Flow, dm3/dm2/h</t>
  </si>
  <si>
    <t xml:space="preserve">P_midday, Mpa</t>
  </si>
  <si>
    <t xml:space="preserve">P_predawn, Mpa</t>
  </si>
  <si>
    <t xml:space="preserve">K_tree, mmol/s/Mpa/m2</t>
  </si>
  <si>
    <t xml:space="preserve">k_tree, mmol/s/Mpa</t>
  </si>
  <si>
    <t xml:space="preserve">R_tree</t>
  </si>
  <si>
    <t xml:space="preserve">r_tree</t>
  </si>
  <si>
    <t xml:space="preserve">Leaf symp</t>
  </si>
  <si>
    <t xml:space="preserve">Leaf apo</t>
  </si>
  <si>
    <t xml:space="preserve">Trunk apo</t>
  </si>
  <si>
    <t xml:space="preserve">Root apo</t>
  </si>
  <si>
    <t xml:space="preserve">Root symp</t>
  </si>
  <si>
    <t xml:space="preserve">Sapwood fraction</t>
  </si>
  <si>
    <t xml:space="preserve">HV, m2wood/m2LA</t>
  </si>
  <si>
    <t xml:space="preserve">Apo fraction</t>
  </si>
  <si>
    <t xml:space="preserve">Symp fraction</t>
  </si>
  <si>
    <t xml:space="preserve">Root/Shoot ratio</t>
  </si>
  <si>
    <t xml:space="preserve">Branch area/ leaf area</t>
  </si>
  <si>
    <t xml:space="preserve">Fine root/leaf area ratio</t>
  </si>
  <si>
    <t xml:space="preserve">Trunk length</t>
  </si>
  <si>
    <t xml:space="preserve">DBH, cm</t>
  </si>
  <si>
    <t xml:space="preserve">Sapwood thickness, cm</t>
  </si>
  <si>
    <t xml:space="preserve">Bark thickness, cm</t>
  </si>
  <si>
    <t xml:space="preserve">Sapwood volume, m3</t>
  </si>
  <si>
    <t xml:space="preserve">Sapwood apo, kg</t>
  </si>
  <si>
    <t xml:space="preserve">Sapwood symp, kg</t>
  </si>
  <si>
    <t xml:space="preserve">Trunk sapwood volume</t>
  </si>
  <si>
    <t xml:space="preserve">HV trunk, cm2/m2</t>
  </si>
  <si>
    <t xml:space="preserve">HV trunk sapwood</t>
  </si>
  <si>
    <t xml:space="preserve">Crown area</t>
  </si>
  <si>
    <t xml:space="preserve">Trees/ha</t>
  </si>
  <si>
    <t xml:space="preserve">Surface terrière, m2/ha</t>
  </si>
  <si>
    <t xml:space="preserve">Q Trunk apo, kg</t>
  </si>
  <si>
    <t xml:space="preserve">Q Trunk symp, kg</t>
  </si>
  <si>
    <t xml:space="preserve">Q Branch apo, Kg</t>
  </si>
  <si>
    <t xml:space="preserve">Q Branch symp, Kg</t>
  </si>
  <si>
    <t xml:space="preserve">Q Root apo, Kg</t>
  </si>
  <si>
    <t xml:space="preserve">Q Root symp, Kg</t>
  </si>
  <si>
    <t xml:space="preserve">Trunk area, m2</t>
  </si>
  <si>
    <t xml:space="preserve">Branch area, m2</t>
  </si>
  <si>
    <t xml:space="preserve">Fine root area, m2</t>
  </si>
  <si>
    <t xml:space="preserve">Total root area, m2</t>
  </si>
  <si>
    <t xml:space="preserve">Shoot</t>
  </si>
  <si>
    <t xml:space="preserve">TOTAL</t>
  </si>
  <si>
    <t xml:space="preserve">Qplant</t>
  </si>
  <si>
    <t xml:space="preserve">Qplant-apo</t>
  </si>
  <si>
    <t xml:space="preserve">Qplant_symp</t>
  </si>
  <si>
    <t xml:space="preserve">Input shoots</t>
  </si>
  <si>
    <t xml:space="preserve">values</t>
  </si>
  <si>
    <t xml:space="preserve">tree height, m</t>
  </si>
  <si>
    <t xml:space="preserve">Exposant de Leonardo (Diam aubier)</t>
  </si>
  <si>
    <t xml:space="preserve">discriminant</t>
  </si>
  <si>
    <t xml:space="preserve">Q_Trunk_apo , kg</t>
  </si>
  <si>
    <t xml:space="preserve">Volume aubier branche, m3</t>
  </si>
  <si>
    <t xml:space="preserve">crown height, m</t>
  </si>
  <si>
    <t xml:space="preserve">Exposant de Leonardo (Diam segment)</t>
  </si>
  <si>
    <t xml:space="preserve">nœud base houppier</t>
  </si>
  <si>
    <t xml:space="preserve">Q_Trunk_sym, kg</t>
  </si>
  <si>
    <t xml:space="preserve">Volume aubier tronc, m3</t>
  </si>
  <si>
    <t xml:space="preserve">cm3</t>
  </si>
  <si>
    <t xml:space="preserve">Total tree leaf area, m2</t>
  </si>
  <si>
    <t xml:space="preserve">Q_Branch_apo </t>
  </si>
  <si>
    <t xml:space="preserve">Volume total arbre, m3</t>
  </si>
  <si>
    <t xml:space="preserve">LA annual shoot, cm2</t>
  </si>
  <si>
    <t xml:space="preserve">Q_Branch_sym</t>
  </si>
  <si>
    <t xml:space="preserve">diam annual shoot, mm</t>
  </si>
  <si>
    <t xml:space="preserve">Surface_trunk, m2</t>
  </si>
  <si>
    <t xml:space="preserve">diam aubier annual shoot, mm</t>
  </si>
  <si>
    <t xml:space="preserve">Surface_branch, m2</t>
  </si>
  <si>
    <t xml:space="preserve">dbh tot, cm</t>
  </si>
  <si>
    <t xml:space="preserve">R arbre apo</t>
  </si>
  <si>
    <t xml:space="preserve">Surface totale arbre, m2</t>
  </si>
  <si>
    <t xml:space="preserve">dbh epaisseur aubier, cm</t>
  </si>
  <si>
    <t xml:space="preserve">R branch apo</t>
  </si>
  <si>
    <t xml:space="preserve">length annual shoot, m</t>
  </si>
  <si>
    <t xml:space="preserve">R trunk apo</t>
  </si>
  <si>
    <t xml:space="preserve">Shoot Specific conductivity</t>
  </si>
  <si>
    <t xml:space="preserve">K tree apo</t>
  </si>
  <si>
    <t xml:space="preserve">tapering</t>
  </si>
  <si>
    <t xml:space="preserve">K shoot apo</t>
  </si>
  <si>
    <t xml:space="preserve">K trunk apo</t>
  </si>
  <si>
    <t xml:space="preserve">specific resistivity</t>
  </si>
  <si>
    <t xml:space="preserve">dbh aubier, cm</t>
  </si>
  <si>
    <t xml:space="preserve">Wood volume, m3</t>
  </si>
  <si>
    <t xml:space="preserve">NB annual shoots</t>
  </si>
  <si>
    <t xml:space="preserve">HV shoot</t>
  </si>
  <si>
    <t xml:space="preserve">HV sapwood trunk</t>
  </si>
  <si>
    <t xml:space="preserve">Nœud</t>
  </si>
  <si>
    <t xml:space="preserve">nb segments</t>
  </si>
  <si>
    <t xml:space="preserve">L segment, m</t>
  </si>
  <si>
    <t xml:space="preserve">Ltot, m</t>
  </si>
  <si>
    <t xml:space="preserve">diam segment, cm</t>
  </si>
  <si>
    <t xml:space="preserve">diam aubier cm</t>
  </si>
  <si>
    <t xml:space="preserve">surface aubier, cm2</t>
  </si>
  <si>
    <t xml:space="preserve">Section segment, cm2</t>
  </si>
  <si>
    <t xml:space="preserve">aubier tot</t>
  </si>
  <si>
    <t xml:space="preserve">Section total</t>
  </si>
  <si>
    <t xml:space="preserve">Section duramen</t>
  </si>
  <si>
    <t xml:space="preserve">Diam duramen, cm</t>
  </si>
  <si>
    <t xml:space="preserve">Epaisseur aubier, cm</t>
  </si>
  <si>
    <t xml:space="preserve">Périmètre, cm</t>
  </si>
  <si>
    <t xml:space="preserve">Surface N segment, m2</t>
  </si>
  <si>
    <t xml:space="preserve">Volume N segments</t>
  </si>
  <si>
    <t xml:space="preserve">Surface tot arbre, m2</t>
  </si>
  <si>
    <t xml:space="preserve">Vol tot arbre, m3</t>
  </si>
  <si>
    <t xml:space="preserve">Volume aubier N segments, m3</t>
  </si>
  <si>
    <t xml:space="preserve">Volume aubier tot</t>
  </si>
  <si>
    <t xml:space="preserve">Volume aubier branches tot</t>
  </si>
  <si>
    <t xml:space="preserve">Surface branches total</t>
  </si>
  <si>
    <t xml:space="preserve">HV</t>
  </si>
  <si>
    <t xml:space="preserve">LA segment, cm2</t>
  </si>
  <si>
    <t xml:space="preserve">Resistance 1 segment</t>
  </si>
  <si>
    <t xml:space="preserve">Resistance N segment</t>
  </si>
  <si>
    <t xml:space="preserve">R cumul</t>
  </si>
  <si>
    <t xml:space="preserve">R branch</t>
  </si>
  <si>
    <t xml:space="preserve">computed values for 1 root</t>
  </si>
  <si>
    <t xml:space="preserve">Values for one root</t>
  </si>
  <si>
    <t xml:space="preserve">root length, m</t>
  </si>
  <si>
    <t xml:space="preserve">Q_Root_apo , kg</t>
  </si>
  <si>
    <t xml:space="preserve">Volume aubier root, m3</t>
  </si>
  <si>
    <t xml:space="preserve">Ramified root length, m</t>
  </si>
  <si>
    <t xml:space="preserve">Q_Root_sym, kg</t>
  </si>
  <si>
    <t xml:space="preserve">Volume tot 1 root, m"</t>
  </si>
  <si>
    <t xml:space="preserve">Total fine root  area, m2</t>
  </si>
  <si>
    <t xml:space="preserve">Surface_root, m2</t>
  </si>
  <si>
    <t xml:space="preserve">Area annual root, cm2</t>
  </si>
  <si>
    <t xml:space="preserve">root total length, m</t>
  </si>
  <si>
    <t xml:space="preserve">diam annual root, mm</t>
  </si>
  <si>
    <t xml:space="preserve">node base ramif</t>
  </si>
  <si>
    <t xml:space="preserve">root radius, m</t>
  </si>
  <si>
    <t xml:space="preserve">diam aubier annual root, mm</t>
  </si>
  <si>
    <t xml:space="preserve">total 3 root length/surface</t>
  </si>
  <si>
    <t xml:space="preserve">diam root, cm</t>
  </si>
  <si>
    <t xml:space="preserve">R root apo</t>
  </si>
  <si>
    <t xml:space="preserve">root length/volume</t>
  </si>
  <si>
    <t xml:space="preserve">K root apo</t>
  </si>
  <si>
    <t xml:space="preserve">length annual root, m</t>
  </si>
  <si>
    <t xml:space="preserve">root Specific conductivity</t>
  </si>
  <si>
    <t xml:space="preserve">3*Root volume, m3</t>
  </si>
  <si>
    <t xml:space="preserve">R/S</t>
  </si>
  <si>
    <t xml:space="preserve">3*Root surface, m2</t>
  </si>
  <si>
    <t xml:space="preserve">NB annual roots</t>
  </si>
  <si>
    <t xml:space="preserve">Surface tot root, m2</t>
  </si>
  <si>
    <t xml:space="preserve">Vol tot root, m3</t>
  </si>
  <si>
    <t xml:space="preserve">root length</t>
  </si>
  <si>
    <t xml:space="preserve">root radium, cm</t>
  </si>
  <si>
    <t xml:space="preserve">CMIP6 extraction</t>
  </si>
  <si>
    <t xml:space="preserve">Date : Date du jour sous la forme 'AAAA MM JJ'</t>
  </si>
  <si>
    <t xml:space="preserve">Variables should be selected in that order: </t>
  </si>
  <si>
    <t xml:space="preserve">Latitude, Longitude : position du point de grille SAFRAN en degres decimaux (WGS84)</t>
  </si>
  <si>
    <t xml:space="preserve">tasminAdjust : Temperature minimale journaliere a 2 m [K]</t>
  </si>
  <si>
    <t xml:space="preserve">tasmaxAdjust : Temperature maximale journaliere a 2 m [K]</t>
  </si>
  <si>
    <t xml:space="preserve">prtotAdjust : Precipitations totales [kg/m2/s]</t>
  </si>
  <si>
    <t xml:space="preserve">hussAdjust : Humidite specifique a 2 m [kg/kg]</t>
  </si>
  <si>
    <t xml:space="preserve">rsdsAdjust : Rayonnement visible incident a la surface [W/m2]</t>
  </si>
  <si>
    <t xml:space="preserve">sfcWindAdjust : Vitesse du vent a 10 m [m/s]</t>
  </si>
  <si>
    <t xml:space="preserve">Copy here CSV file</t>
  </si>
  <si>
    <t xml:space="preserve"> huss, g/g</t>
  </si>
  <si>
    <t xml:space="preserve"> pr, kg m-2 s-1</t>
  </si>
  <si>
    <t xml:space="preserve"> rsds, W/m2</t>
  </si>
  <si>
    <t xml:space="preserve"> sfcWind, m/s</t>
  </si>
  <si>
    <t xml:space="preserve"> tasmax, °K</t>
  </si>
  <si>
    <t xml:space="preserve"> tasmin, °K</t>
  </si>
  <si>
    <t xml:space="preserve">variable</t>
  </si>
  <si>
    <t xml:space="preserve">lat</t>
  </si>
  <si>
    <t xml:space="preserve">lon</t>
  </si>
  <si>
    <t xml:space="preserve">E-OBS</t>
  </si>
  <si>
    <t xml:space="preserve">HU %</t>
  </si>
  <si>
    <t xml:space="preserve">Rg, W/m2</t>
  </si>
  <si>
    <t xml:space="preserve">Hum spé</t>
  </si>
  <si>
    <t xml:space="preserve">ERA5-Land</t>
  </si>
  <si>
    <t xml:space="preserve">time, hours</t>
  </si>
  <si>
    <t xml:space="preserve">ssrd, J/m2</t>
  </si>
  <si>
    <t xml:space="preserve">d2m, °K</t>
  </si>
  <si>
    <t xml:space="preserve">t2m, °K</t>
  </si>
  <si>
    <t xml:space="preserve">tp, m</t>
  </si>
  <si>
    <t xml:space="preserve">u10, m/s</t>
  </si>
  <si>
    <t xml:space="preserve">v10, m/s</t>
  </si>
  <si>
    <t xml:space="preserve">Day of yr</t>
  </si>
  <si>
    <t xml:space="preserve">PAR day</t>
  </si>
  <si>
    <t xml:space="preserve">Tmin</t>
  </si>
  <si>
    <t xml:space="preserve">Rain day, mm</t>
  </si>
  <si>
    <t xml:space="preserve">longitude</t>
  </si>
  <si>
    <t xml:space="preserve">latitude</t>
  </si>
  <si>
    <t xml:space="preserve">Climatik extraction</t>
  </si>
  <si>
    <t xml:space="preserve">Cestas</t>
  </si>
  <si>
    <t xml:space="preserve">TN : Temperature minimale (Degres Celsius)</t>
  </si>
  <si>
    <t xml:space="preserve">TX : Temperature maximale (Degres Celsius)</t>
  </si>
  <si>
    <t xml:space="preserve">UN : Humidite minimale (Pourcentage)</t>
  </si>
  <si>
    <t xml:space="preserve">UX : Humidite maximale (Pourcentage)</t>
  </si>
  <si>
    <t xml:space="preserve">RG : Rayonnement global (Joules / cm2)</t>
  </si>
  <si>
    <t xml:space="preserve">RR : Hauteur des precipitations (Millimetres)</t>
  </si>
  <si>
    <t xml:space="preserve">V : Vitesse moyenne du vent (Metres par seconde)</t>
  </si>
  <si>
    <t xml:space="preserve">NUM_POSTE</t>
  </si>
  <si>
    <t xml:space="preserve">AN</t>
  </si>
  <si>
    <t xml:space="preserve">MOIS</t>
  </si>
  <si>
    <t xml:space="preserve">JOUR</t>
  </si>
  <si>
    <t xml:space="preserve">RR</t>
  </si>
  <si>
    <t xml:space="preserve">UX</t>
  </si>
  <si>
    <t xml:space="preserve">UN</t>
  </si>
  <si>
    <t xml:space="preserve">RG</t>
  </si>
  <si>
    <t xml:space="preserve">TN</t>
  </si>
  <si>
    <t xml:space="preserve">TX</t>
  </si>
  <si>
    <t xml:space="preserve">V</t>
  </si>
  <si>
    <t xml:space="preserve">Site</t>
  </si>
  <si>
    <t xml:space="preserve">DOM</t>
  </si>
  <si>
    <t xml:space="preserve">DRIAS extraction</t>
  </si>
  <si>
    <t xml:space="preserve">First remove all February 29th ! Or DOY=366</t>
  </si>
  <si>
    <t xml:space="preserve">Select Month= 2 and DOM=29 and delete all the selected lines</t>
  </si>
  <si>
    <t xml:space="preserve">Now all years have 365 days!</t>
  </si>
  <si>
    <t xml:space="preserve">AAAA</t>
  </si>
  <si>
    <t xml:space="preserve">MM</t>
  </si>
  <si>
    <t xml:space="preserve">JJ</t>
  </si>
  <si>
    <t xml:space="preserve">Lat</t>
  </si>
  <si>
    <t xml:space="preserve">Long</t>
  </si>
  <si>
    <t xml:space="preserve">tmin, °K</t>
  </si>
  <si>
    <t xml:space="preserve">tmax°K</t>
  </si>
  <si>
    <t xml:space="preserve">rain</t>
  </si>
  <si>
    <t xml:space="preserve">huss</t>
  </si>
  <si>
    <t xml:space="preserve">rsds</t>
  </si>
  <si>
    <t xml:space="preserve">sfcwind</t>
  </si>
  <si>
    <t xml:space="preserve">DRIAS/SICLIMA Alandin extraction</t>
  </si>
  <si>
    <t xml:space="preserve">rstr            </t>
  </si>
  <si>
    <t xml:space="preserve">mm       </t>
  </si>
  <si>
    <t xml:space="preserve">Précipitations liquides journalières à grande échelle.</t>
  </si>
  <si>
    <t xml:space="preserve">tasmax          </t>
  </si>
  <si>
    <t xml:space="preserve">°C       </t>
  </si>
  <si>
    <t xml:space="preserve">Température maximale journalière à 2m.</t>
  </si>
  <si>
    <t xml:space="preserve">tasmin         </t>
  </si>
  <si>
    <t xml:space="preserve"> °C      </t>
  </si>
  <si>
    <t xml:space="preserve">Température minimale journalière à 2m.</t>
  </si>
  <si>
    <t xml:space="preserve">huss            </t>
  </si>
  <si>
    <t xml:space="preserve">g/kg     </t>
  </si>
  <si>
    <t xml:space="preserve">Humidité spécifique à 2m.</t>
  </si>
  <si>
    <t xml:space="preserve">rsds            </t>
  </si>
  <si>
    <t xml:space="preserve">W/m²     </t>
  </si>
  <si>
    <t xml:space="preserve">Rayonnement visible incident à la surface.</t>
  </si>
  <si>
    <t xml:space="preserve">sfcwind         </t>
  </si>
  <si>
    <t xml:space="preserve">m/s     </t>
  </si>
  <si>
    <t xml:space="preserve">Vitesse du vent à 10m.</t>
  </si>
  <si>
    <t xml:space="preserve">tasmax</t>
  </si>
  <si>
    <t xml:space="preserve">tasmin</t>
  </si>
  <si>
    <t xml:space="preserve">rstr</t>
  </si>
  <si>
    <t xml:space="preserve">Pressure Volume Curve</t>
  </si>
  <si>
    <t xml:space="preserve">Water content, g</t>
  </si>
  <si>
    <t xml:space="preserve">Relative water content, %</t>
  </si>
  <si>
    <t xml:space="preserve">Pressure, Mpa</t>
  </si>
  <si>
    <t xml:space="preserve">Capacitance, g/Mpa</t>
  </si>
  <si>
    <t xml:space="preserve">gmin</t>
  </si>
  <si>
    <t xml:space="preserve">WC_total</t>
  </si>
  <si>
    <t xml:space="preserve">WC_symp</t>
  </si>
  <si>
    <t xml:space="preserve">WC_apo</t>
  </si>
  <si>
    <t xml:space="preserve">RWC_t, %</t>
  </si>
  <si>
    <t xml:space="preserve">RWC_symp</t>
  </si>
  <si>
    <t xml:space="preserve">RWC_apo</t>
  </si>
  <si>
    <t xml:space="preserve">Rs</t>
  </si>
  <si>
    <t xml:space="preserve">Pturg</t>
  </si>
  <si>
    <t xml:space="preserve">Pi</t>
  </si>
  <si>
    <t xml:space="preserve">Psi</t>
  </si>
  <si>
    <t xml:space="preserve">  1/pi</t>
  </si>
  <si>
    <t xml:space="preserve"> -1/Psi</t>
  </si>
  <si>
    <t xml:space="preserve">C_tot</t>
  </si>
  <si>
    <t xml:space="preserve">C_symp</t>
  </si>
  <si>
    <t xml:space="preserve">C_apo</t>
  </si>
  <si>
    <t xml:space="preserve">Apo PLC</t>
  </si>
  <si>
    <t xml:space="preserve">linear</t>
  </si>
  <si>
    <t xml:space="preserve">exponential</t>
  </si>
  <si>
    <t xml:space="preserve">Leaf area, cm2</t>
  </si>
  <si>
    <t xml:space="preserve">succulence, g H2O/m2</t>
  </si>
  <si>
    <t xml:space="preserve">Total water Weight, g</t>
  </si>
  <si>
    <t xml:space="preserve">Symplasm</t>
  </si>
  <si>
    <t xml:space="preserve">Epsilon-symp, Mpa</t>
  </si>
  <si>
    <t xml:space="preserve">symplasmic fraction</t>
  </si>
  <si>
    <t xml:space="preserve">PI full turgor, Mpa</t>
  </si>
  <si>
    <t xml:space="preserve">Pi tlp, Mpa</t>
  </si>
  <si>
    <t xml:space="preserve">Apoplasm</t>
  </si>
  <si>
    <t xml:space="preserve">P12</t>
  </si>
  <si>
    <t xml:space="preserve">P88</t>
  </si>
  <si>
    <t xml:space="preserve">RWCs @tlp</t>
  </si>
  <si>
    <t xml:space="preserve">Rs_symp @tlp</t>
  </si>
  <si>
    <t xml:space="preserve">Capacitance</t>
  </si>
  <si>
    <t xml:space="preserve">g/Mpa</t>
  </si>
  <si>
    <t xml:space="preserve">mol/Mpa/m2</t>
  </si>
  <si>
    <t xml:space="preserve">C_tot @ FT, g/MPA</t>
  </si>
  <si>
    <t xml:space="preserve">C_symp @ FT, g/MPA</t>
  </si>
  <si>
    <t xml:space="preserve">C_tot @ tlp, g/MPA</t>
  </si>
  <si>
    <t xml:space="preserve">C_symp @ tlp, g/MPA</t>
  </si>
  <si>
    <t xml:space="preserve">para 1</t>
  </si>
  <si>
    <t xml:space="preserve">p12</t>
  </si>
  <si>
    <t xml:space="preserve">Y12</t>
  </si>
  <si>
    <t xml:space="preserve">Y88</t>
  </si>
  <si>
    <t xml:space="preserve">Van Genuchten pedotransfer functions</t>
  </si>
  <si>
    <t xml:space="preserve">Campbell 1985 equation 6.12</t>
  </si>
  <si>
    <t xml:space="preserve">Obversed values</t>
  </si>
  <si>
    <t xml:space="preserve">Textural class</t>
  </si>
  <si>
    <r>
      <rPr>
        <i val="true"/>
        <vertAlign val="subscript"/>
        <sz val="10"/>
        <color rgb="FF000000"/>
        <rFont val="Inherit"/>
        <family val="0"/>
        <charset val="1"/>
      </rPr>
      <t xml:space="preserve">θ</t>
    </r>
    <r>
      <rPr>
        <sz val="10"/>
        <color rgb="FFFF3333"/>
        <rFont val="Arial"/>
        <family val="2"/>
        <charset val="1"/>
      </rPr>
      <t xml:space="preserve">s</t>
    </r>
  </si>
  <si>
    <r>
      <rPr>
        <i val="true"/>
        <vertAlign val="subscript"/>
        <sz val="10"/>
        <color rgb="FF000000"/>
        <rFont val="Inherit"/>
        <family val="0"/>
        <charset val="1"/>
      </rPr>
      <t xml:space="preserve">θ</t>
    </r>
    <r>
      <rPr>
        <sz val="10"/>
        <color rgb="FFFF3333"/>
        <rFont val="Arial"/>
        <family val="2"/>
        <charset val="1"/>
      </rPr>
      <t xml:space="preserve">r</t>
    </r>
  </si>
  <si>
    <t xml:space="preserve">α</t>
  </si>
  <si>
    <t xml:space="preserve">n</t>
  </si>
  <si>
    <r>
      <rPr>
        <i val="true"/>
        <sz val="10"/>
        <color rgb="FF000000"/>
        <rFont val="Inherit"/>
        <family val="0"/>
        <charset val="1"/>
      </rPr>
      <t xml:space="preserve">K</t>
    </r>
    <r>
      <rPr>
        <sz val="10"/>
        <color rgb="FFFF3333"/>
        <rFont val="Arial"/>
        <family val="2"/>
        <charset val="1"/>
      </rPr>
      <t xml:space="preserve">s</t>
    </r>
  </si>
  <si>
    <t xml:space="preserve">conversion from Campbell 1985</t>
  </si>
  <si>
    <t xml:space="preserve">Sperry</t>
  </si>
  <si>
    <t xml:space="preserve">ESDAC</t>
  </si>
  <si>
    <t xml:space="preserve">Depth, cm</t>
  </si>
  <si>
    <t xml:space="preserve">moyenne</t>
  </si>
  <si>
    <t xml:space="preserve">Texte NCDUMP</t>
  </si>
  <si>
    <t xml:space="preserve">ESDAC_EU_Soil.txt</t>
  </si>
  <si>
    <t xml:space="preserve">ESDAC_Esoil.txt</t>
  </si>
  <si>
    <t xml:space="preserve">% CLAY</t>
  </si>
  <si>
    <t xml:space="preserve">% SILT</t>
  </si>
  <si>
    <r>
      <rPr>
        <sz val="12"/>
        <color rgb="FF000000"/>
        <rFont val="Calibri"/>
        <family val="2"/>
        <charset val="1"/>
      </rPr>
      <t xml:space="preserve">Ksat [mol s</t>
    </r>
    <r>
      <rPr>
        <vertAlign val="superscript"/>
        <sz val="12"/>
        <color rgb="FF000000"/>
        <rFont val="Calibri (Corps)"/>
        <family val="0"/>
        <charset val="1"/>
      </rPr>
      <t xml:space="preserve">-1</t>
    </r>
    <r>
      <rPr>
        <sz val="12"/>
        <color rgb="FF000000"/>
        <rFont val="Calibri"/>
        <family val="2"/>
        <charset val="1"/>
      </rPr>
      <t xml:space="preserve"> Mpa</t>
    </r>
    <r>
      <rPr>
        <vertAlign val="superscript"/>
        <sz val="12"/>
        <color rgb="FF000000"/>
        <rFont val="Calibri (Corps)"/>
        <family val="0"/>
        <charset val="1"/>
      </rPr>
      <t xml:space="preserve">-1</t>
    </r>
    <r>
      <rPr>
        <sz val="12"/>
        <color rgb="FF000000"/>
        <rFont val="Calibri"/>
        <family val="2"/>
        <charset val="1"/>
      </rPr>
      <t xml:space="preserve"> m</t>
    </r>
    <r>
      <rPr>
        <vertAlign val="superscript"/>
        <sz val="12"/>
        <color rgb="FF000000"/>
        <rFont val="Calibri (Corps)"/>
        <family val="0"/>
        <charset val="1"/>
      </rPr>
      <t xml:space="preserve">-1</t>
    </r>
    <r>
      <rPr>
        <sz val="12"/>
        <color rgb="FF000000"/>
        <rFont val="Calibri"/>
        <family val="2"/>
        <charset val="1"/>
      </rPr>
      <t xml:space="preserve">]</t>
    </r>
  </si>
  <si>
    <t xml:space="preserve">predawn_Mpa</t>
  </si>
  <si>
    <t xml:space="preserve">hight correct predaw = soil</t>
  </si>
  <si>
    <t xml:space="preserve">RWC</t>
  </si>
  <si>
    <r>
      <rPr>
        <sz val="10"/>
        <color rgb="FF000000"/>
        <rFont val="Arial"/>
        <family val="2"/>
        <charset val="1"/>
      </rPr>
      <t xml:space="preserve">[L</t>
    </r>
    <r>
      <rPr>
        <sz val="12"/>
        <color rgb="FF000000"/>
        <rFont val="Inherit"/>
        <family val="0"/>
        <charset val="1"/>
      </rPr>
      <t xml:space="preserve">3</t>
    </r>
    <r>
      <rPr>
        <sz val="10"/>
        <color rgb="FF000000"/>
        <rFont val="Arial"/>
        <family val="2"/>
        <charset val="1"/>
      </rPr>
      <t xml:space="preserve">L</t>
    </r>
    <r>
      <rPr>
        <sz val="12"/>
        <color rgb="FF000000"/>
        <rFont val="Inherit"/>
        <family val="0"/>
        <charset val="1"/>
      </rPr>
      <t xml:space="preserve">-3</t>
    </r>
    <r>
      <rPr>
        <sz val="10"/>
        <color rgb="FF000000"/>
        <rFont val="Arial"/>
        <family val="2"/>
        <charset val="1"/>
      </rPr>
      <t xml:space="preserve">]</t>
    </r>
  </si>
  <si>
    <r>
      <rPr>
        <sz val="10"/>
        <color rgb="FF000000"/>
        <rFont val="Arial"/>
        <family val="2"/>
        <charset val="1"/>
      </rPr>
      <t xml:space="preserve">[cm</t>
    </r>
    <r>
      <rPr>
        <sz val="12"/>
        <color rgb="FF000000"/>
        <rFont val="Inherit"/>
        <family val="0"/>
        <charset val="1"/>
      </rPr>
      <t xml:space="preserve">-1</t>
    </r>
    <r>
      <rPr>
        <sz val="10"/>
        <color rgb="FF000000"/>
        <rFont val="Arial"/>
        <family val="2"/>
        <charset val="1"/>
      </rPr>
      <t xml:space="preserve">]</t>
    </r>
  </si>
  <si>
    <t xml:space="preserve">[-]</t>
  </si>
  <si>
    <r>
      <rPr>
        <sz val="10"/>
        <color rgb="FF000000"/>
        <rFont val="Arial"/>
        <family val="2"/>
        <charset val="1"/>
      </rPr>
      <t xml:space="preserve">[mol s</t>
    </r>
    <r>
      <rPr>
        <vertAlign val="superscript"/>
        <sz val="10"/>
        <color rgb="FF000000"/>
        <rFont val="Arial"/>
        <family val="2"/>
        <charset val="1"/>
      </rPr>
      <t xml:space="preserve">-1</t>
    </r>
    <r>
      <rPr>
        <sz val="10"/>
        <color rgb="FF000000"/>
        <rFont val="Arial"/>
        <family val="2"/>
        <charset val="1"/>
      </rPr>
      <t xml:space="preserve"> Mpa</t>
    </r>
    <r>
      <rPr>
        <vertAlign val="superscript"/>
        <sz val="10"/>
        <color rgb="FF000000"/>
        <rFont val="Arial"/>
        <family val="2"/>
        <charset val="1"/>
      </rPr>
      <t xml:space="preserve">-1</t>
    </r>
    <r>
      <rPr>
        <sz val="10"/>
        <color rgb="FF000000"/>
        <rFont val="Arial"/>
        <family val="2"/>
        <charset val="1"/>
      </rPr>
      <t xml:space="preserve"> m</t>
    </r>
    <r>
      <rPr>
        <vertAlign val="superscript"/>
        <sz val="10"/>
        <color rgb="FF000000"/>
        <rFont val="Arial"/>
        <family val="2"/>
        <charset val="1"/>
      </rPr>
      <t xml:space="preserve">-1</t>
    </r>
    <r>
      <rPr>
        <sz val="10"/>
        <color rgb="FF000000"/>
        <rFont val="Arial"/>
        <family val="2"/>
        <charset val="1"/>
      </rPr>
      <t xml:space="preserve">]</t>
    </r>
  </si>
  <si>
    <r>
      <rPr>
        <sz val="10"/>
        <color rgb="FF000000"/>
        <rFont val="Arial"/>
        <family val="2"/>
        <charset val="1"/>
      </rPr>
      <t xml:space="preserve">[cm d</t>
    </r>
    <r>
      <rPr>
        <vertAlign val="superscript"/>
        <sz val="7"/>
        <color rgb="FF000000"/>
        <rFont val="Inherit"/>
        <family val="0"/>
        <charset val="1"/>
      </rPr>
      <t xml:space="preserve">-1</t>
    </r>
    <r>
      <rPr>
        <sz val="10"/>
        <color rgb="FF000000"/>
        <rFont val="Arial"/>
        <family val="2"/>
        <charset val="1"/>
      </rPr>
      <t xml:space="preserve">]</t>
    </r>
  </si>
  <si>
    <r>
      <rPr>
        <sz val="10"/>
        <color rgb="FF000000"/>
        <rFont val="Arial"/>
        <family val="2"/>
        <charset val="1"/>
      </rPr>
      <t xml:space="preserve">[cm h</t>
    </r>
    <r>
      <rPr>
        <vertAlign val="superscript"/>
        <sz val="7"/>
        <color rgb="FF000000"/>
        <rFont val="Inherit"/>
        <family val="0"/>
        <charset val="1"/>
      </rPr>
      <t xml:space="preserve">-1</t>
    </r>
    <r>
      <rPr>
        <sz val="10"/>
        <color rgb="FF000000"/>
        <rFont val="Arial"/>
        <family val="2"/>
        <charset val="1"/>
      </rPr>
      <t xml:space="preserve">]</t>
    </r>
  </si>
  <si>
    <r>
      <rPr>
        <sz val="10"/>
        <color rgb="FF000000"/>
        <rFont val="Arial"/>
        <family val="2"/>
        <charset val="1"/>
      </rPr>
      <t xml:space="preserve">[m s</t>
    </r>
    <r>
      <rPr>
        <vertAlign val="superscript"/>
        <sz val="7"/>
        <color rgb="FF000000"/>
        <rFont val="Inherit"/>
        <family val="0"/>
        <charset val="1"/>
      </rPr>
      <t xml:space="preserve">-1</t>
    </r>
    <r>
      <rPr>
        <sz val="10"/>
        <color rgb="FF000000"/>
        <rFont val="Arial"/>
        <family val="2"/>
        <charset val="1"/>
      </rPr>
      <t xml:space="preserve">]</t>
    </r>
  </si>
  <si>
    <t xml:space="preserve">[kg s m-3]</t>
  </si>
  <si>
    <t xml:space="preserve">Water content at field capacity (FC)</t>
  </si>
  <si>
    <t xml:space="preserve">cm3/cm3</t>
  </si>
  <si>
    <t xml:space="preserve">copy here -&gt;</t>
  </si>
  <si>
    <t xml:space="preserve">θsat- θfc</t>
  </si>
  <si>
    <t xml:space="preserve">θsat- θwp</t>
  </si>
  <si>
    <t xml:space="preserve">θsat- θres</t>
  </si>
  <si>
    <t xml:space="preserve">θfc- θwp</t>
  </si>
  <si>
    <t xml:space="preserve">θfc- θres</t>
  </si>
  <si>
    <t xml:space="preserve">θwp - θres</t>
  </si>
  <si>
    <t xml:space="preserve">n1</t>
  </si>
  <si>
    <t xml:space="preserve">n2</t>
  </si>
  <si>
    <t xml:space="preserve">Saturated water content (THS)</t>
  </si>
  <si>
    <t xml:space="preserve"> Band1 =</t>
  </si>
  <si>
    <t xml:space="preserve">Internet</t>
  </si>
  <si>
    <t xml:space="preserve">Water content at wilting point (WP)</t>
  </si>
  <si>
    <t xml:space="preserve">θ at field capacity</t>
  </si>
  <si>
    <t xml:space="preserve">θ at wilting point</t>
  </si>
  <si>
    <t xml:space="preserve">Clay loam</t>
  </si>
  <si>
    <t xml:space="preserve">Saturated hydraulic conductivity (KS)</t>
  </si>
  <si>
    <t xml:space="preserve">mol s-1 Mpa-1 m-1</t>
  </si>
  <si>
    <t xml:space="preserve">Soil depth: </t>
  </si>
  <si>
    <t xml:space="preserve">Soil depth</t>
  </si>
  <si>
    <t xml:space="preserve">θwp P=1.5MPa</t>
  </si>
  <si>
    <t xml:space="preserve">θwp P=9MPa</t>
  </si>
  <si>
    <t xml:space="preserve">RU_9, mm</t>
  </si>
  <si>
    <t xml:space="preserve">HCC</t>
  </si>
  <si>
    <t xml:space="preserve">θr</t>
  </si>
  <si>
    <t xml:space="preserve">θs</t>
  </si>
  <si>
    <t xml:space="preserve">cm-1</t>
  </si>
  <si>
    <t xml:space="preserve">RWC, %</t>
  </si>
  <si>
    <t xml:space="preserve">P_soil, MPa</t>
  </si>
  <si>
    <t xml:space="preserve">K_soil</t>
  </si>
  <si>
    <t xml:space="preserve">Water content, kg/l</t>
  </si>
  <si>
    <t xml:space="preserve">PF</t>
  </si>
  <si>
    <t xml:space="preserve">RU_tot</t>
  </si>
  <si>
    <t xml:space="preserve">Measured Water retention curve</t>
  </si>
  <si>
    <t xml:space="preserve">Sandy clay</t>
  </si>
  <si>
    <t xml:space="preserve">Y</t>
  </si>
  <si>
    <t xml:space="preserve">Pf</t>
  </si>
  <si>
    <t xml:space="preserve">θ</t>
  </si>
  <si>
    <t xml:space="preserve">Sandy clay laom</t>
  </si>
  <si>
    <t xml:space="preserve">saturation</t>
  </si>
  <si>
    <t xml:space="preserve">Sandy loam</t>
  </si>
  <si>
    <t xml:space="preserve">K0</t>
  </si>
  <si>
    <t xml:space="preserve">fied capacity</t>
  </si>
  <si>
    <t xml:space="preserve">Silt loam</t>
  </si>
  <si>
    <t xml:space="preserve">MRC</t>
  </si>
  <si>
    <t xml:space="preserve">Silty clay</t>
  </si>
  <si>
    <t xml:space="preserve">Silty clay loam</t>
  </si>
  <si>
    <t xml:space="preserve">Depth available to roots</t>
  </si>
  <si>
    <t xml:space="preserve"> cm</t>
  </si>
  <si>
    <t xml:space="preserve">Top soil</t>
  </si>
  <si>
    <t xml:space="preserve">Sub soil</t>
  </si>
  <si>
    <t xml:space="preserve">Total available water content from PTR</t>
  </si>
  <si>
    <t xml:space="preserve"> mm</t>
  </si>
  <si>
    <t xml:space="preserve">Bulk density</t>
  </si>
  <si>
    <t xml:space="preserve"> g cm-3</t>
  </si>
  <si>
    <t xml:space="preserve">Clay content</t>
  </si>
  <si>
    <t xml:space="preserve"> %</t>
  </si>
  <si>
    <t xml:space="preserve">Coarse Fragments</t>
  </si>
  <si>
    <t xml:space="preserve">Organic carbon content</t>
  </si>
  <si>
    <t xml:space="preserve">Sand content</t>
  </si>
  <si>
    <t xml:space="preserve">Silt content</t>
  </si>
  <si>
    <t xml:space="preserve"> Band2 =</t>
  </si>
  <si>
    <t xml:space="preserve">Total available water content from PTF</t>
  </si>
  <si>
    <t xml:space="preserve">Qu et al 2009</t>
  </si>
  <si>
    <t xml:space="preserve"> Band3 =</t>
  </si>
  <si>
    <t xml:space="preserve">Sand clay loam</t>
  </si>
  <si>
    <t xml:space="preserve">Loam </t>
  </si>
  <si>
    <t xml:space="preserve"> Band4 =</t>
  </si>
  <si>
    <t xml:space="preserve">Silt clay loam</t>
  </si>
  <si>
    <t xml:space="preserve"> Band5 =</t>
  </si>
  <si>
    <t xml:space="preserve">Loam clay</t>
  </si>
  <si>
    <t xml:space="preserve">Silt clay  </t>
  </si>
  <si>
    <t xml:space="preserve"> Band6 =</t>
  </si>
  <si>
    <t xml:space="preserve"> Band7 =</t>
  </si>
  <si>
    <t xml:space="preserve">Hodnett &amp; Tomasella 2002</t>
  </si>
  <si>
    <t xml:space="preserve">Sandy clay loam</t>
  </si>
  <si>
    <t xml:space="preserve">Silty clay </t>
  </si>
  <si>
    <t xml:space="preserve">Sandy clay   </t>
  </si>
  <si>
    <t xml:space="preserve">Clay   </t>
  </si>
  <si>
    <t xml:space="preserve">Van Genuchten 1980</t>
  </si>
  <si>
    <t xml:space="preserve">Sandstone</t>
  </si>
  <si>
    <t xml:space="preserve">h (hPa)</t>
  </si>
  <si>
    <t xml:space="preserve">θ measured</t>
  </si>
  <si>
    <t xml:space="preserve">θ Predicted</t>
  </si>
  <si>
    <t xml:space="preserve">van Genuchten</t>
  </si>
  <si>
    <t xml:space="preserve">sat</t>
  </si>
  <si>
    <t xml:space="preserve">fc</t>
  </si>
  <si>
    <t xml:space="preserve">wp</t>
  </si>
  <si>
    <t xml:space="preserve">ssd</t>
  </si>
  <si>
    <t xml:space="preserve">CO2</t>
  </si>
  <si>
    <t xml:space="preserve">observed</t>
  </si>
  <si>
    <t xml:space="preserve">RCP2.6</t>
  </si>
  <si>
    <t xml:space="preserve">RCP4.5</t>
  </si>
  <si>
    <t xml:space="preserve">RCP6.0</t>
  </si>
  <si>
    <t xml:space="preserve">RCP8.5</t>
  </si>
  <si>
    <t xml:space="preserve">model</t>
  </si>
  <si>
    <t xml:space="preserve">From Dehaoui et al PNAS 2015</t>
  </si>
  <si>
    <t xml:space="preserve">x2</t>
  </si>
  <si>
    <t xml:space="preserve">sigma</t>
  </si>
  <si>
    <t xml:space="preserve">A</t>
  </si>
  <si>
    <t xml:space="preserve">SD</t>
  </si>
  <si>
    <t xml:space="preserve">SD predicted</t>
  </si>
  <si>
    <t xml:space="preserve">A predicted</t>
  </si>
  <si>
    <t xml:space="preserve">g_min_20</t>
  </si>
  <si>
    <t xml:space="preserve">T</t>
  </si>
  <si>
    <t xml:space="preserve">g_min</t>
  </si>
  <si>
    <t xml:space="preserve">10Log gmin</t>
  </si>
  <si>
    <t xml:space="preserve">Select N, the best number of points</t>
  </si>
  <si>
    <t xml:space="preserve">Root distribution.</t>
  </si>
  <si>
    <t xml:space="preserve">Stomatal conductance</t>
  </si>
  <si>
    <t xml:space="preserve">Beer Lambert</t>
  </si>
  <si>
    <t xml:space="preserve">concentration</t>
  </si>
  <si>
    <t xml:space="preserve">x</t>
  </si>
  <si>
    <t xml:space="preserve">g_min_TP</t>
  </si>
  <si>
    <t xml:space="preserve">for Q10_a</t>
  </si>
  <si>
    <t xml:space="preserve">Model of Gale &amp; Grigal 1987</t>
  </si>
  <si>
    <t xml:space="preserve">inputs</t>
  </si>
  <si>
    <t xml:space="preserve">gs m/s</t>
  </si>
  <si>
    <t xml:space="preserve">resistance (m2 s mol-1)</t>
  </si>
  <si>
    <t xml:space="preserve">T °C</t>
  </si>
  <si>
    <t xml:space="preserve">Fluidity</t>
  </si>
  <si>
    <t xml:space="preserve">Viscosity</t>
  </si>
  <si>
    <t xml:space="preserve">model fluidity</t>
  </si>
  <si>
    <t xml:space="preserve">ecart</t>
  </si>
  <si>
    <t xml:space="preserve">cst</t>
  </si>
  <si>
    <t xml:space="preserve">TP</t>
  </si>
  <si>
    <t xml:space="preserve">N=</t>
  </si>
  <si>
    <t xml:space="preserve">pente</t>
  </si>
  <si>
    <t xml:space="preserve">origine</t>
  </si>
  <si>
    <t xml:space="preserve">Beta</t>
  </si>
  <si>
    <t xml:space="preserve">Uper</t>
  </si>
  <si>
    <t xml:space="preserve">Middle</t>
  </si>
  <si>
    <t xml:space="preserve">lower</t>
  </si>
  <si>
    <t xml:space="preserve">resistance (s m-1) -&gt;</t>
  </si>
  <si>
    <t xml:space="preserve">resistance (m2 s mmol-1)</t>
  </si>
  <si>
    <t xml:space="preserve">Transmittance:</t>
  </si>
  <si>
    <t xml:space="preserve">Q10_a</t>
  </si>
  <si>
    <t xml:space="preserve">depth, cm</t>
  </si>
  <si>
    <t xml:space="preserve">temperature (C)  -&gt;</t>
  </si>
  <si>
    <t xml:space="preserve">conductance (mm/s)</t>
  </si>
  <si>
    <t xml:space="preserve">HD</t>
  </si>
  <si>
    <t xml:space="preserve">Q10_B</t>
  </si>
  <si>
    <t xml:space="preserve">elevation (m above sea level) -&gt;</t>
  </si>
  <si>
    <t xml:space="preserve">conductance (mmol m-2 s-1)</t>
  </si>
  <si>
    <t xml:space="preserve">Layer, %</t>
  </si>
  <si>
    <t xml:space="preserve">HA</t>
  </si>
  <si>
    <t xml:space="preserve">conductance (mol m-2 s-1)</t>
  </si>
  <si>
    <t xml:space="preserve">Sky</t>
  </si>
  <si>
    <t xml:space="preserve">Tp</t>
  </si>
  <si>
    <t xml:space="preserve">calculated intermediate values</t>
  </si>
  <si>
    <t xml:space="preserve">Branch1</t>
  </si>
  <si>
    <t xml:space="preserve">atmospheric pressure (kPa) -&gt;</t>
  </si>
  <si>
    <t xml:space="preserve">Branch2</t>
  </si>
  <si>
    <t xml:space="preserve">molar density of air (mol m-3) -&gt;</t>
  </si>
  <si>
    <t xml:space="preserve">Branch3</t>
  </si>
  <si>
    <t xml:space="preserve">Simul1</t>
  </si>
  <si>
    <t xml:space="preserve">Q_Root_Symp</t>
  </si>
  <si>
    <t xml:space="preserve">Q_Root_apo</t>
  </si>
  <si>
    <t xml:space="preserve">Sapwood area</t>
  </si>
  <si>
    <t xml:space="preserve">Branch area</t>
  </si>
  <si>
    <t xml:space="preserve">Trunk area</t>
  </si>
  <si>
    <t xml:space="preserve">P_min_branch</t>
  </si>
  <si>
    <t xml:space="preserve">Root area</t>
  </si>
  <si>
    <t xml:space="preserve">SurEau</t>
  </si>
  <si>
    <t xml:space="preserve">e_air</t>
  </si>
  <si>
    <t xml:space="preserve">e_sat_air</t>
  </si>
  <si>
    <t xml:space="preserve">VPD_max</t>
  </si>
  <si>
    <t xml:space="preserve">LEAF</t>
  </si>
  <si>
    <t xml:space="preserve">yes=1/no=0</t>
  </si>
  <si>
    <t xml:space="preserve">PLCx=0 Ptlp=1</t>
  </si>
  <si>
    <t xml:space="preserve">Heat Wave</t>
  </si>
  <si>
    <t xml:space="preserve">Leaf fall</t>
  </si>
  <si>
    <t xml:space="preserve">mean diameter</t>
  </si>
  <si>
    <t xml:space="preserve">Denity</t>
  </si>
  <si>
    <t xml:space="preserve">sapwood radius fraction</t>
  </si>
  <si>
    <t xml:space="preserve">g, mmol s-1 m-2 and Areas m2</t>
  </si>
  <si>
    <t xml:space="preserve">Soil_A, m3</t>
  </si>
  <si>
    <t xml:space="preserve">Symplasme</t>
  </si>
  <si>
    <t xml:space="preserve">Leaf Specific Conductances, mmol s-1 Mpa-1 m-2</t>
  </si>
  <si>
    <t xml:space="preserve">Branch Trunk Root Specific Conductivity, mmol m s-1 Mpa-1 m-2</t>
  </si>
  <si>
    <t xml:space="preserve">Surface area specific conductance, mmol s-1 Mpa-1 m-2</t>
  </si>
  <si>
    <t xml:space="preserve">Bud</t>
  </si>
  <si>
    <t xml:space="preserve">volumetric WC m3/m3</t>
  </si>
  <si>
    <t xml:space="preserve">CONTROL</t>
  </si>
  <si>
    <t xml:space="preserve">END_100PLC</t>
  </si>
  <si>
    <t xml:space="preserve">T_GMIN</t>
  </si>
  <si>
    <t xml:space="preserve">Regul_turgor_A</t>
  </si>
  <si>
    <t xml:space="preserve">PLCx_A</t>
  </si>
  <si>
    <t xml:space="preserve">Teta_s</t>
  </si>
  <si>
    <t xml:space="preserve">Teta_r</t>
  </si>
  <si>
    <t xml:space="preserve">alpha</t>
  </si>
  <si>
    <t xml:space="preserve">K_sat</t>
  </si>
  <si>
    <t xml:space="preserve">m2</t>
  </si>
  <si>
    <t xml:space="preserve">1= yes/ 0= NO</t>
  </si>
  <si>
    <t xml:space="preserve">gs_max_A</t>
  </si>
  <si>
    <t xml:space="preserve">gs_min_A</t>
  </si>
  <si>
    <t xml:space="preserve">Jarvis_PAR_A</t>
  </si>
  <si>
    <t xml:space="preserve">g_cuti_Leaf 20°C</t>
  </si>
  <si>
    <t xml:space="preserve">g_Branch_A</t>
  </si>
  <si>
    <t xml:space="preserve">g_Trunk_A</t>
  </si>
  <si>
    <t xml:space="preserve">g_Root_A</t>
  </si>
  <si>
    <t xml:space="preserve">g_soil_A</t>
  </si>
  <si>
    <t xml:space="preserve">Volume_soil_A</t>
  </si>
  <si>
    <t xml:space="preserve">Epsilon_Leaf_Symp_A</t>
  </si>
  <si>
    <t xml:space="preserve">Epsilon_Branch_Symp_A</t>
  </si>
  <si>
    <t xml:space="preserve">Epsilon_Trunk_Symp_A</t>
  </si>
  <si>
    <t xml:space="preserve">Epsilon_Root_Symp_A</t>
  </si>
  <si>
    <t xml:space="preserve">Pi0_Leaf_Symp_A</t>
  </si>
  <si>
    <t xml:space="preserve">Pi0_Branch_Symp_A</t>
  </si>
  <si>
    <t xml:space="preserve">Pi0_Trunk_Symp_A</t>
  </si>
  <si>
    <t xml:space="preserve">Pi0_Root_Symp_A</t>
  </si>
  <si>
    <t xml:space="preserve">K_Leaf_Apo0_A</t>
  </si>
  <si>
    <t xml:space="preserve">1 K_Branch_Apo0_A</t>
  </si>
  <si>
    <t xml:space="preserve">K_Trunk_Apo0_A</t>
  </si>
  <si>
    <t xml:space="preserve">K_Root_Apo0_A</t>
  </si>
  <si>
    <t xml:space="preserve">K_Leaf_Symp_A</t>
  </si>
  <si>
    <t xml:space="preserve">1 K_Branch_Symp_A</t>
  </si>
  <si>
    <t xml:space="preserve">K_Trunk_Symp_A</t>
  </si>
  <si>
    <t xml:space="preserve">K_Root_Symp_A</t>
  </si>
  <si>
    <t xml:space="preserve">P50_Leaf_Apo_A</t>
  </si>
  <si>
    <t xml:space="preserve">P50_Branch_Apo_A</t>
  </si>
  <si>
    <t xml:space="preserve">P50_Trunk_Apo_A</t>
  </si>
  <si>
    <t xml:space="preserve">P50_Root_Apo_A</t>
  </si>
  <si>
    <t xml:space="preserve"> Slope_Leaf_Apo_A</t>
  </si>
  <si>
    <t xml:space="preserve"> Slope_Branch_Apo_A</t>
  </si>
  <si>
    <t xml:space="preserve"> Slope_Trunk_Apo_A</t>
  </si>
  <si>
    <t xml:space="preserve"> Slope_Root_Apo_A</t>
  </si>
  <si>
    <t xml:space="preserve">Bud_N per branch</t>
  </si>
  <si>
    <t xml:space="preserve">K_Bud_Apo0</t>
  </si>
  <si>
    <t xml:space="preserve">K_Bud_Symp</t>
  </si>
  <si>
    <t xml:space="preserve">Epsilon_Bud_Symp</t>
  </si>
  <si>
    <t xml:space="preserve">Pi0_Bud_Symp</t>
  </si>
  <si>
    <t xml:space="preserve">P50_Bud_Apo</t>
  </si>
  <si>
    <t xml:space="preserve"> Slope_Bud_Apo</t>
  </si>
  <si>
    <t xml:space="preserve">g_Bud</t>
  </si>
  <si>
    <t xml:space="preserve"> C_Bud_Apo</t>
  </si>
  <si>
    <t xml:space="preserve">Diam_Bud</t>
  </si>
  <si>
    <t xml:space="preserve">WC_Bud</t>
  </si>
  <si>
    <t xml:space="preserve">hygrophilous</t>
  </si>
  <si>
    <t xml:space="preserve">Mesohylous</t>
  </si>
  <si>
    <t xml:space="preserve">Xerophilous</t>
  </si>
  <si>
    <t xml:space="preserve">g/cm3</t>
  </si>
  <si>
    <t xml:space="preserve">Arabido</t>
  </si>
  <si>
    <t xml:space="preserve">color</t>
  </si>
  <si>
    <t xml:space="preserve">R</t>
  </si>
  <si>
    <t xml:space="preserve">G</t>
  </si>
  <si>
    <t xml:space="preserve">Plant type</t>
  </si>
  <si>
    <t xml:space="preserve">Leaf succulence KgH20/m2</t>
  </si>
  <si>
    <t xml:space="preserve">Leaf apoplasmic fraction</t>
  </si>
  <si>
    <t xml:space="preserve">Q_symp, Kg /m2</t>
  </si>
  <si>
    <t xml:space="preserve">Q_apo, Kg /m2</t>
  </si>
  <si>
    <t xml:space="preserve">Wood _apo specific capacitance, KgMpa-1 L-1</t>
  </si>
  <si>
    <t xml:space="preserve">Wood _apo specific capacitance, KgMpa-1m-3</t>
  </si>
  <si>
    <t xml:space="preserve">Wood_apo capacitance, Kg Mpa-1</t>
  </si>
  <si>
    <t xml:space="preserve">Specific symplasmic conducance, mmol s-1 Mpa-1 m-2</t>
  </si>
  <si>
    <t xml:space="preserve">Specific apoplasmic conducance, mmol s-1 Mpa-1 m-2</t>
  </si>
  <si>
    <t xml:space="preserve">Length, m</t>
  </si>
  <si>
    <t xml:space="preserve">Cylindre</t>
  </si>
  <si>
    <t xml:space="preserve">HV, m2/m2</t>
  </si>
  <si>
    <t xml:space="preserve">cone</t>
  </si>
  <si>
    <t xml:space="preserve">Surface  base, m2</t>
  </si>
  <si>
    <t xml:space="preserve">Diametre mean, m</t>
  </si>
  <si>
    <t xml:space="preserve">Rayon base,m</t>
  </si>
  <si>
    <t xml:space="preserve">Volume, m3</t>
  </si>
  <si>
    <t xml:space="preserve">Wood apo (lumen) fraction</t>
  </si>
  <si>
    <t xml:space="preserve">Q_apo, Kg</t>
  </si>
  <si>
    <t xml:space="preserve">Wood symplasmic fraction</t>
  </si>
  <si>
    <t xml:space="preserve">Q_symp,Kg</t>
  </si>
  <si>
    <t xml:space="preserve">Wood_symp specific Capacitance KgMPa-1m-3</t>
  </si>
  <si>
    <t xml:space="preserve">Wood_symp Capacitance KgMPa-1</t>
  </si>
  <si>
    <t xml:space="preserve">Cylindre`</t>
  </si>
  <si>
    <t xml:space="preserve">Wood _apo specific capacitance, Kg Mpa-1 L-1</t>
  </si>
  <si>
    <t xml:space="preserve">input values</t>
  </si>
  <si>
    <t xml:space="preserve">Hypothetical patterns</t>
  </si>
  <si>
    <t xml:space="preserve">List of parameters to parametrize SurEau.c</t>
  </si>
  <si>
    <t xml:space="preserve">computed values</t>
  </si>
  <si>
    <t xml:space="preserve">Missing values will be "guessed"..</t>
  </si>
  <si>
    <t xml:space="preserve">Soil type</t>
  </si>
  <si>
    <t xml:space="preserve">soil type (clay, laom, sand etc)</t>
  </si>
  <si>
    <t xml:space="preserve">LAI, m2</t>
  </si>
  <si>
    <t xml:space="preserve">van Genuchten–Mualem equations</t>
  </si>
  <si>
    <t xml:space="preserve">DBH, m</t>
  </si>
  <si>
    <t xml:space="preserve">Wood density g/cm3</t>
  </si>
  <si>
    <t xml:space="preserve">LMA, g/m2</t>
  </si>
  <si>
    <t xml:space="preserve">Leaf succulence, g/m2</t>
  </si>
  <si>
    <t xml:space="preserve">Leaf apo fraction</t>
  </si>
  <si>
    <t xml:space="preserve">SapWood apo fraction</t>
  </si>
  <si>
    <t xml:space="preserve">Soil depth, m</t>
  </si>
  <si>
    <t xml:space="preserve">SapWood symp fraction</t>
  </si>
  <si>
    <t xml:space="preserve">Soil volume available for the tree, m3</t>
  </si>
  <si>
    <t xml:space="preserve">Trunk sapwood fraction</t>
  </si>
  <si>
    <t xml:space="preserve">Total available soil water for the tree, Kg</t>
  </si>
  <si>
    <t xml:space="preserve">Soil RU, mm</t>
  </si>
  <si>
    <t xml:space="preserve">Climatic data</t>
  </si>
  <si>
    <t xml:space="preserve">T_air °C</t>
  </si>
  <si>
    <t xml:space="preserve">either continuous values</t>
  </si>
  <si>
    <t xml:space="preserve">or daily min max Tair</t>
  </si>
  <si>
    <t xml:space="preserve">or daily min max</t>
  </si>
  <si>
    <t xml:space="preserve">or daily min max RH_air</t>
  </si>
  <si>
    <t xml:space="preserve">Length distrubution, %</t>
  </si>
  <si>
    <t xml:space="preserve">L Branch, m</t>
  </si>
  <si>
    <t xml:space="preserve">or max daily PAR</t>
  </si>
  <si>
    <t xml:space="preserve">L Trunk, m</t>
  </si>
  <si>
    <t xml:space="preserve">L Root, m</t>
  </si>
  <si>
    <t xml:space="preserve">Leaf apo WC, kg</t>
  </si>
  <si>
    <t xml:space="preserve">Tree DW, Kg</t>
  </si>
  <si>
    <t xml:space="preserve">Species 1</t>
  </si>
  <si>
    <t xml:space="preserve">Species 2</t>
  </si>
  <si>
    <t xml:space="preserve">Leaf symp WC, kg</t>
  </si>
  <si>
    <t xml:space="preserve">leaf DW, Kg</t>
  </si>
  <si>
    <t xml:space="preserve">Tree morphometry</t>
  </si>
  <si>
    <t xml:space="preserve">Tree height, m</t>
  </si>
  <si>
    <t xml:space="preserve">Branch apo WC, Kg</t>
  </si>
  <si>
    <t xml:space="preserve">Total Wood Dry W, Kg</t>
  </si>
  <si>
    <t xml:space="preserve">dry Biomasse distribution, %</t>
  </si>
  <si>
    <t xml:space="preserve">Basal tree diameter, m</t>
  </si>
  <si>
    <t xml:space="preserve">Branch symp WC, Kg</t>
  </si>
  <si>
    <t xml:space="preserve">branch, DW</t>
  </si>
  <si>
    <t xml:space="preserve">branch</t>
  </si>
  <si>
    <t xml:space="preserve">Total tree leaf Area, m2</t>
  </si>
  <si>
    <t xml:space="preserve">Trunk apo WC, Kg</t>
  </si>
  <si>
    <t xml:space="preserve">trunk, DW</t>
  </si>
  <si>
    <t xml:space="preserve">Huber values (nice to have too)</t>
  </si>
  <si>
    <t xml:space="preserve">Trunk symp WC, Kg</t>
  </si>
  <si>
    <t xml:space="preserve">root, DW</t>
  </si>
  <si>
    <t xml:space="preserve">LAI at the stand level, m2/m2</t>
  </si>
  <si>
    <t xml:space="preserve">Root apo WC, Kg</t>
  </si>
  <si>
    <t xml:space="preserve">Root symp WC, Kg</t>
  </si>
  <si>
    <t xml:space="preserve">Leaf gas exchanges</t>
  </si>
  <si>
    <t xml:space="preserve">gs_max (at midday), mmol/s/m2</t>
  </si>
  <si>
    <t xml:space="preserve">Soil water content, Kg</t>
  </si>
  <si>
    <t xml:space="preserve">gs_min (at midnight), mmol/s/m2</t>
  </si>
  <si>
    <t xml:space="preserve">g_cuti_Leaf at 20°C on projected leaf area basis</t>
  </si>
  <si>
    <t xml:space="preserve">Max VPD, kPa</t>
  </si>
  <si>
    <t xml:space="preserve">Q10_1 below TP</t>
  </si>
  <si>
    <t xml:space="preserve">Min Yleaf, Mpa</t>
  </si>
  <si>
    <t xml:space="preserve">Q10_2 above TP</t>
  </si>
  <si>
    <t xml:space="preserve">Max E, mmol/s/m2</t>
  </si>
  <si>
    <t xml:space="preserve">Midday Leaf Water potential at 10% closure, Mpa</t>
  </si>
  <si>
    <t xml:space="preserve">Midday leaf Water potential at 90% closure, Mpa</t>
  </si>
  <si>
    <t xml:space="preserve">Kplant, mmol/s/m2/Mpa</t>
  </si>
  <si>
    <t xml:space="preserve">R-liquid distribution, %</t>
  </si>
  <si>
    <t xml:space="preserve">Canopy boundary layer conductance, mmol s-1 m-2 </t>
  </si>
  <si>
    <t xml:space="preserve">Vcmax, µmol s-1 m-2 </t>
  </si>
  <si>
    <t xml:space="preserve">K_Leaf_apo</t>
  </si>
  <si>
    <t xml:space="preserve">Jmax ,µmol s-1 m-2 </t>
  </si>
  <si>
    <t xml:space="preserve">K_branch_apo</t>
  </si>
  <si>
    <t xml:space="preserve">Quantum yield efficiency</t>
  </si>
  <si>
    <t xml:space="preserve">Rd, µmol s-1 m-2 </t>
  </si>
  <si>
    <t xml:space="preserve">Atmospheric CO2 concentration, ppm</t>
  </si>
  <si>
    <t xml:space="preserve">K_root_symp</t>
  </si>
  <si>
    <t xml:space="preserve">Leaf PV Data</t>
  </si>
  <si>
    <t xml:space="preserve">leaf Modulus of electicity Epsilon, Mpa</t>
  </si>
  <si>
    <t xml:space="preserve">g_canopy, mmol/s/Mpa</t>
  </si>
  <si>
    <t xml:space="preserve">R gas distribution %</t>
  </si>
  <si>
    <t xml:space="preserve">leaf Osmotic potential at full turgor Pi0, Mpa</t>
  </si>
  <si>
    <t xml:space="preserve">leaf shoot modulus</t>
  </si>
  <si>
    <t xml:space="preserve">g_Leaf boundary</t>
  </si>
  <si>
    <t xml:space="preserve">leaf shoot PI0</t>
  </si>
  <si>
    <t xml:space="preserve">g_stom_max</t>
  </si>
  <si>
    <t xml:space="preserve">g_stom_min</t>
  </si>
  <si>
    <t xml:space="preserve">Hydraulics/Cavitation</t>
  </si>
  <si>
    <t xml:space="preserve">P50 leaf, Mpa</t>
  </si>
  <si>
    <t xml:space="preserve">g_cuti_leaf</t>
  </si>
  <si>
    <t xml:space="preserve">slope Leaf</t>
  </si>
  <si>
    <t xml:space="preserve">g_cuti_bark</t>
  </si>
  <si>
    <t xml:space="preserve">P50 stems, Mpa</t>
  </si>
  <si>
    <t xml:space="preserve">slope stems</t>
  </si>
  <si>
    <t xml:space="preserve">P50 roots, Mpa</t>
  </si>
  <si>
    <t xml:space="preserve">slope roots</t>
  </si>
  <si>
    <t xml:space="preserve">Total Plant LA specific conductance, mmol s-1 MPa-1 m-2</t>
  </si>
  <si>
    <t xml:space="preserve">Leaf resistance, % of total plant resistance</t>
  </si>
  <si>
    <t xml:space="preserve">Branch resistance, % of total plant resistance</t>
  </si>
  <si>
    <t xml:space="preserve">leaf Modulus of electicity , Mpa</t>
  </si>
  <si>
    <t xml:space="preserve">Trunk resistance, % of total plant resistance</t>
  </si>
  <si>
    <t xml:space="preserve">Root resistance, % of total plant resistance</t>
  </si>
  <si>
    <t xml:space="preserve">Bark Modulus of electicity , Mpa</t>
  </si>
  <si>
    <t xml:space="preserve">Bark Osmotic potential at full turgor Pi0, Mpa</t>
  </si>
  <si>
    <t xml:space="preserve">For initial setup:</t>
  </si>
  <si>
    <t xml:space="preserve">Midday whole tree Transpiration Rate, mmol/s/m2</t>
  </si>
  <si>
    <t xml:space="preserve">values for control trees</t>
  </si>
  <si>
    <t xml:space="preserve">Midday water potential, Mpa</t>
  </si>
  <si>
    <t xml:space="preserve">Corresponding climatic data</t>
  </si>
  <si>
    <t xml:space="preserve">Distance to ground, m</t>
  </si>
  <si>
    <t xml:space="preserve">Surface, m2</t>
  </si>
  <si>
    <t xml:space="preserve">Surface cumul, m2</t>
  </si>
  <si>
    <t xml:space="preserve">Diam cum, m</t>
  </si>
  <si>
    <t xml:space="preserve">Diam, cm</t>
  </si>
  <si>
    <t xml:space="preserve">Nb segments</t>
  </si>
  <si>
    <t xml:space="preserve">Cross section, cm2</t>
  </si>
  <si>
    <t xml:space="preserve">Cumul cross-section, cm2</t>
  </si>
  <si>
    <t xml:space="preserve">Volume Cum, m3</t>
  </si>
</sst>
</file>

<file path=xl/styles.xml><?xml version="1.0" encoding="utf-8"?>
<styleSheet xmlns="http://schemas.openxmlformats.org/spreadsheetml/2006/main">
  <numFmts count="14">
    <numFmt numFmtId="164" formatCode="General"/>
    <numFmt numFmtId="165" formatCode="General"/>
    <numFmt numFmtId="166" formatCode="0.00"/>
    <numFmt numFmtId="167" formatCode="0.00E+00"/>
    <numFmt numFmtId="168" formatCode="0.000"/>
    <numFmt numFmtId="169" formatCode="0.0000"/>
    <numFmt numFmtId="170" formatCode="0.000E+00"/>
    <numFmt numFmtId="171" formatCode="0.0000E+00"/>
    <numFmt numFmtId="172" formatCode="0"/>
    <numFmt numFmtId="173" formatCode="0.000000"/>
    <numFmt numFmtId="174" formatCode="0.00000"/>
    <numFmt numFmtId="175" formatCode="0.0"/>
    <numFmt numFmtId="176" formatCode="0.00000E+00"/>
    <numFmt numFmtId="177" formatCode="0.00000000"/>
  </numFmts>
  <fonts count="115">
    <font>
      <sz val="12"/>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8"/>
      <color rgb="FF000000"/>
      <name val="Calibri"/>
      <family val="2"/>
      <charset val="1"/>
    </font>
    <font>
      <i val="true"/>
      <sz val="12"/>
      <color rgb="FF000000"/>
      <name val="Calibri"/>
      <family val="2"/>
      <charset val="1"/>
    </font>
    <font>
      <b val="true"/>
      <sz val="10"/>
      <color rgb="FF000000"/>
      <name val="Calibri"/>
      <family val="2"/>
      <charset val="1"/>
    </font>
    <font>
      <b val="true"/>
      <sz val="14"/>
      <color rgb="FF000000"/>
      <name val="Calibri"/>
      <family val="2"/>
      <charset val="1"/>
    </font>
    <font>
      <b val="true"/>
      <sz val="12"/>
      <color rgb="FF000000"/>
      <name val="Calibri"/>
      <family val="2"/>
      <charset val="1"/>
    </font>
    <font>
      <b val="true"/>
      <sz val="12"/>
      <color rgb="FF000000"/>
      <name val="Symbol"/>
      <family val="0"/>
      <charset val="2"/>
    </font>
    <font>
      <sz val="10"/>
      <color rgb="FF000000"/>
      <name val="Calibri"/>
      <family val="2"/>
      <charset val="1"/>
    </font>
    <font>
      <sz val="12"/>
      <color rgb="FF00B050"/>
      <name val="Calibri"/>
      <family val="2"/>
      <charset val="1"/>
    </font>
    <font>
      <b val="true"/>
      <sz val="12"/>
      <color rgb="FFFF0000"/>
      <name val="Calibri"/>
      <family val="2"/>
      <charset val="1"/>
    </font>
    <font>
      <b val="true"/>
      <sz val="14"/>
      <color rgb="FFFF0000"/>
      <name val="Calibri"/>
      <family val="2"/>
      <charset val="1"/>
    </font>
    <font>
      <sz val="12"/>
      <color rgb="FF4F6228"/>
      <name val="Calibri"/>
      <family val="2"/>
      <charset val="1"/>
    </font>
    <font>
      <b val="true"/>
      <sz val="14"/>
      <name val="Arial"/>
      <family val="2"/>
      <charset val="1"/>
    </font>
    <font>
      <b val="true"/>
      <sz val="14"/>
      <name val="Calibri"/>
      <family val="2"/>
      <charset val="1"/>
    </font>
    <font>
      <b val="true"/>
      <sz val="12"/>
      <name val="Arial"/>
      <family val="2"/>
      <charset val="1"/>
    </font>
    <font>
      <b val="true"/>
      <sz val="10"/>
      <name val="Arial"/>
      <family val="2"/>
      <charset val="1"/>
    </font>
    <font>
      <b val="true"/>
      <sz val="18"/>
      <color rgb="FF00B050"/>
      <name val="Calibri"/>
      <family val="2"/>
      <charset val="1"/>
    </font>
    <font>
      <sz val="12"/>
      <name val="Calibri"/>
      <family val="2"/>
      <charset val="1"/>
    </font>
    <font>
      <b val="true"/>
      <i val="true"/>
      <sz val="12"/>
      <color rgb="FFFF0000"/>
      <name val="Calibri"/>
      <family val="2"/>
      <charset val="1"/>
    </font>
    <font>
      <sz val="10"/>
      <color rgb="FF000000"/>
      <name val="Tahoma"/>
      <family val="2"/>
      <charset val="1"/>
    </font>
    <font>
      <i val="true"/>
      <sz val="12"/>
      <color rgb="FFFF0000"/>
      <name val="Calibri (Corps)"/>
      <family val="0"/>
      <charset val="1"/>
    </font>
    <font>
      <sz val="10"/>
      <color rgb="FF000000"/>
      <name val="Arial"/>
      <family val="2"/>
      <charset val="1"/>
    </font>
    <font>
      <sz val="12"/>
      <color rgb="FFFF0000"/>
      <name val="Calibri (Corps)"/>
      <family val="0"/>
      <charset val="1"/>
    </font>
    <font>
      <sz val="12"/>
      <color rgb="FF595959"/>
      <name val="Calibri"/>
      <family val="2"/>
      <charset val="1"/>
    </font>
    <font>
      <b val="true"/>
      <sz val="12"/>
      <color rgb="FFFF0000"/>
      <name val="Calibri (Corps)"/>
      <family val="0"/>
      <charset val="1"/>
    </font>
    <font>
      <b val="true"/>
      <sz val="12"/>
      <color rgb="FF00B050"/>
      <name val="Calibri"/>
      <family val="2"/>
      <charset val="1"/>
    </font>
    <font>
      <sz val="12"/>
      <color rgb="FFFF0000"/>
      <name val="Calibri"/>
      <family val="2"/>
      <charset val="1"/>
    </font>
    <font>
      <sz val="10"/>
      <color rgb="FF000000"/>
      <name val="Times New Roman"/>
      <family val="1"/>
      <charset val="1"/>
    </font>
    <font>
      <sz val="12"/>
      <color rgb="FF808080"/>
      <name val="Calibri"/>
      <family val="2"/>
      <charset val="1"/>
    </font>
    <font>
      <sz val="11"/>
      <color rgb="FF000000"/>
      <name val="Arial"/>
      <family val="2"/>
      <charset val="1"/>
    </font>
    <font>
      <sz val="11"/>
      <color rgb="FF000000"/>
      <name val="Calibri"/>
      <family val="2"/>
      <charset val="1"/>
    </font>
    <font>
      <sz val="11"/>
      <name val="Calibri"/>
      <family val="2"/>
      <charset val="1"/>
    </font>
    <font>
      <vertAlign val="subscript"/>
      <sz val="11"/>
      <color rgb="FF000000"/>
      <name val="Calibri"/>
      <family val="2"/>
      <charset val="1"/>
    </font>
    <font>
      <vertAlign val="superscript"/>
      <sz val="11"/>
      <color rgb="FF000000"/>
      <name val="Calibri"/>
      <family val="2"/>
      <charset val="1"/>
    </font>
    <font>
      <sz val="12"/>
      <color rgb="FF000000"/>
      <name val="Menlo"/>
      <family val="2"/>
      <charset val="1"/>
    </font>
    <font>
      <sz val="8"/>
      <color rgb="FF000000"/>
      <name val="Calibri"/>
      <family val="2"/>
      <charset val="1"/>
    </font>
    <font>
      <b val="true"/>
      <sz val="20"/>
      <color rgb="FF000000"/>
      <name val="Calibri"/>
      <family val="2"/>
      <charset val="1"/>
    </font>
    <font>
      <b val="true"/>
      <sz val="20"/>
      <color rgb="FF000000"/>
      <name val="Calibri (Corps)"/>
      <family val="0"/>
      <charset val="1"/>
    </font>
    <font>
      <sz val="14"/>
      <color rgb="FF000000"/>
      <name val="Calibri"/>
      <family val="2"/>
      <charset val="1"/>
    </font>
    <font>
      <sz val="16"/>
      <color rgb="FF000000"/>
      <name val="Calibri"/>
      <family val="2"/>
      <charset val="1"/>
    </font>
    <font>
      <sz val="20"/>
      <color rgb="FF000000"/>
      <name val="Calibri"/>
      <family val="2"/>
      <charset val="1"/>
    </font>
    <font>
      <i val="true"/>
      <sz val="12"/>
      <color rgb="FF00B050"/>
      <name val="Calibri"/>
      <family val="2"/>
      <charset val="1"/>
    </font>
    <font>
      <sz val="12"/>
      <name val="Arial"/>
      <family val="2"/>
      <charset val="1"/>
    </font>
    <font>
      <i val="true"/>
      <sz val="10"/>
      <color rgb="FF000000"/>
      <name val="Calibri"/>
      <family val="2"/>
      <charset val="1"/>
    </font>
    <font>
      <b val="true"/>
      <i val="true"/>
      <sz val="12"/>
      <color rgb="FF000000"/>
      <name val="Calibri"/>
      <family val="2"/>
      <charset val="1"/>
    </font>
    <font>
      <b val="true"/>
      <i val="true"/>
      <sz val="12"/>
      <color rgb="FFFFFF00"/>
      <name val="Calibri"/>
      <family val="2"/>
      <charset val="1"/>
    </font>
    <font>
      <sz val="12"/>
      <color rgb="FFFFFF00"/>
      <name val="Calibri"/>
      <family val="2"/>
      <charset val="1"/>
    </font>
    <font>
      <sz val="10"/>
      <color rgb="FF000000"/>
      <name val="LMMathItalic10"/>
      <family val="0"/>
      <charset val="1"/>
    </font>
    <font>
      <sz val="10"/>
      <color rgb="FF000000"/>
      <name val="LMMathSymbols10"/>
      <family val="0"/>
      <charset val="1"/>
    </font>
    <font>
      <sz val="7"/>
      <color rgb="FF000000"/>
      <name val="LMMathSymbols7"/>
      <family val="0"/>
      <charset val="1"/>
    </font>
    <font>
      <sz val="7"/>
      <color rgb="FF000000"/>
      <name val="LMRoman7"/>
      <family val="0"/>
      <charset val="1"/>
    </font>
    <font>
      <i val="true"/>
      <sz val="11"/>
      <color rgb="FF000000"/>
      <name val="Calibri"/>
      <family val="2"/>
      <charset val="1"/>
    </font>
    <font>
      <u val="single"/>
      <sz val="10"/>
      <color rgb="FF000000"/>
      <name val="Tahoma"/>
      <family val="2"/>
      <charset val="1"/>
    </font>
    <font>
      <sz val="11"/>
      <color rgb="FF000000"/>
      <name val="+mn-lt"/>
      <family val="0"/>
      <charset val="1"/>
    </font>
    <font>
      <b val="true"/>
      <sz val="10"/>
      <color rgb="FF000000"/>
      <name val="Tahoma"/>
      <family val="2"/>
      <charset val="1"/>
    </font>
    <font>
      <sz val="6"/>
      <color rgb="FF000000"/>
      <name val="Calibri"/>
      <family val="2"/>
      <charset val="1"/>
    </font>
    <font>
      <sz val="10"/>
      <color rgb="FF000000"/>
      <name val="+mn-lt"/>
      <family val="0"/>
      <charset val="1"/>
    </font>
    <font>
      <sz val="9"/>
      <color rgb="FF000000"/>
      <name val="Calibri"/>
      <family val="2"/>
      <charset val="1"/>
    </font>
    <font>
      <sz val="10"/>
      <color rgb="FFFF0000"/>
      <name val="Tahoma"/>
      <family val="2"/>
      <charset val="1"/>
    </font>
    <font>
      <sz val="10"/>
      <color rgb="FFFF0000"/>
      <name val="Calibri"/>
      <family val="2"/>
      <charset val="1"/>
    </font>
    <font>
      <sz val="12"/>
      <color rgb="FF000000"/>
      <name val="Tahoma"/>
      <family val="2"/>
      <charset val="1"/>
    </font>
    <font>
      <b val="true"/>
      <sz val="10"/>
      <color rgb="FF000000"/>
      <name val="+mn-lt"/>
      <family val="0"/>
      <charset val="1"/>
    </font>
    <font>
      <vertAlign val="subscript"/>
      <sz val="11"/>
      <color rgb="FF000000"/>
      <name val="+mn-lt"/>
      <family val="0"/>
      <charset val="1"/>
    </font>
    <font>
      <vertAlign val="superscript"/>
      <sz val="11"/>
      <color rgb="FF000000"/>
      <name val="+mn-lt"/>
      <family val="0"/>
      <charset val="1"/>
    </font>
    <font>
      <sz val="6"/>
      <color rgb="FF000000"/>
      <name val="+mn-lt"/>
      <family val="0"/>
      <charset val="1"/>
    </font>
    <font>
      <sz val="11"/>
      <color rgb="FF000000"/>
      <name val="Calibri"/>
      <family val="2"/>
    </font>
    <font>
      <i val="true"/>
      <sz val="9"/>
      <color rgb="FF000000"/>
      <name val="Calibri"/>
      <family val="2"/>
      <charset val="1"/>
    </font>
    <font>
      <sz val="12"/>
      <color rgb="FF000000"/>
      <name val="Symbol"/>
      <family val="0"/>
      <charset val="2"/>
    </font>
    <font>
      <sz val="11"/>
      <color rgb="FF000000"/>
      <name val="Menlo"/>
      <family val="2"/>
      <charset val="1"/>
    </font>
    <font>
      <sz val="12"/>
      <color rgb="FF0070C0"/>
      <name val="Calibri"/>
      <family val="2"/>
      <charset val="1"/>
    </font>
    <font>
      <sz val="14"/>
      <color rgb="FF595959"/>
      <name val="Calibri"/>
      <family val="2"/>
    </font>
    <font>
      <sz val="9"/>
      <color rgb="FF595959"/>
      <name val="Calibri"/>
      <family val="2"/>
    </font>
    <font>
      <sz val="12"/>
      <color rgb="FFFFC000"/>
      <name val="Calibri"/>
      <family val="2"/>
      <charset val="1"/>
    </font>
    <font>
      <sz val="12"/>
      <color rgb="FF000000"/>
      <name val="Arial MT"/>
      <family val="0"/>
      <charset val="1"/>
    </font>
    <font>
      <sz val="12"/>
      <color rgb="FFD9D9D9"/>
      <name val="Calibri"/>
      <family val="2"/>
      <charset val="1"/>
    </font>
    <font>
      <sz val="12"/>
      <color rgb="FFA6A6A6"/>
      <name val="Calibri"/>
      <family val="2"/>
      <charset val="1"/>
    </font>
    <font>
      <sz val="12"/>
      <color rgb="FFBFBFBF"/>
      <name val="Calibri"/>
      <family val="2"/>
      <charset val="1"/>
    </font>
    <font>
      <sz val="12"/>
      <color rgb="FFFF0000"/>
      <name val="Arial MT"/>
      <family val="0"/>
      <charset val="1"/>
    </font>
    <font>
      <b val="true"/>
      <sz val="12"/>
      <color rgb="FF008000"/>
      <name val="Arial MT"/>
      <family val="0"/>
      <charset val="1"/>
    </font>
    <font>
      <sz val="12"/>
      <color rgb="FF0000FF"/>
      <name val="Arial MT"/>
      <family val="0"/>
      <charset val="1"/>
    </font>
    <font>
      <sz val="13"/>
      <color rgb="FF1A1AA6"/>
      <name val="Courier New"/>
      <family val="1"/>
      <charset val="1"/>
    </font>
    <font>
      <sz val="14"/>
      <color rgb="FF000000"/>
      <name val="Calibri"/>
      <family val="2"/>
    </font>
    <font>
      <b val="true"/>
      <sz val="14"/>
      <color rgb="FF000000"/>
      <name val="Calibri"/>
      <family val="2"/>
    </font>
    <font>
      <sz val="16"/>
      <color rgb="FF000000"/>
      <name val="Calibri"/>
      <family val="2"/>
    </font>
    <font>
      <b val="true"/>
      <sz val="16"/>
      <color rgb="FF000000"/>
      <name val="Calibri"/>
      <family val="2"/>
    </font>
    <font>
      <sz val="20"/>
      <name val="Times New Roman"/>
      <family val="1"/>
    </font>
    <font>
      <i val="true"/>
      <vertAlign val="subscript"/>
      <sz val="10"/>
      <color rgb="FF000000"/>
      <name val="Inherit"/>
      <family val="0"/>
      <charset val="1"/>
    </font>
    <font>
      <sz val="10"/>
      <color rgb="FFFF3333"/>
      <name val="Arial"/>
      <family val="2"/>
      <charset val="1"/>
    </font>
    <font>
      <i val="true"/>
      <sz val="10"/>
      <color rgb="FF000000"/>
      <name val="Arial Unicode MS"/>
      <family val="2"/>
      <charset val="1"/>
    </font>
    <font>
      <i val="true"/>
      <sz val="10"/>
      <color rgb="FF000000"/>
      <name val="Inherit"/>
      <family val="0"/>
      <charset val="1"/>
    </font>
    <font>
      <vertAlign val="superscript"/>
      <sz val="12"/>
      <color rgb="FF000000"/>
      <name val="Calibri (Corps)"/>
      <family val="0"/>
      <charset val="1"/>
    </font>
    <font>
      <sz val="12"/>
      <color rgb="FF000000"/>
      <name val="Inherit"/>
      <family val="0"/>
      <charset val="1"/>
    </font>
    <font>
      <vertAlign val="superscript"/>
      <sz val="10"/>
      <color rgb="FF000000"/>
      <name val="Arial"/>
      <family val="2"/>
      <charset val="1"/>
    </font>
    <font>
      <vertAlign val="superscript"/>
      <sz val="7"/>
      <color rgb="FF000000"/>
      <name val="Inherit"/>
      <family val="0"/>
      <charset val="1"/>
    </font>
    <font>
      <b val="true"/>
      <sz val="18"/>
      <color rgb="FF000000"/>
      <name val="Calibri"/>
      <family val="2"/>
    </font>
    <font>
      <sz val="16"/>
      <name val="Times New Roman"/>
      <family val="1"/>
    </font>
    <font>
      <sz val="16"/>
      <name val="Calibri"/>
      <family val="0"/>
    </font>
    <font>
      <b val="true"/>
      <sz val="20"/>
      <color rgb="FF000000"/>
      <name val="Calibri"/>
      <family val="2"/>
    </font>
    <font>
      <sz val="15"/>
      <color rgb="FF0000FF"/>
      <name val="Helvetica Neue"/>
      <family val="2"/>
      <charset val="1"/>
    </font>
    <font>
      <b val="true"/>
      <i val="true"/>
      <sz val="14"/>
      <color rgb="FF707070"/>
      <name val="Times New Roman"/>
      <family val="1"/>
      <charset val="1"/>
    </font>
    <font>
      <sz val="10"/>
      <name val="Arial"/>
      <family val="2"/>
      <charset val="1"/>
    </font>
    <font>
      <sz val="14"/>
      <color rgb="FF707070"/>
      <name val="Times New Roman"/>
      <family val="1"/>
      <charset val="1"/>
    </font>
    <font>
      <sz val="18"/>
      <color rgb="FF595959"/>
      <name val="Calibri"/>
      <family val="2"/>
    </font>
    <font>
      <sz val="18"/>
      <color rgb="FF0070C0"/>
      <name val="Calibri"/>
      <family val="2"/>
    </font>
    <font>
      <sz val="18"/>
      <color rgb="FFFF0000"/>
      <name val="Calibri"/>
      <family val="2"/>
    </font>
    <font>
      <sz val="24"/>
      <name val="Symbol"/>
      <family val="0"/>
    </font>
    <font>
      <sz val="20"/>
      <color rgb="FF595959"/>
      <name val="Calibri"/>
      <family val="2"/>
    </font>
    <font>
      <sz val="12"/>
      <color rgb="FF002060"/>
      <name val="Calibri"/>
      <family val="2"/>
      <charset val="1"/>
    </font>
    <font>
      <sz val="19.2"/>
      <color rgb="FF595959"/>
      <name val="Calibri"/>
      <family val="2"/>
    </font>
    <font>
      <b val="true"/>
      <sz val="16"/>
      <color rgb="FF595959"/>
      <name val="Calibri"/>
      <family val="2"/>
    </font>
    <font>
      <sz val="16"/>
      <color rgb="FF595959"/>
      <name val="Calibri"/>
      <family val="2"/>
    </font>
  </fonts>
  <fills count="41">
    <fill>
      <patternFill patternType="none"/>
    </fill>
    <fill>
      <patternFill patternType="gray125"/>
    </fill>
    <fill>
      <patternFill patternType="solid">
        <fgColor rgb="FFFAC090"/>
        <bgColor rgb="FFE6B9B8"/>
      </patternFill>
    </fill>
    <fill>
      <patternFill patternType="solid">
        <fgColor rgb="FFFFFFFF"/>
        <bgColor rgb="FFEBF1DE"/>
      </patternFill>
    </fill>
    <fill>
      <patternFill patternType="solid">
        <fgColor rgb="FFEBF1DE"/>
        <bgColor rgb="FFEEECE1"/>
      </patternFill>
    </fill>
    <fill>
      <patternFill patternType="solid">
        <fgColor rgb="FFFDEADA"/>
        <bgColor rgb="FFEEECE1"/>
      </patternFill>
    </fill>
    <fill>
      <patternFill patternType="solid">
        <fgColor rgb="FFE46C0A"/>
        <bgColor rgb="FFBE4C49"/>
      </patternFill>
    </fill>
    <fill>
      <patternFill patternType="solid">
        <fgColor rgb="FFFCD5B5"/>
        <bgColor rgb="FFFCD5B4"/>
      </patternFill>
    </fill>
    <fill>
      <patternFill patternType="solid">
        <fgColor rgb="FF95B3D7"/>
        <bgColor rgb="FF8EB4E3"/>
      </patternFill>
    </fill>
    <fill>
      <patternFill patternType="solid">
        <fgColor rgb="FFC3D69B"/>
        <bgColor rgb="FFD7E4BD"/>
      </patternFill>
    </fill>
    <fill>
      <patternFill patternType="solid">
        <fgColor rgb="FFF79646"/>
        <bgColor rgb="FFD99694"/>
      </patternFill>
    </fill>
    <fill>
      <patternFill patternType="solid">
        <fgColor rgb="FF4F81BD"/>
        <bgColor rgb="FF558ED5"/>
      </patternFill>
    </fill>
    <fill>
      <patternFill patternType="solid">
        <fgColor rgb="FF00B0F0"/>
        <bgColor rgb="FF0070C0"/>
      </patternFill>
    </fill>
    <fill>
      <patternFill patternType="solid">
        <fgColor rgb="FFB9CDE5"/>
        <bgColor rgb="FFC6D9F1"/>
      </patternFill>
    </fill>
    <fill>
      <patternFill patternType="solid">
        <fgColor rgb="FF77933C"/>
        <bgColor rgb="FF948A54"/>
      </patternFill>
    </fill>
    <fill>
      <patternFill patternType="solid">
        <fgColor rgb="FFDCE6F2"/>
        <bgColor rgb="FFDBEEF4"/>
      </patternFill>
    </fill>
    <fill>
      <patternFill patternType="solid">
        <fgColor rgb="FFDBEEF4"/>
        <bgColor rgb="FFDCE6F2"/>
      </patternFill>
    </fill>
    <fill>
      <patternFill patternType="solid">
        <fgColor rgb="FFFCD5B4"/>
        <bgColor rgb="FFFCD5B5"/>
      </patternFill>
    </fill>
    <fill>
      <patternFill patternType="solid">
        <fgColor rgb="FF00B050"/>
        <bgColor rgb="FF008000"/>
      </patternFill>
    </fill>
    <fill>
      <patternFill patternType="solid">
        <fgColor rgb="FF92D050"/>
        <bgColor rgb="FF9ABA57"/>
      </patternFill>
    </fill>
    <fill>
      <patternFill patternType="solid">
        <fgColor rgb="FFB3A2C7"/>
        <bgColor rgb="FFA6A6A6"/>
      </patternFill>
    </fill>
    <fill>
      <patternFill patternType="solid">
        <fgColor rgb="FF8EB4E3"/>
        <bgColor rgb="FF95B3D7"/>
      </patternFill>
    </fill>
    <fill>
      <patternFill patternType="solid">
        <fgColor rgb="FFE6E0EC"/>
        <bgColor rgb="FFDCE6F2"/>
      </patternFill>
    </fill>
    <fill>
      <patternFill patternType="solid">
        <fgColor rgb="FFDDD9C3"/>
        <bgColor rgb="FFD9D9D9"/>
      </patternFill>
    </fill>
    <fill>
      <patternFill patternType="solid">
        <fgColor rgb="FFC4BD97"/>
        <bgColor rgb="FFBFBFBF"/>
      </patternFill>
    </fill>
    <fill>
      <patternFill patternType="solid">
        <fgColor rgb="FFC6D9F1"/>
        <bgColor rgb="FFB7DEE8"/>
      </patternFill>
    </fill>
    <fill>
      <patternFill patternType="solid">
        <fgColor rgb="FFFFFF00"/>
        <bgColor rgb="FFFFC000"/>
      </patternFill>
    </fill>
    <fill>
      <patternFill patternType="solid">
        <fgColor rgb="FFCCC1DA"/>
        <bgColor rgb="FFBFBFBF"/>
      </patternFill>
    </fill>
    <fill>
      <patternFill patternType="solid">
        <fgColor rgb="FF948A54"/>
        <bgColor rgb="FF878787"/>
      </patternFill>
    </fill>
    <fill>
      <patternFill patternType="solid">
        <fgColor rgb="FF93CDDD"/>
        <bgColor rgb="FF99CCFF"/>
      </patternFill>
    </fill>
    <fill>
      <patternFill patternType="solid">
        <fgColor rgb="FFFFC000"/>
        <bgColor rgb="FFF79646"/>
      </patternFill>
    </fill>
    <fill>
      <patternFill patternType="solid">
        <fgColor rgb="FF558ED5"/>
        <bgColor rgb="FF4F81BD"/>
      </patternFill>
    </fill>
    <fill>
      <patternFill patternType="solid">
        <fgColor rgb="FFF2DCDB"/>
        <bgColor rgb="FFE6E0EC"/>
      </patternFill>
    </fill>
    <fill>
      <patternFill patternType="solid">
        <fgColor rgb="FFD9D9D9"/>
        <bgColor rgb="FFDDD9C3"/>
      </patternFill>
    </fill>
    <fill>
      <patternFill patternType="solid">
        <fgColor rgb="FFB7DEE8"/>
        <bgColor rgb="FFC6D9F1"/>
      </patternFill>
    </fill>
    <fill>
      <patternFill patternType="solid">
        <fgColor rgb="FFD99694"/>
        <bgColor rgb="FFB3A2C7"/>
      </patternFill>
    </fill>
    <fill>
      <patternFill patternType="solid">
        <fgColor rgb="FFE6B9B8"/>
        <bgColor rgb="FFFAC090"/>
      </patternFill>
    </fill>
    <fill>
      <patternFill patternType="solid">
        <fgColor rgb="FFD7E4BD"/>
        <bgColor rgb="FFDDD9C3"/>
      </patternFill>
    </fill>
    <fill>
      <patternFill patternType="solid">
        <fgColor rgb="FFFF0000"/>
        <bgColor rgb="FFFF3333"/>
      </patternFill>
    </fill>
    <fill>
      <patternFill patternType="solid">
        <fgColor rgb="FF984807"/>
        <bgColor rgb="FFBE4C49"/>
      </patternFill>
    </fill>
    <fill>
      <patternFill patternType="solid">
        <fgColor rgb="FFEEECE1"/>
        <bgColor rgb="FFEBF1DE"/>
      </patternFill>
    </fill>
  </fills>
  <borders count="41">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medium"/>
      <right/>
      <top/>
      <bottom/>
      <diagonal/>
    </border>
    <border diagonalUp="false" diagonalDown="false">
      <left/>
      <right style="medium"/>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color rgb="FFFF0000"/>
      </left>
      <right/>
      <top style="medium">
        <color rgb="FFFF0000"/>
      </top>
      <bottom style="medium">
        <color rgb="FFFF0000"/>
      </bottom>
      <diagonal/>
    </border>
    <border diagonalUp="false" diagonalDown="false">
      <left style="medium">
        <color rgb="FFFF0000"/>
      </left>
      <right/>
      <top style="medium">
        <color rgb="FFFF0000"/>
      </top>
      <bottom/>
      <diagonal/>
    </border>
    <border diagonalUp="false" diagonalDown="false">
      <left style="thin">
        <color rgb="FFFF0000"/>
      </left>
      <right style="thin">
        <color rgb="FFFF0000"/>
      </right>
      <top style="medium">
        <color rgb="FFFF0000"/>
      </top>
      <bottom/>
      <diagonal/>
    </border>
    <border diagonalUp="false" diagonalDown="false">
      <left/>
      <right/>
      <top style="medium">
        <color rgb="FFFF0000"/>
      </top>
      <bottom/>
      <diagonal/>
    </border>
    <border diagonalUp="false" diagonalDown="false">
      <left style="thin">
        <color rgb="FFFF0000"/>
      </left>
      <right style="medium">
        <color rgb="FFFF0000"/>
      </right>
      <top style="medium">
        <color rgb="FFFF0000"/>
      </top>
      <bottom/>
      <diagonal/>
    </border>
    <border diagonalUp="false" diagonalDown="false">
      <left style="thin"/>
      <right style="thin"/>
      <top/>
      <bottom/>
      <diagonal/>
    </border>
    <border diagonalUp="false" diagonalDown="false">
      <left style="medium">
        <color rgb="FFFF0000"/>
      </left>
      <right/>
      <top style="thin">
        <color rgb="FFFF0000"/>
      </top>
      <bottom style="thin">
        <color rgb="FFFF0000"/>
      </bottom>
      <diagonal/>
    </border>
    <border diagonalUp="false" diagonalDown="false">
      <left style="thin">
        <color rgb="FFFF0000"/>
      </left>
      <right style="thin">
        <color rgb="FFFF0000"/>
      </right>
      <top style="thin">
        <color rgb="FFFF0000"/>
      </top>
      <bottom style="thin">
        <color rgb="FFFF0000"/>
      </bottom>
      <diagonal/>
    </border>
    <border diagonalUp="false" diagonalDown="false">
      <left/>
      <right/>
      <top style="thin">
        <color rgb="FFFF0000"/>
      </top>
      <bottom style="thin">
        <color rgb="FFFF0000"/>
      </bottom>
      <diagonal/>
    </border>
    <border diagonalUp="false" diagonalDown="false">
      <left style="thin">
        <color rgb="FFFF0000"/>
      </left>
      <right style="medium">
        <color rgb="FFFF0000"/>
      </right>
      <top style="thin">
        <color rgb="FFFF0000"/>
      </top>
      <bottom style="thin">
        <color rgb="FFFF0000"/>
      </bottom>
      <diagonal/>
    </border>
    <border diagonalUp="false" diagonalDown="false">
      <left style="thin"/>
      <right/>
      <top style="thin"/>
      <bottom style="thin"/>
      <diagonal/>
    </border>
    <border diagonalUp="false" diagonalDown="false">
      <left style="medium">
        <color rgb="FFFF0000"/>
      </left>
      <right/>
      <top/>
      <bottom style="thin">
        <color rgb="FFFF0000"/>
      </bottom>
      <diagonal/>
    </border>
    <border diagonalUp="false" diagonalDown="false">
      <left style="thin">
        <color rgb="FFFF0000"/>
      </left>
      <right style="thin">
        <color rgb="FFFF0000"/>
      </right>
      <top/>
      <bottom style="thin">
        <color rgb="FFFF0000"/>
      </bottom>
      <diagonal/>
    </border>
    <border diagonalUp="false" diagonalDown="false">
      <left/>
      <right/>
      <top/>
      <bottom style="thin">
        <color rgb="FFFF0000"/>
      </bottom>
      <diagonal/>
    </border>
    <border diagonalUp="false" diagonalDown="false">
      <left style="thin">
        <color rgb="FFFF0000"/>
      </left>
      <right style="medium">
        <color rgb="FFFF0000"/>
      </right>
      <top/>
      <bottom style="thin">
        <color rgb="FFFF0000"/>
      </bottom>
      <diagonal/>
    </border>
    <border diagonalUp="false" diagonalDown="false">
      <left style="medium">
        <color rgb="FFFF0000"/>
      </left>
      <right/>
      <top/>
      <bottom style="medium">
        <color rgb="FFFF0000"/>
      </bottom>
      <diagonal/>
    </border>
    <border diagonalUp="false" diagonalDown="false">
      <left style="thin">
        <color rgb="FFFF0000"/>
      </left>
      <right style="thin">
        <color rgb="FFFF0000"/>
      </right>
      <top/>
      <bottom style="medium">
        <color rgb="FFFF0000"/>
      </bottom>
      <diagonal/>
    </border>
    <border diagonalUp="false" diagonalDown="false">
      <left style="thin">
        <color rgb="FFFF0000"/>
      </left>
      <right style="thin">
        <color rgb="FFFF0000"/>
      </right>
      <top style="thin">
        <color rgb="FFFF0000"/>
      </top>
      <bottom style="medium">
        <color rgb="FFFF0000"/>
      </bottom>
      <diagonal/>
    </border>
    <border diagonalUp="false" diagonalDown="false">
      <left/>
      <right style="medium">
        <color rgb="FFFF0000"/>
      </right>
      <top/>
      <bottom style="medium">
        <color rgb="FFFF0000"/>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readingOrder="1"/>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9" fillId="7" borderId="4"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center" vertical="center" textRotation="0" wrapText="false" indent="0" shrinkToFit="false"/>
      <protection locked="true" hidden="false"/>
    </xf>
    <xf numFmtId="164" fontId="9" fillId="9" borderId="0" xfId="0" applyFont="true" applyBorder="false" applyAlignment="true" applyProtection="false">
      <alignment horizontal="center" vertical="center" textRotation="0" wrapText="false" indent="0" shrinkToFit="false"/>
      <protection locked="true" hidden="false"/>
    </xf>
    <xf numFmtId="164" fontId="10" fillId="10" borderId="0" xfId="0" applyFont="true" applyBorder="false" applyAlignment="true" applyProtection="false">
      <alignment horizontal="center" vertical="center" textRotation="0" wrapText="false" indent="0" shrinkToFit="false"/>
      <protection locked="true" hidden="false"/>
    </xf>
    <xf numFmtId="164" fontId="9" fillId="11" borderId="0" xfId="0" applyFont="true" applyBorder="false" applyAlignment="true" applyProtection="false">
      <alignment horizontal="center" vertical="center" textRotation="0" wrapText="false" indent="0" shrinkToFit="false"/>
      <protection locked="true" hidden="false"/>
    </xf>
    <xf numFmtId="164" fontId="9" fillId="12" borderId="4" xfId="0" applyFont="true" applyBorder="true" applyAlignment="true" applyProtection="false">
      <alignment horizontal="center" vertical="center" textRotation="0" wrapText="false" indent="0" shrinkToFit="false"/>
      <protection locked="true" hidden="false"/>
    </xf>
    <xf numFmtId="164" fontId="9" fillId="13" borderId="4" xfId="0" applyFont="tru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5" fillId="4" borderId="6"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9" fillId="8" borderId="4" xfId="0" applyFont="true" applyBorder="true" applyAlignment="true" applyProtection="false">
      <alignment horizontal="left" vertical="center"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0" fillId="5" borderId="8"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readingOrder="1"/>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5" fontId="12" fillId="15" borderId="5" xfId="0" applyFont="true" applyBorder="true" applyAlignment="false" applyProtection="false">
      <alignment horizontal="general" vertical="bottom" textRotation="0" wrapText="false" indent="0" shrinkToFit="false"/>
      <protection locked="true" hidden="false"/>
    </xf>
    <xf numFmtId="165" fontId="12" fillId="4" borderId="5" xfId="0" applyFont="true" applyBorder="true" applyAlignment="false" applyProtection="false">
      <alignment horizontal="general" vertical="bottom" textRotation="0" wrapText="false" indent="0" shrinkToFit="false"/>
      <protection locked="true" hidden="false"/>
    </xf>
    <xf numFmtId="165" fontId="12" fillId="5" borderId="5" xfId="0" applyFont="true" applyBorder="true" applyAlignment="false" applyProtection="false">
      <alignment horizontal="general" vertical="bottom" textRotation="0" wrapText="false" indent="0" shrinkToFit="false"/>
      <protection locked="true" hidden="false"/>
    </xf>
    <xf numFmtId="165" fontId="12" fillId="16" borderId="5" xfId="0" applyFont="true" applyBorder="true" applyAlignment="true" applyProtection="false">
      <alignment horizontal="center" vertical="bottom" textRotation="0" wrapText="false" indent="0" shrinkToFit="false"/>
      <protection locked="true" hidden="false"/>
    </xf>
    <xf numFmtId="165" fontId="12" fillId="15" borderId="5" xfId="0" applyFont="true" applyBorder="true" applyAlignment="true" applyProtection="false">
      <alignment horizontal="center" vertical="bottom" textRotation="0" wrapText="false" indent="0" shrinkToFit="false"/>
      <protection locked="true" hidden="false"/>
    </xf>
    <xf numFmtId="164" fontId="0" fillId="7" borderId="9" xfId="0" applyFont="true" applyBorder="true" applyAlignment="true" applyProtection="false">
      <alignment horizontal="center" vertical="center" textRotation="0" wrapText="false" indent="0" shrinkToFit="false"/>
      <protection locked="true" hidden="false"/>
    </xf>
    <xf numFmtId="165" fontId="12" fillId="5" borderId="5" xfId="0" applyFont="true" applyBorder="true" applyAlignment="true" applyProtection="false">
      <alignment horizontal="center" vertical="center" textRotation="0" wrapText="false" indent="0" shrinkToFit="false"/>
      <protection locked="true" hidden="false"/>
    </xf>
    <xf numFmtId="165" fontId="12" fillId="15" borderId="5" xfId="0" applyFont="true" applyBorder="true" applyAlignment="true" applyProtection="false">
      <alignment horizontal="center" vertical="center" textRotation="0" wrapText="false" indent="0" shrinkToFit="false"/>
      <protection locked="true" hidden="false"/>
    </xf>
    <xf numFmtId="164" fontId="5" fillId="4" borderId="10" xfId="0" applyFont="tru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12" xfId="0" applyFont="false" applyBorder="true" applyAlignment="false" applyProtection="false">
      <alignment horizontal="general" vertical="bottom" textRotation="0" wrapText="false" indent="0" shrinkToFit="false"/>
      <protection locked="true" hidden="false"/>
    </xf>
    <xf numFmtId="164" fontId="13" fillId="5" borderId="13" xfId="0" applyFont="true" applyBorder="true" applyAlignment="true" applyProtection="false">
      <alignment horizontal="center" vertical="bottom"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14" fillId="0" borderId="15" xfId="0" applyFont="true" applyBorder="true" applyAlignment="true" applyProtection="false">
      <alignment horizontal="center" vertical="bottom" textRotation="0" wrapText="false" indent="0" shrinkToFit="false"/>
      <protection locked="true" hidden="false"/>
    </xf>
    <xf numFmtId="164" fontId="14" fillId="0" borderId="16" xfId="0" applyFont="true" applyBorder="true" applyAlignment="true" applyProtection="false">
      <alignment horizontal="center" vertical="bottom" textRotation="0" wrapText="false" indent="0" shrinkToFit="false"/>
      <protection locked="true" hidden="false"/>
    </xf>
    <xf numFmtId="164" fontId="0" fillId="3" borderId="17" xfId="0" applyFont="false" applyBorder="true" applyAlignment="false" applyProtection="false">
      <alignment horizontal="general" vertical="bottom" textRotation="0" wrapText="false" indent="0" shrinkToFit="false"/>
      <protection locked="true" hidden="false"/>
    </xf>
    <xf numFmtId="165" fontId="15" fillId="15" borderId="5" xfId="0" applyFont="true" applyBorder="true" applyAlignment="false" applyProtection="false">
      <alignment horizontal="general" vertical="bottom" textRotation="0" wrapText="false" indent="0" shrinkToFit="false"/>
      <protection locked="true" hidden="false"/>
    </xf>
    <xf numFmtId="165" fontId="15" fillId="4" borderId="4" xfId="0" applyFont="true" applyBorder="true" applyAlignment="false" applyProtection="false">
      <alignment horizontal="general" vertical="bottom" textRotation="0" wrapText="false" indent="0" shrinkToFit="false"/>
      <protection locked="true" hidden="false"/>
    </xf>
    <xf numFmtId="165" fontId="15" fillId="5" borderId="5" xfId="0" applyFont="true" applyBorder="true" applyAlignment="false" applyProtection="false">
      <alignment horizontal="general" vertical="bottom" textRotation="0" wrapText="false" indent="0" shrinkToFit="false"/>
      <protection locked="true" hidden="false"/>
    </xf>
    <xf numFmtId="165" fontId="15" fillId="16" borderId="5" xfId="0" applyFont="true" applyBorder="true" applyAlignment="true" applyProtection="false">
      <alignment horizontal="center" vertical="bottom" textRotation="0" wrapText="false" indent="0" shrinkToFit="false"/>
      <protection locked="true" hidden="false"/>
    </xf>
    <xf numFmtId="165" fontId="15" fillId="15" borderId="5" xfId="0" applyFont="true" applyBorder="true" applyAlignment="true" applyProtection="false">
      <alignment horizontal="center" vertical="bottom" textRotation="0" wrapText="false" indent="0" shrinkToFit="false"/>
      <protection locked="true" hidden="false"/>
    </xf>
    <xf numFmtId="165" fontId="15" fillId="5" borderId="5" xfId="0" applyFont="true" applyBorder="true" applyAlignment="true" applyProtection="false">
      <alignment horizontal="center" vertical="bottom" textRotation="0" wrapText="false" indent="0" shrinkToFit="false"/>
      <protection locked="true" hidden="false"/>
    </xf>
    <xf numFmtId="165" fontId="15" fillId="9" borderId="4" xfId="0" applyFont="true" applyBorder="true" applyAlignment="true" applyProtection="false">
      <alignment horizontal="center" vertical="bottom" textRotation="0" wrapText="false" indent="0" shrinkToFit="false"/>
      <protection locked="true" hidden="false"/>
    </xf>
    <xf numFmtId="164" fontId="9" fillId="2" borderId="5" xfId="0" applyFont="true" applyBorder="true" applyAlignment="false" applyProtection="false">
      <alignment horizontal="general" vertical="bottom" textRotation="0" wrapText="false" indent="0" shrinkToFit="false"/>
      <protection locked="true" hidden="false"/>
    </xf>
    <xf numFmtId="164" fontId="16" fillId="6" borderId="5" xfId="0" applyFont="true" applyBorder="true" applyAlignment="true" applyProtection="false">
      <alignment horizontal="center" vertical="bottom" textRotation="0" wrapText="false" indent="0" shrinkToFit="false"/>
      <protection locked="true" hidden="false"/>
    </xf>
    <xf numFmtId="164" fontId="17" fillId="6" borderId="5" xfId="0" applyFont="true" applyBorder="true" applyAlignment="true" applyProtection="false">
      <alignment horizontal="center" vertical="bottom" textRotation="0" wrapText="false" indent="0" shrinkToFit="false"/>
      <protection locked="true" hidden="false"/>
    </xf>
    <xf numFmtId="164" fontId="18" fillId="6" borderId="5" xfId="0" applyFont="true" applyBorder="true" applyAlignment="true" applyProtection="false">
      <alignment horizontal="center" vertical="bottom" textRotation="0" wrapText="false" indent="0" shrinkToFit="false"/>
      <protection locked="true" hidden="false"/>
    </xf>
    <xf numFmtId="164" fontId="19" fillId="7" borderId="18" xfId="0" applyFont="true" applyBorder="true" applyAlignment="true" applyProtection="false">
      <alignment horizontal="center" vertical="bottom" textRotation="0" wrapText="false" indent="0" shrinkToFit="false"/>
      <protection locked="true" hidden="false"/>
    </xf>
    <xf numFmtId="164" fontId="19" fillId="7" borderId="4" xfId="0" applyFont="true" applyBorder="true" applyAlignment="true" applyProtection="false">
      <alignment horizontal="center" vertical="bottom" textRotation="0" wrapText="false" indent="0" shrinkToFit="false"/>
      <protection locked="true" hidden="false"/>
    </xf>
    <xf numFmtId="164" fontId="19" fillId="7" borderId="5" xfId="0" applyFont="true" applyBorder="true" applyAlignment="true" applyProtection="false">
      <alignment horizontal="center" vertical="bottom" textRotation="0" wrapText="false" indent="0" shrinkToFit="false"/>
      <protection locked="true" hidden="false"/>
    </xf>
    <xf numFmtId="164" fontId="7" fillId="7" borderId="8" xfId="0" applyFont="true" applyBorder="true" applyAlignment="true" applyProtection="false">
      <alignment horizontal="center" vertical="bottom" textRotation="0" wrapText="false" indent="0" shrinkToFit="false"/>
      <protection locked="true" hidden="false"/>
    </xf>
    <xf numFmtId="164" fontId="7" fillId="7" borderId="5"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20" fillId="7" borderId="8" xfId="0" applyFont="true" applyBorder="true" applyAlignment="true" applyProtection="false">
      <alignment horizontal="left" vertical="bottom" textRotation="0" wrapText="false" indent="0" shrinkToFit="false"/>
      <protection locked="true" hidden="false"/>
    </xf>
    <xf numFmtId="164" fontId="20" fillId="7" borderId="8" xfId="0" applyFont="true" applyBorder="true" applyAlignment="true" applyProtection="false">
      <alignment horizontal="center" vertical="bottom" textRotation="0" wrapText="false" indent="0" shrinkToFit="false"/>
      <protection locked="true" hidden="false"/>
    </xf>
    <xf numFmtId="164" fontId="20" fillId="3" borderId="0" xfId="0" applyFont="true" applyBorder="false" applyAlignment="true" applyProtection="false">
      <alignment horizontal="center" vertical="bottom" textRotation="0" wrapText="false" indent="0" shrinkToFit="false"/>
      <protection locked="true" hidden="false"/>
    </xf>
    <xf numFmtId="164" fontId="14" fillId="0" borderId="19"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4" fontId="14" fillId="0" borderId="21" xfId="0" applyFont="true" applyBorder="true" applyAlignment="true" applyProtection="false">
      <alignment horizontal="center" vertical="bottom" textRotation="0" wrapText="false" indent="0" shrinkToFit="false"/>
      <protection locked="true" hidden="false"/>
    </xf>
    <xf numFmtId="164" fontId="0" fillId="3" borderId="22" xfId="0" applyFont="false" applyBorder="true" applyAlignment="false" applyProtection="false">
      <alignment horizontal="general" vertical="bottom" textRotation="0" wrapText="false" indent="0" shrinkToFit="false"/>
      <protection locked="true" hidden="false"/>
    </xf>
    <xf numFmtId="165" fontId="15" fillId="15" borderId="23" xfId="0" applyFont="true" applyBorder="true" applyAlignment="false" applyProtection="false">
      <alignment horizontal="general" vertical="bottom" textRotation="0" wrapText="false" indent="0" shrinkToFit="false"/>
      <protection locked="true" hidden="false"/>
    </xf>
    <xf numFmtId="165" fontId="0" fillId="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right" vertical="bottom" textRotation="0" wrapText="false" indent="0" shrinkToFit="false"/>
      <protection locked="true" hidden="false"/>
    </xf>
    <xf numFmtId="164" fontId="21" fillId="0" borderId="5" xfId="0" applyFont="true" applyBorder="true" applyAlignment="true" applyProtection="false">
      <alignment horizontal="center" vertical="bottom" textRotation="0" wrapText="false" indent="0" shrinkToFit="false"/>
      <protection locked="true" hidden="false"/>
    </xf>
    <xf numFmtId="165" fontId="12" fillId="0" borderId="5" xfId="0" applyFont="true" applyBorder="true" applyAlignment="false" applyProtection="false">
      <alignment horizontal="general" vertical="bottom" textRotation="0" wrapText="false" indent="0" shrinkToFit="false"/>
      <protection locked="true" hidden="false"/>
    </xf>
    <xf numFmtId="165" fontId="12" fillId="0" borderId="23" xfId="0" applyFont="true" applyBorder="true" applyAlignment="false" applyProtection="false">
      <alignment horizontal="general" vertical="bottom" textRotation="0" wrapText="false" indent="0" shrinkToFit="false"/>
      <protection locked="true" hidden="false"/>
    </xf>
    <xf numFmtId="165" fontId="12" fillId="0" borderId="9" xfId="0" applyFont="true" applyBorder="true" applyAlignment="false" applyProtection="false">
      <alignment horizontal="general" vertical="bottom" textRotation="0" wrapText="false" indent="0" shrinkToFit="false"/>
      <protection locked="true" hidden="false"/>
    </xf>
    <xf numFmtId="164" fontId="12" fillId="16" borderId="5" xfId="0" applyFont="true" applyBorder="true" applyAlignment="false" applyProtection="false">
      <alignment horizontal="general" vertical="bottom" textRotation="0" wrapText="false" indent="0" shrinkToFit="false"/>
      <protection locked="true" hidden="false"/>
    </xf>
    <xf numFmtId="164" fontId="14" fillId="0" borderId="24" xfId="0" applyFont="true" applyBorder="true" applyAlignment="true" applyProtection="false">
      <alignment horizontal="center" vertical="bottom" textRotation="0" wrapText="false" indent="0" shrinkToFit="false"/>
      <protection locked="true" hidden="false"/>
    </xf>
    <xf numFmtId="164" fontId="14" fillId="0" borderId="25" xfId="0" applyFont="true" applyBorder="true" applyAlignment="true" applyProtection="false">
      <alignment horizontal="center" vertical="bottom" textRotation="0" wrapText="false" indent="0" shrinkToFit="false"/>
      <protection locked="true" hidden="false"/>
    </xf>
    <xf numFmtId="164" fontId="14" fillId="0" borderId="26" xfId="0" applyFont="true" applyBorder="true" applyAlignment="true" applyProtection="false">
      <alignment horizontal="center" vertical="bottom" textRotation="0" wrapText="false" indent="0" shrinkToFit="false"/>
      <protection locked="true" hidden="false"/>
    </xf>
    <xf numFmtId="164" fontId="0" fillId="3" borderId="27" xfId="0" applyFont="false" applyBorder="true" applyAlignment="false" applyProtection="false">
      <alignment horizontal="general" vertical="bottom" textRotation="0" wrapText="false" indent="0" shrinkToFit="false"/>
      <protection locked="true" hidden="false"/>
    </xf>
    <xf numFmtId="164" fontId="0" fillId="17" borderId="5" xfId="0" applyFont="true" applyBorder="true" applyAlignment="true" applyProtection="false">
      <alignment horizontal="center" vertical="bottom" textRotation="0" wrapText="false" indent="0" shrinkToFit="false"/>
      <protection locked="true" hidden="false"/>
    </xf>
    <xf numFmtId="164" fontId="22" fillId="15" borderId="5" xfId="0" applyFont="true" applyBorder="true" applyAlignment="false" applyProtection="false">
      <alignment horizontal="general" vertical="bottom" textRotation="0" wrapText="false" indent="0" shrinkToFit="false"/>
      <protection locked="true" hidden="false"/>
    </xf>
    <xf numFmtId="164" fontId="8" fillId="18" borderId="5" xfId="0" applyFont="true" applyBorder="true" applyAlignment="false" applyProtection="false">
      <alignment horizontal="general" vertical="bottom" textRotation="0" wrapText="false" indent="0" shrinkToFit="false"/>
      <protection locked="true" hidden="false"/>
    </xf>
    <xf numFmtId="164" fontId="9" fillId="13" borderId="5"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5" fontId="12" fillId="3" borderId="5"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0" fillId="13" borderId="5"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5" fontId="15" fillId="4" borderId="8" xfId="0" applyFont="true" applyBorder="true" applyAlignment="false" applyProtection="false">
      <alignment horizontal="general" vertical="bottom" textRotation="0" wrapText="false" indent="0" shrinkToFit="false"/>
      <protection locked="true" hidden="false"/>
    </xf>
    <xf numFmtId="164" fontId="15" fillId="9" borderId="8"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3" borderId="23" xfId="0" applyFont="true" applyBorder="true" applyAlignment="true" applyProtection="false">
      <alignment horizontal="left" vertical="bottom" textRotation="0" wrapText="false" indent="0" shrinkToFit="false"/>
      <protection locked="true" hidden="false"/>
    </xf>
    <xf numFmtId="165" fontId="12" fillId="0" borderId="8" xfId="0" applyFont="true" applyBorder="true" applyAlignment="false" applyProtection="false">
      <alignment horizontal="general" vertical="bottom" textRotation="0" wrapText="false" indent="0" shrinkToFit="false"/>
      <protection locked="true" hidden="false"/>
    </xf>
    <xf numFmtId="164" fontId="0" fillId="13" borderId="23" xfId="0" applyFont="true" applyBorder="true" applyAlignment="false" applyProtection="false">
      <alignment horizontal="general" vertical="bottom" textRotation="0" wrapText="false" indent="0" shrinkToFit="false"/>
      <protection locked="true" hidden="false"/>
    </xf>
    <xf numFmtId="164" fontId="14" fillId="0" borderId="22"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0" fillId="0" borderId="9" xfId="0" applyFont="false" applyBorder="true" applyAlignment="true" applyProtection="false">
      <alignment horizontal="right" vertical="bottom" textRotation="0" wrapText="false" indent="0" shrinkToFit="false"/>
      <protection locked="true" hidden="false"/>
    </xf>
    <xf numFmtId="164" fontId="15" fillId="4" borderId="5" xfId="0" applyFont="true" applyBorder="true" applyAlignment="false" applyProtection="false">
      <alignment horizontal="general" vertical="bottom" textRotation="0" wrapText="false" indent="0" shrinkToFit="false"/>
      <protection locked="true" hidden="false"/>
    </xf>
    <xf numFmtId="164" fontId="15" fillId="16" borderId="5" xfId="0" applyFont="true" applyBorder="true" applyAlignment="false" applyProtection="false">
      <alignment horizontal="general" vertical="bottom" textRotation="0" wrapText="false" indent="0" shrinkToFit="false"/>
      <protection locked="true" hidden="false"/>
    </xf>
    <xf numFmtId="164" fontId="15" fillId="9" borderId="5"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4" fillId="0" borderId="28" xfId="0" applyFont="true" applyBorder="true" applyAlignment="true" applyProtection="false">
      <alignment horizontal="center" vertical="bottom" textRotation="0" wrapText="false" indent="0" shrinkToFit="false"/>
      <protection locked="true" hidden="false"/>
    </xf>
    <xf numFmtId="164" fontId="14" fillId="0" borderId="29" xfId="0" applyFont="true" applyBorder="true" applyAlignment="true" applyProtection="false">
      <alignment horizontal="center" vertical="bottom" textRotation="0" wrapText="false" indent="0" shrinkToFit="false"/>
      <protection locked="true" hidden="false"/>
    </xf>
    <xf numFmtId="164" fontId="14" fillId="0" borderId="30" xfId="0" applyFont="true" applyBorder="true" applyAlignment="true" applyProtection="false">
      <alignment horizontal="center" vertical="bottom" textRotation="0" wrapText="false" indent="0" shrinkToFit="false"/>
      <protection locked="true" hidden="false"/>
    </xf>
    <xf numFmtId="164" fontId="14" fillId="0" borderId="3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5" fillId="0" borderId="5" xfId="0" applyFont="true" applyBorder="true" applyAlignment="true" applyProtection="false">
      <alignment horizontal="right"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27" fillId="7" borderId="5" xfId="0" applyFont="true" applyBorder="true" applyAlignment="false" applyProtection="false">
      <alignment horizontal="general" vertical="bottom" textRotation="0" wrapText="false" indent="0" shrinkToFit="false"/>
      <protection locked="true" hidden="false"/>
    </xf>
    <xf numFmtId="164" fontId="0" fillId="7" borderId="32"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12" fillId="0" borderId="4" xfId="0" applyFont="true" applyBorder="true" applyAlignment="false" applyProtection="false">
      <alignment horizontal="general" vertical="bottom" textRotation="0" wrapText="false" indent="0" shrinkToFit="false"/>
      <protection locked="true" hidden="false"/>
    </xf>
    <xf numFmtId="165" fontId="12" fillId="5" borderId="5" xfId="0" applyFont="true" applyBorder="true" applyAlignment="true" applyProtection="false">
      <alignment horizontal="center" vertical="bottom" textRotation="0" wrapText="false" indent="0" shrinkToFit="false"/>
      <protection locked="true" hidden="false"/>
    </xf>
    <xf numFmtId="164" fontId="0" fillId="7" borderId="9" xfId="0" applyFont="true" applyBorder="true" applyAlignment="true" applyProtection="false">
      <alignment horizontal="center" vertical="bottom" textRotation="0" wrapText="false" indent="0" shrinkToFit="false"/>
      <protection locked="true" hidden="false"/>
    </xf>
    <xf numFmtId="165" fontId="29" fillId="0" borderId="5"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center" vertical="bottom" textRotation="0" wrapText="false" indent="0" shrinkToFit="false"/>
      <protection locked="true" hidden="false"/>
    </xf>
    <xf numFmtId="164" fontId="13" fillId="3"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9" fillId="18" borderId="5" xfId="0" applyFont="true" applyBorder="true" applyAlignment="false" applyProtection="false">
      <alignment horizontal="general" vertical="bottom" textRotation="0" wrapText="false" indent="0" shrinkToFit="false"/>
      <protection locked="true" hidden="false"/>
    </xf>
    <xf numFmtId="165" fontId="0" fillId="19" borderId="5" xfId="0" applyFont="false" applyBorder="tru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readingOrder="1"/>
      <protection locked="true" hidden="false"/>
    </xf>
    <xf numFmtId="164" fontId="0" fillId="15" borderId="0" xfId="0" applyFont="false" applyBorder="false" applyAlignment="true" applyProtection="false">
      <alignment horizontal="right" vertical="bottom" textRotation="0" wrapText="false" indent="0" shrinkToFit="false"/>
      <protection locked="true" hidden="false"/>
    </xf>
    <xf numFmtId="164" fontId="0" fillId="9" borderId="5" xfId="0" applyFont="false" applyBorder="true" applyAlignment="false" applyProtection="false">
      <alignment horizontal="general" vertical="bottom" textRotation="0" wrapText="false" indent="0" shrinkToFit="false"/>
      <protection locked="true" hidden="false"/>
    </xf>
    <xf numFmtId="166" fontId="6" fillId="3" borderId="0" xfId="0" applyFont="true" applyBorder="false" applyAlignment="true" applyProtection="false">
      <alignment horizontal="center"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9" fillId="15" borderId="5" xfId="0" applyFont="true" applyBorder="true" applyAlignment="false" applyProtection="false">
      <alignment horizontal="general"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4" fontId="22" fillId="3" borderId="5" xfId="0" applyFont="true" applyBorder="true" applyAlignment="false" applyProtection="false">
      <alignment horizontal="general" vertical="bottom" textRotation="0" wrapText="false" indent="0" shrinkToFit="false"/>
      <protection locked="true" hidden="false"/>
    </xf>
    <xf numFmtId="164" fontId="0" fillId="20" borderId="5" xfId="0" applyFont="true" applyBorder="true" applyAlignment="true" applyProtection="false">
      <alignment horizontal="center" vertical="bottom" textRotation="0" wrapText="false" indent="0" shrinkToFit="false"/>
      <protection locked="true" hidden="false"/>
    </xf>
    <xf numFmtId="164" fontId="0" fillId="21" borderId="5"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left" vertical="center" textRotation="0" wrapText="false" indent="0" shrinkToFit="false" readingOrder="1"/>
      <protection locked="true" hidden="false"/>
    </xf>
    <xf numFmtId="164" fontId="0" fillId="9" borderId="5" xfId="0" applyFont="true" applyBorder="true" applyAlignment="true" applyProtection="false">
      <alignment horizontal="left" vertical="bottom" textRotation="0" wrapText="false" indent="0" shrinkToFit="false"/>
      <protection locked="true" hidden="false"/>
    </xf>
    <xf numFmtId="165" fontId="12" fillId="9" borderId="5" xfId="0" applyFont="true" applyBorder="true" applyAlignment="true" applyProtection="false">
      <alignment horizontal="left" vertical="bottom" textRotation="0" wrapText="false" indent="0" shrinkToFit="false"/>
      <protection locked="true" hidden="false"/>
    </xf>
    <xf numFmtId="164" fontId="0" fillId="20" borderId="5" xfId="0" applyFont="true" applyBorder="true" applyAlignment="false" applyProtection="false">
      <alignment horizontal="general" vertical="bottom" textRotation="0" wrapText="false" indent="0" shrinkToFit="false"/>
      <protection locked="true" hidden="false"/>
    </xf>
    <xf numFmtId="165" fontId="0" fillId="22" borderId="5" xfId="0" applyFont="false" applyBorder="true" applyAlignment="false" applyProtection="false">
      <alignment horizontal="general" vertical="bottom" textRotation="0" wrapText="false" indent="0" shrinkToFit="false"/>
      <protection locked="true" hidden="false"/>
    </xf>
    <xf numFmtId="165" fontId="12" fillId="22" borderId="5" xfId="0" applyFont="true" applyBorder="true" applyAlignment="false" applyProtection="false">
      <alignment horizontal="general" vertical="bottom" textRotation="0" wrapText="false" indent="0" shrinkToFit="false"/>
      <protection locked="true" hidden="false"/>
    </xf>
    <xf numFmtId="164" fontId="0" fillId="8" borderId="18" xfId="0" applyFont="true" applyBorder="true" applyAlignment="false" applyProtection="false">
      <alignment horizontal="general" vertical="bottom" textRotation="0" wrapText="false" indent="0" shrinkToFit="false"/>
      <protection locked="true" hidden="false"/>
    </xf>
    <xf numFmtId="165" fontId="12" fillId="0" borderId="18" xfId="0" applyFont="true" applyBorder="true" applyAlignment="false" applyProtection="false">
      <alignment horizontal="general" vertical="bottom" textRotation="0" wrapText="false" indent="0" shrinkToFit="false"/>
      <protection locked="true" hidden="false"/>
    </xf>
    <xf numFmtId="164" fontId="33" fillId="0" borderId="5" xfId="0" applyFont="true" applyBorder="true" applyAlignment="true" applyProtection="false">
      <alignment horizontal="right" vertical="bottom" textRotation="0" wrapText="false" indent="0" shrinkToFit="false"/>
      <protection locked="true" hidden="false"/>
    </xf>
    <xf numFmtId="164" fontId="34" fillId="0" borderId="5" xfId="0" applyFont="true" applyBorder="true" applyAlignment="true" applyProtection="false">
      <alignment horizontal="right" vertical="bottom" textRotation="0" wrapText="false" indent="0" shrinkToFit="false"/>
      <protection locked="true" hidden="false"/>
    </xf>
    <xf numFmtId="164" fontId="9" fillId="7" borderId="5" xfId="0" applyFont="true" applyBorder="true" applyAlignment="true" applyProtection="false">
      <alignment horizontal="center" vertical="center" textRotation="0" wrapText="false" indent="0" shrinkToFit="false"/>
      <protection locked="true" hidden="false"/>
    </xf>
    <xf numFmtId="164" fontId="9" fillId="13" borderId="5" xfId="0" applyFont="true" applyBorder="true" applyAlignment="true" applyProtection="false">
      <alignment horizontal="center" vertical="center" textRotation="0" wrapText="false" indent="0" shrinkToFit="false"/>
      <protection locked="true" hidden="false"/>
    </xf>
    <xf numFmtId="164" fontId="35" fillId="0" borderId="5" xfId="0" applyFont="true" applyBorder="true" applyAlignment="true" applyProtection="false">
      <alignment horizontal="right" vertical="bottom" textRotation="0" wrapText="false" indent="0" shrinkToFit="false"/>
      <protection locked="true" hidden="false"/>
    </xf>
    <xf numFmtId="164" fontId="0" fillId="23" borderId="5" xfId="0" applyFont="tru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right" vertical="bottom" textRotation="0" wrapText="false" indent="0" shrinkToFit="false"/>
      <protection locked="true" hidden="false"/>
    </xf>
    <xf numFmtId="164" fontId="0" fillId="0" borderId="18" xfId="0" applyFont="false" applyBorder="true" applyAlignment="true" applyProtection="false">
      <alignment horizontal="right" vertical="bottom" textRotation="0" wrapText="false" indent="0" shrinkToFit="false"/>
      <protection locked="true" hidden="false"/>
    </xf>
    <xf numFmtId="166" fontId="34" fillId="0" borderId="5" xfId="0" applyFont="true" applyBorder="true" applyAlignment="true" applyProtection="false">
      <alignment horizontal="center" vertical="bottom" textRotation="0" wrapText="false" indent="0" shrinkToFit="false"/>
      <protection locked="true" hidden="false"/>
    </xf>
    <xf numFmtId="164" fontId="0" fillId="4" borderId="5" xfId="0" applyFont="fals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readingOrder="1"/>
      <protection locked="true" hidden="false"/>
    </xf>
    <xf numFmtId="164" fontId="0" fillId="24" borderId="5"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5" fontId="0" fillId="22"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18" borderId="5"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5" fontId="12" fillId="25" borderId="8" xfId="0" applyFont="true" applyBorder="true" applyAlignment="false" applyProtection="false">
      <alignment horizontal="general" vertical="bottom" textRotation="0" wrapText="false" indent="0" shrinkToFit="false"/>
      <protection locked="true" hidden="false"/>
    </xf>
    <xf numFmtId="164" fontId="0" fillId="25" borderId="5" xfId="0" applyFont="false" applyBorder="true" applyAlignment="false" applyProtection="false">
      <alignment horizontal="general" vertical="bottom" textRotation="0" wrapText="false" indent="0" shrinkToFit="false"/>
      <protection locked="true" hidden="false"/>
    </xf>
    <xf numFmtId="164" fontId="12" fillId="3" borderId="5" xfId="0" applyFont="true" applyBorder="tru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26" borderId="5" xfId="0" applyFont="true" applyBorder="true" applyAlignment="false" applyProtection="false">
      <alignment horizontal="general" vertical="bottom" textRotation="0" wrapText="false" indent="0" shrinkToFit="false"/>
      <protection locked="true" hidden="false"/>
    </xf>
    <xf numFmtId="166" fontId="0" fillId="26"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5" fontId="0" fillId="15" borderId="5"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0" fillId="16" borderId="34" xfId="0" applyFont="true" applyBorder="true" applyAlignment="true" applyProtection="false">
      <alignment horizontal="left" vertical="bottom" textRotation="0" wrapText="false" indent="0" shrinkToFit="false"/>
      <protection locked="true" hidden="false"/>
    </xf>
    <xf numFmtId="164" fontId="40" fillId="16" borderId="35" xfId="0" applyFont="true" applyBorder="true" applyAlignment="true" applyProtection="false">
      <alignment horizontal="left" vertical="bottom" textRotation="0" wrapText="false" indent="0" shrinkToFit="false"/>
      <protection locked="true" hidden="false"/>
    </xf>
    <xf numFmtId="164" fontId="40" fillId="16" borderId="36" xfId="0" applyFont="true" applyBorder="true" applyAlignment="true" applyProtection="false">
      <alignment horizontal="left" vertical="bottom" textRotation="0" wrapText="false" indent="0" shrinkToFit="false"/>
      <protection locked="true" hidden="false"/>
    </xf>
    <xf numFmtId="164" fontId="40" fillId="27" borderId="34" xfId="0" applyFont="true" applyBorder="true" applyAlignment="true" applyProtection="false">
      <alignment horizontal="left" vertical="bottom" textRotation="0" wrapText="false" indent="0" shrinkToFit="false"/>
      <protection locked="true" hidden="false"/>
    </xf>
    <xf numFmtId="164" fontId="40" fillId="27" borderId="35" xfId="0" applyFont="true" applyBorder="true" applyAlignment="true" applyProtection="false">
      <alignment horizontal="left" vertical="bottom" textRotation="0" wrapText="false" indent="0" shrinkToFit="false"/>
      <protection locked="true" hidden="false"/>
    </xf>
    <xf numFmtId="164" fontId="40" fillId="27" borderId="36" xfId="0" applyFont="true" applyBorder="true" applyAlignment="true" applyProtection="false">
      <alignment horizontal="left" vertical="bottom" textRotation="0" wrapText="false" indent="0" shrinkToFit="false"/>
      <protection locked="true" hidden="false"/>
    </xf>
    <xf numFmtId="164" fontId="40" fillId="24" borderId="35" xfId="0" applyFont="true" applyBorder="true" applyAlignment="true" applyProtection="false">
      <alignment horizontal="left" vertical="bottom" textRotation="0" wrapText="false" indent="0" shrinkToFit="false"/>
      <protection locked="true" hidden="false"/>
    </xf>
    <xf numFmtId="164" fontId="40" fillId="24" borderId="36" xfId="0" applyFont="true" applyBorder="true" applyAlignment="true" applyProtection="false">
      <alignment horizontal="left" vertical="bottom" textRotation="0" wrapText="false" indent="0" shrinkToFit="false"/>
      <protection locked="true" hidden="false"/>
    </xf>
    <xf numFmtId="164" fontId="40" fillId="12" borderId="23" xfId="0" applyFont="true" applyBorder="true" applyAlignment="false" applyProtection="false">
      <alignment horizontal="general" vertical="bottom" textRotation="0" wrapText="false" indent="0" shrinkToFit="false"/>
      <protection locked="true" hidden="false"/>
    </xf>
    <xf numFmtId="164" fontId="0" fillId="12" borderId="37" xfId="0" applyFont="false" applyBorder="true" applyAlignment="false" applyProtection="false">
      <alignment horizontal="general" vertical="bottom" textRotation="0" wrapText="false" indent="0" shrinkToFit="false"/>
      <protection locked="true" hidden="false"/>
    </xf>
    <xf numFmtId="164" fontId="0" fillId="12" borderId="9" xfId="0" applyFont="false" applyBorder="true" applyAlignment="false" applyProtection="false">
      <alignment horizontal="general" vertical="bottom" textRotation="0" wrapText="false" indent="0" shrinkToFit="false"/>
      <protection locked="true" hidden="false"/>
    </xf>
    <xf numFmtId="164" fontId="40" fillId="28" borderId="23" xfId="0" applyFont="true" applyBorder="true" applyAlignment="false" applyProtection="false">
      <alignment horizontal="general" vertical="bottom" textRotation="0" wrapText="false" indent="0" shrinkToFit="false"/>
      <protection locked="true" hidden="false"/>
    </xf>
    <xf numFmtId="164" fontId="40" fillId="28" borderId="35" xfId="0" applyFont="true" applyBorder="true" applyAlignment="false" applyProtection="false">
      <alignment horizontal="general" vertical="bottom" textRotation="0" wrapText="false" indent="0" shrinkToFit="false"/>
      <protection locked="true" hidden="false"/>
    </xf>
    <xf numFmtId="164" fontId="40" fillId="28" borderId="0" xfId="0" applyFont="true" applyBorder="false" applyAlignment="false" applyProtection="false">
      <alignment horizontal="general" vertical="bottom" textRotation="0" wrapText="false" indent="0" shrinkToFit="false"/>
      <protection locked="true" hidden="false"/>
    </xf>
    <xf numFmtId="164" fontId="40" fillId="28" borderId="36" xfId="0" applyFont="true" applyBorder="true" applyAlignment="false" applyProtection="false">
      <alignment horizontal="general" vertical="bottom" textRotation="0" wrapText="false" indent="0" shrinkToFit="false"/>
      <protection locked="true" hidden="false"/>
    </xf>
    <xf numFmtId="164" fontId="40" fillId="19" borderId="34" xfId="0" applyFont="true" applyBorder="true" applyAlignment="true" applyProtection="false">
      <alignment horizontal="left" vertical="bottom" textRotation="0" wrapText="false" indent="0" shrinkToFit="false"/>
      <protection locked="true" hidden="false"/>
    </xf>
    <xf numFmtId="164" fontId="40" fillId="19" borderId="35" xfId="0" applyFont="true" applyBorder="true" applyAlignment="true" applyProtection="false">
      <alignment horizontal="left" vertical="bottom" textRotation="0" wrapText="false" indent="0" shrinkToFit="false"/>
      <protection locked="true" hidden="false"/>
    </xf>
    <xf numFmtId="164" fontId="40" fillId="19" borderId="36" xfId="0" applyFont="true" applyBorder="true" applyAlignment="true" applyProtection="false">
      <alignment horizontal="left" vertical="bottom" textRotation="0" wrapText="false" indent="0" shrinkToFit="false"/>
      <protection locked="true" hidden="false"/>
    </xf>
    <xf numFmtId="164" fontId="41" fillId="18"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40" fillId="9" borderId="34" xfId="0" applyFont="true" applyBorder="true" applyAlignment="false" applyProtection="false">
      <alignment horizontal="general" vertical="bottom" textRotation="0" wrapText="false" indent="0" shrinkToFit="false"/>
      <protection locked="true" hidden="false"/>
    </xf>
    <xf numFmtId="164" fontId="0" fillId="9" borderId="35" xfId="0" applyFont="false" applyBorder="true" applyAlignment="false" applyProtection="false">
      <alignment horizontal="general" vertical="bottom" textRotation="0" wrapText="false" indent="0" shrinkToFit="false"/>
      <protection locked="true" hidden="false"/>
    </xf>
    <xf numFmtId="164" fontId="0" fillId="9" borderId="36" xfId="0" applyFont="false" applyBorder="true" applyAlignment="false" applyProtection="false">
      <alignment horizontal="general" vertical="bottom" textRotation="0" wrapText="false" indent="0" shrinkToFit="false"/>
      <protection locked="true" hidden="false"/>
    </xf>
    <xf numFmtId="164" fontId="40" fillId="29" borderId="34" xfId="0" applyFont="true" applyBorder="true" applyAlignment="false" applyProtection="false">
      <alignment horizontal="general" vertical="bottom" textRotation="0" wrapText="false" indent="0" shrinkToFit="false"/>
      <protection locked="true" hidden="false"/>
    </xf>
    <xf numFmtId="164" fontId="40" fillId="29" borderId="35" xfId="0" applyFont="true" applyBorder="true" applyAlignment="false" applyProtection="false">
      <alignment horizontal="general" vertical="bottom" textRotation="0" wrapText="false" indent="0" shrinkToFit="false"/>
      <protection locked="true" hidden="false"/>
    </xf>
    <xf numFmtId="164" fontId="0" fillId="29" borderId="37" xfId="0" applyFont="false" applyBorder="true" applyAlignment="false" applyProtection="false">
      <alignment horizontal="general" vertical="bottom" textRotation="0" wrapText="false" indent="0" shrinkToFit="false"/>
      <protection locked="true" hidden="false"/>
    </xf>
    <xf numFmtId="164" fontId="0" fillId="29" borderId="9" xfId="0" applyFont="false" applyBorder="true" applyAlignment="false" applyProtection="false">
      <alignment horizontal="general" vertical="bottom" textRotation="0" wrapText="false" indent="0" shrinkToFit="false"/>
      <protection locked="true" hidden="false"/>
    </xf>
    <xf numFmtId="164" fontId="40" fillId="2" borderId="34" xfId="0" applyFont="true" applyBorder="true" applyAlignment="false" applyProtection="false">
      <alignment horizontal="general" vertical="bottom" textRotation="0" wrapText="false" indent="0" shrinkToFit="false"/>
      <protection locked="true" hidden="false"/>
    </xf>
    <xf numFmtId="164" fontId="40" fillId="2" borderId="35" xfId="0" applyFont="true" applyBorder="true" applyAlignment="false" applyProtection="false">
      <alignment horizontal="general" vertical="bottom" textRotation="0" wrapText="false" indent="0" shrinkToFit="false"/>
      <protection locked="true" hidden="false"/>
    </xf>
    <xf numFmtId="164" fontId="0" fillId="2" borderId="35" xfId="0" applyFont="false" applyBorder="true" applyAlignment="false" applyProtection="false">
      <alignment horizontal="general" vertical="bottom" textRotation="0" wrapText="false" indent="0" shrinkToFit="false"/>
      <protection locked="true" hidden="false"/>
    </xf>
    <xf numFmtId="164" fontId="0" fillId="2" borderId="36" xfId="0" applyFont="false" applyBorder="true" applyAlignment="false" applyProtection="false">
      <alignment horizontal="general" vertical="bottom" textRotation="0" wrapText="false" indent="0" shrinkToFit="false"/>
      <protection locked="true" hidden="false"/>
    </xf>
    <xf numFmtId="164" fontId="0" fillId="7" borderId="35" xfId="0" applyFont="false" applyBorder="true" applyAlignment="false" applyProtection="false">
      <alignment horizontal="general" vertical="bottom" textRotation="0" wrapText="false" indent="0" shrinkToFit="false"/>
      <protection locked="true" hidden="false"/>
    </xf>
    <xf numFmtId="164" fontId="40" fillId="30" borderId="34" xfId="0" applyFont="true" applyBorder="true" applyAlignment="false" applyProtection="false">
      <alignment horizontal="general" vertical="bottom" textRotation="0" wrapText="false" indent="0" shrinkToFit="false"/>
      <protection locked="true" hidden="false"/>
    </xf>
    <xf numFmtId="164" fontId="0" fillId="30" borderId="35" xfId="0" applyFont="false" applyBorder="true" applyAlignment="false" applyProtection="false">
      <alignment horizontal="general" vertical="bottom" textRotation="0" wrapText="false" indent="0" shrinkToFit="false"/>
      <protection locked="true" hidden="false"/>
    </xf>
    <xf numFmtId="164" fontId="41" fillId="20" borderId="34" xfId="0" applyFont="true" applyBorder="true" applyAlignment="false" applyProtection="false">
      <alignment horizontal="general" vertical="bottom" textRotation="0" wrapText="false" indent="0" shrinkToFit="false"/>
      <protection locked="true" hidden="false"/>
    </xf>
    <xf numFmtId="164" fontId="12" fillId="20" borderId="35" xfId="0" applyFont="true" applyBorder="true" applyAlignment="false" applyProtection="false">
      <alignment horizontal="general" vertical="bottom" textRotation="0" wrapText="false" indent="0" shrinkToFit="false"/>
      <protection locked="true" hidden="false"/>
    </xf>
    <xf numFmtId="164" fontId="12" fillId="20" borderId="36" xfId="0" applyFont="true" applyBorder="true" applyAlignment="false" applyProtection="false">
      <alignment horizontal="general" vertical="bottom" textRotation="0" wrapText="false" indent="0" shrinkToFit="false"/>
      <protection locked="true" hidden="false"/>
    </xf>
    <xf numFmtId="164" fontId="41" fillId="20" borderId="35" xfId="0" applyFont="true" applyBorder="true" applyAlignment="false" applyProtection="false">
      <alignment horizontal="general" vertical="bottom" textRotation="0" wrapText="false" indent="0" shrinkToFit="false"/>
      <protection locked="true" hidden="false"/>
    </xf>
    <xf numFmtId="164" fontId="40" fillId="9" borderId="35" xfId="0" applyFont="true" applyBorder="true" applyAlignment="false" applyProtection="false">
      <alignment horizontal="general" vertical="bottom" textRotation="0" wrapText="false" indent="0" shrinkToFit="false"/>
      <protection locked="true" hidden="false"/>
    </xf>
    <xf numFmtId="164" fontId="40" fillId="16" borderId="38" xfId="0" applyFont="true" applyBorder="true" applyAlignment="true" applyProtection="false">
      <alignment horizontal="left" vertical="bottom" textRotation="0" wrapText="false" indent="0" shrinkToFit="false"/>
      <protection locked="true" hidden="false"/>
    </xf>
    <xf numFmtId="164" fontId="40" fillId="16" borderId="0" xfId="0" applyFont="true" applyBorder="false" applyAlignment="true" applyProtection="false">
      <alignment horizontal="left" vertical="bottom" textRotation="0" wrapText="false" indent="0" shrinkToFit="false"/>
      <protection locked="true" hidden="false"/>
    </xf>
    <xf numFmtId="164" fontId="40" fillId="16" borderId="39" xfId="0" applyFont="true" applyBorder="true" applyAlignment="true" applyProtection="false">
      <alignment horizontal="left" vertical="bottom" textRotation="0" wrapText="false" indent="0" shrinkToFit="false"/>
      <protection locked="true" hidden="false"/>
    </xf>
    <xf numFmtId="164" fontId="40" fillId="16" borderId="40" xfId="0" applyFont="true" applyBorder="true" applyAlignment="true" applyProtection="false">
      <alignment horizontal="left" vertical="bottom" textRotation="0" wrapText="false" indent="0" shrinkToFit="false"/>
      <protection locked="true" hidden="false"/>
    </xf>
    <xf numFmtId="164" fontId="40" fillId="27" borderId="38" xfId="0" applyFont="true" applyBorder="true" applyAlignment="true" applyProtection="false">
      <alignment horizontal="left" vertical="bottom" textRotation="0" wrapText="false" indent="0" shrinkToFit="false"/>
      <protection locked="true" hidden="false"/>
    </xf>
    <xf numFmtId="164" fontId="40" fillId="27" borderId="39" xfId="0" applyFont="true" applyBorder="true" applyAlignment="true" applyProtection="false">
      <alignment horizontal="left" vertical="bottom" textRotation="0" wrapText="false" indent="0" shrinkToFit="false"/>
      <protection locked="true" hidden="false"/>
    </xf>
    <xf numFmtId="164" fontId="40" fillId="27" borderId="40" xfId="0" applyFont="true" applyBorder="true" applyAlignment="true" applyProtection="false">
      <alignment horizontal="left" vertical="bottom" textRotation="0" wrapText="false" indent="0" shrinkToFit="false"/>
      <protection locked="true" hidden="false"/>
    </xf>
    <xf numFmtId="164" fontId="40" fillId="24" borderId="39" xfId="0" applyFont="true" applyBorder="true" applyAlignment="true" applyProtection="false">
      <alignment horizontal="left" vertical="bottom" textRotation="0" wrapText="false" indent="0" shrinkToFit="false"/>
      <protection locked="true" hidden="false"/>
    </xf>
    <xf numFmtId="164" fontId="0" fillId="24" borderId="39" xfId="0" applyFont="true" applyBorder="true" applyAlignment="true" applyProtection="false">
      <alignment horizontal="left" vertical="bottom" textRotation="0" wrapText="false" indent="0" shrinkToFit="false"/>
      <protection locked="true" hidden="false"/>
    </xf>
    <xf numFmtId="164" fontId="40" fillId="24" borderId="40" xfId="0" applyFont="true" applyBorder="true" applyAlignment="true" applyProtection="false">
      <alignment horizontal="left" vertical="bottom" textRotation="0" wrapText="false" indent="0" shrinkToFit="false"/>
      <protection locked="true" hidden="false"/>
    </xf>
    <xf numFmtId="164" fontId="42" fillId="12" borderId="8" xfId="0" applyFont="true" applyBorder="true" applyAlignment="false" applyProtection="false">
      <alignment horizontal="general" vertical="bottom" textRotation="0" wrapText="false" indent="0" shrinkToFit="false"/>
      <protection locked="true" hidden="false"/>
    </xf>
    <xf numFmtId="164" fontId="0" fillId="12" borderId="39" xfId="0" applyFont="false" applyBorder="true" applyAlignment="false" applyProtection="false">
      <alignment horizontal="general" vertical="bottom" textRotation="0" wrapText="false" indent="0" shrinkToFit="false"/>
      <protection locked="true" hidden="false"/>
    </xf>
    <xf numFmtId="164" fontId="0" fillId="12" borderId="40" xfId="0" applyFont="false" applyBorder="true" applyAlignment="false" applyProtection="false">
      <alignment horizontal="general" vertical="bottom" textRotation="0" wrapText="false" indent="0" shrinkToFit="false"/>
      <protection locked="true" hidden="false"/>
    </xf>
    <xf numFmtId="164" fontId="42" fillId="12" borderId="39" xfId="0" applyFont="true" applyBorder="true" applyAlignment="false" applyProtection="false">
      <alignment horizontal="general" vertical="bottom" textRotation="0" wrapText="false" indent="0" shrinkToFit="false"/>
      <protection locked="true" hidden="false"/>
    </xf>
    <xf numFmtId="164" fontId="42" fillId="12" borderId="40" xfId="0" applyFont="true" applyBorder="true" applyAlignment="false" applyProtection="false">
      <alignment horizontal="general" vertical="bottom" textRotation="0" wrapText="false" indent="0" shrinkToFit="false"/>
      <protection locked="true" hidden="false"/>
    </xf>
    <xf numFmtId="164" fontId="42" fillId="12" borderId="38" xfId="0" applyFont="true" applyBorder="true" applyAlignment="false" applyProtection="false">
      <alignment horizontal="general" vertical="bottom" textRotation="0" wrapText="false" indent="0" shrinkToFit="false"/>
      <protection locked="true" hidden="false"/>
    </xf>
    <xf numFmtId="164" fontId="9" fillId="28" borderId="5" xfId="0" applyFont="true" applyBorder="true" applyAlignment="false" applyProtection="false">
      <alignment horizontal="general" vertical="bottom" textRotation="0" wrapText="false" indent="0" shrinkToFit="false"/>
      <protection locked="true" hidden="false"/>
    </xf>
    <xf numFmtId="164" fontId="9" fillId="28" borderId="0" xfId="0" applyFont="true" applyBorder="false" applyAlignment="false" applyProtection="false">
      <alignment horizontal="general" vertical="bottom" textRotation="0" wrapText="false" indent="0" shrinkToFit="false"/>
      <protection locked="true" hidden="false"/>
    </xf>
    <xf numFmtId="164" fontId="0" fillId="23" borderId="23" xfId="0" applyFont="true" applyBorder="true" applyAlignment="false" applyProtection="false">
      <alignment horizontal="general" vertical="bottom" textRotation="0" wrapText="false" indent="0" shrinkToFit="false"/>
      <protection locked="true" hidden="false"/>
    </xf>
    <xf numFmtId="164" fontId="0" fillId="23" borderId="37" xfId="0" applyFont="false" applyBorder="true" applyAlignment="false" applyProtection="false">
      <alignment horizontal="general" vertical="bottom" textRotation="0" wrapText="false" indent="0" shrinkToFit="false"/>
      <protection locked="true" hidden="false"/>
    </xf>
    <xf numFmtId="164" fontId="0" fillId="24" borderId="23" xfId="0" applyFont="true" applyBorder="true" applyAlignment="false" applyProtection="false">
      <alignment horizontal="general" vertical="bottom" textRotation="0" wrapText="false" indent="0" shrinkToFit="false"/>
      <protection locked="true" hidden="false"/>
    </xf>
    <xf numFmtId="164" fontId="0" fillId="24" borderId="37" xfId="0" applyFont="false" applyBorder="true" applyAlignment="false" applyProtection="false">
      <alignment horizontal="general" vertical="bottom" textRotation="0" wrapText="false" indent="0" shrinkToFit="false"/>
      <protection locked="true" hidden="false"/>
    </xf>
    <xf numFmtId="164" fontId="0" fillId="28" borderId="23" xfId="0" applyFont="true" applyBorder="true" applyAlignment="false" applyProtection="false">
      <alignment horizontal="general" vertical="bottom" textRotation="0" wrapText="false" indent="0" shrinkToFit="false"/>
      <protection locked="true" hidden="false"/>
    </xf>
    <xf numFmtId="164" fontId="0" fillId="28" borderId="37" xfId="0" applyFont="false" applyBorder="true" applyAlignment="false" applyProtection="false">
      <alignment horizontal="general" vertical="bottom" textRotation="0" wrapText="false" indent="0" shrinkToFit="false"/>
      <protection locked="true" hidden="false"/>
    </xf>
    <xf numFmtId="164" fontId="42" fillId="28" borderId="37" xfId="0" applyFont="true" applyBorder="true" applyAlignment="false" applyProtection="false">
      <alignment horizontal="general" vertical="bottom" textRotation="0" wrapText="false" indent="0" shrinkToFit="false"/>
      <protection locked="true" hidden="false"/>
    </xf>
    <xf numFmtId="164" fontId="42" fillId="28" borderId="9" xfId="0" applyFont="true" applyBorder="true" applyAlignment="false" applyProtection="false">
      <alignment horizontal="general" vertical="bottom" textRotation="0" wrapText="false" indent="0" shrinkToFit="false"/>
      <protection locked="true" hidden="false"/>
    </xf>
    <xf numFmtId="164" fontId="40" fillId="19" borderId="38" xfId="0" applyFont="true" applyBorder="true" applyAlignment="true" applyProtection="false">
      <alignment horizontal="left" vertical="bottom" textRotation="0" wrapText="false" indent="0" shrinkToFit="false"/>
      <protection locked="true" hidden="false"/>
    </xf>
    <xf numFmtId="164" fontId="40" fillId="19" borderId="39" xfId="0" applyFont="true" applyBorder="true" applyAlignment="true" applyProtection="false">
      <alignment horizontal="left" vertical="bottom" textRotation="0" wrapText="false" indent="0" shrinkToFit="false"/>
      <protection locked="true" hidden="false"/>
    </xf>
    <xf numFmtId="164" fontId="40" fillId="19" borderId="40" xfId="0" applyFont="true" applyBorder="true" applyAlignment="true" applyProtection="false">
      <alignment horizontal="left" vertical="bottom" textRotation="0" wrapText="false" indent="0" shrinkToFit="false"/>
      <protection locked="true" hidden="false"/>
    </xf>
    <xf numFmtId="164" fontId="0" fillId="18" borderId="35" xfId="0" applyFont="true" applyBorder="true" applyAlignment="true" applyProtection="false">
      <alignment horizontal="left" vertical="bottom" textRotation="0" wrapText="false" indent="0" shrinkToFit="false"/>
      <protection locked="true" hidden="false"/>
    </xf>
    <xf numFmtId="164" fontId="0" fillId="18" borderId="36" xfId="0" applyFont="false" applyBorder="true" applyAlignment="true" applyProtection="false">
      <alignment horizontal="left" vertical="bottom" textRotation="0" wrapText="false" indent="0" shrinkToFit="false"/>
      <protection locked="true" hidden="false"/>
    </xf>
    <xf numFmtId="164" fontId="0" fillId="18" borderId="23" xfId="0" applyFont="true" applyBorder="true" applyAlignment="false" applyProtection="false">
      <alignment horizontal="general" vertical="bottom" textRotation="0" wrapText="false" indent="0" shrinkToFit="false"/>
      <protection locked="true" hidden="false"/>
    </xf>
    <xf numFmtId="164" fontId="9" fillId="18" borderId="23" xfId="0" applyFont="true" applyBorder="true" applyAlignment="false" applyProtection="false">
      <alignment horizontal="general" vertical="bottom" textRotation="0" wrapText="false" indent="0" shrinkToFit="false"/>
      <protection locked="true" hidden="false"/>
    </xf>
    <xf numFmtId="164" fontId="9" fillId="18" borderId="37" xfId="0" applyFont="true" applyBorder="true" applyAlignment="false" applyProtection="false">
      <alignment horizontal="general" vertical="bottom" textRotation="0" wrapText="false" indent="0" shrinkToFit="false"/>
      <protection locked="true" hidden="false"/>
    </xf>
    <xf numFmtId="164" fontId="42" fillId="18" borderId="37" xfId="0" applyFont="true" applyBorder="true" applyAlignment="false" applyProtection="false">
      <alignment horizontal="general" vertical="bottom" textRotation="0" wrapText="false" indent="0" shrinkToFit="false"/>
      <protection locked="true" hidden="false"/>
    </xf>
    <xf numFmtId="164" fontId="0" fillId="18" borderId="37" xfId="0" applyFont="false" applyBorder="true" applyAlignment="false" applyProtection="false">
      <alignment horizontal="general" vertical="bottom" textRotation="0" wrapText="false" indent="0" shrinkToFit="false"/>
      <protection locked="true" hidden="false"/>
    </xf>
    <xf numFmtId="164" fontId="40" fillId="18" borderId="37" xfId="0" applyFont="true" applyBorder="true" applyAlignment="false" applyProtection="false">
      <alignment horizontal="general" vertical="bottom" textRotation="0" wrapText="false" indent="0" shrinkToFit="false"/>
      <protection locked="true" hidden="false"/>
    </xf>
    <xf numFmtId="164" fontId="40" fillId="18" borderId="9" xfId="0" applyFont="true" applyBorder="true" applyAlignment="false" applyProtection="false">
      <alignment horizontal="general" vertical="bottom" textRotation="0" wrapText="false" indent="0" shrinkToFit="false"/>
      <protection locked="true" hidden="false"/>
    </xf>
    <xf numFmtId="164" fontId="40" fillId="18" borderId="0" xfId="0" applyFont="true" applyBorder="false" applyAlignment="false" applyProtection="false">
      <alignment horizontal="general" vertical="bottom" textRotation="0" wrapText="false" indent="0" shrinkToFit="false"/>
      <protection locked="true" hidden="false"/>
    </xf>
    <xf numFmtId="164" fontId="43" fillId="19" borderId="23" xfId="0" applyFont="true" applyBorder="true" applyAlignment="false" applyProtection="false">
      <alignment horizontal="general" vertical="bottom" textRotation="0" wrapText="false" indent="0" shrinkToFit="false"/>
      <protection locked="true" hidden="false"/>
    </xf>
    <xf numFmtId="164" fontId="0" fillId="19" borderId="37" xfId="0" applyFont="false" applyBorder="true" applyAlignment="false" applyProtection="false">
      <alignment horizontal="general" vertical="bottom" textRotation="0" wrapText="false" indent="0" shrinkToFit="false"/>
      <protection locked="true" hidden="false"/>
    </xf>
    <xf numFmtId="164" fontId="0" fillId="19" borderId="9" xfId="0" applyFont="false" applyBorder="true" applyAlignment="false" applyProtection="false">
      <alignment horizontal="general" vertical="bottom" textRotation="0" wrapText="false" indent="0" shrinkToFit="false"/>
      <protection locked="true" hidden="false"/>
    </xf>
    <xf numFmtId="164" fontId="0" fillId="18" borderId="9" xfId="0" applyFont="true" applyBorder="true" applyAlignment="false" applyProtection="false">
      <alignment horizontal="general" vertical="bottom" textRotation="0" wrapText="false" indent="0" shrinkToFit="false"/>
      <protection locked="true" hidden="false"/>
    </xf>
    <xf numFmtId="164" fontId="42" fillId="18" borderId="23" xfId="0" applyFont="true" applyBorder="true" applyAlignment="false" applyProtection="false">
      <alignment horizontal="general" vertical="bottom" textRotation="0" wrapText="false" indent="0" shrinkToFit="false"/>
      <protection locked="true" hidden="false"/>
    </xf>
    <xf numFmtId="164" fontId="0" fillId="9" borderId="38" xfId="0" applyFont="false" applyBorder="true" applyAlignment="false" applyProtection="false">
      <alignment horizontal="general" vertical="bottom" textRotation="0" wrapText="false" indent="0" shrinkToFit="false"/>
      <protection locked="true" hidden="false"/>
    </xf>
    <xf numFmtId="164" fontId="0" fillId="9" borderId="39" xfId="0" applyFont="false" applyBorder="true" applyAlignment="false" applyProtection="false">
      <alignment horizontal="general" vertical="bottom" textRotation="0" wrapText="false" indent="0" shrinkToFit="false"/>
      <protection locked="true" hidden="false"/>
    </xf>
    <xf numFmtId="164" fontId="0" fillId="29" borderId="38"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4" fontId="42" fillId="29" borderId="23" xfId="0" applyFont="true" applyBorder="true" applyAlignment="false" applyProtection="false">
      <alignment horizontal="general" vertical="bottom" textRotation="0" wrapText="false" indent="0" shrinkToFit="false"/>
      <protection locked="true" hidden="false"/>
    </xf>
    <xf numFmtId="164" fontId="0" fillId="2" borderId="38" xfId="0" applyFont="false" applyBorder="true" applyAlignment="false" applyProtection="false">
      <alignment horizontal="general" vertical="bottom" textRotation="0" wrapText="false" indent="0" shrinkToFit="false"/>
      <protection locked="true" hidden="false"/>
    </xf>
    <xf numFmtId="164" fontId="0" fillId="2" borderId="39" xfId="0" applyFont="false" applyBorder="true" applyAlignment="false" applyProtection="false">
      <alignment horizontal="general" vertical="bottom" textRotation="0" wrapText="false" indent="0" shrinkToFit="false"/>
      <protection locked="true" hidden="false"/>
    </xf>
    <xf numFmtId="164" fontId="0" fillId="2" borderId="40" xfId="0" applyFont="false" applyBorder="true" applyAlignment="false" applyProtection="false">
      <alignment horizontal="general" vertical="bottom" textRotation="0" wrapText="false" indent="0" shrinkToFit="false"/>
      <protection locked="true" hidden="false"/>
    </xf>
    <xf numFmtId="164" fontId="0" fillId="7" borderId="39" xfId="0" applyFont="false" applyBorder="true" applyAlignment="false" applyProtection="false">
      <alignment horizontal="general" vertical="bottom" textRotation="0" wrapText="false" indent="0" shrinkToFit="false"/>
      <protection locked="true" hidden="false"/>
    </xf>
    <xf numFmtId="164" fontId="0" fillId="30" borderId="38" xfId="0" applyFont="false" applyBorder="true" applyAlignment="false" applyProtection="false">
      <alignment horizontal="general" vertical="bottom" textRotation="0" wrapText="false" indent="0" shrinkToFit="false"/>
      <protection locked="true" hidden="false"/>
    </xf>
    <xf numFmtId="164" fontId="0" fillId="30" borderId="39" xfId="0" applyFont="false" applyBorder="true" applyAlignment="false" applyProtection="false">
      <alignment horizontal="general" vertical="bottom" textRotation="0" wrapText="false" indent="0" shrinkToFit="false"/>
      <protection locked="true" hidden="false"/>
    </xf>
    <xf numFmtId="164" fontId="0" fillId="20" borderId="38" xfId="0" applyFont="false" applyBorder="true" applyAlignment="false" applyProtection="false">
      <alignment horizontal="general" vertical="bottom" textRotation="0" wrapText="false" indent="0" shrinkToFit="false"/>
      <protection locked="true" hidden="false"/>
    </xf>
    <xf numFmtId="164" fontId="0" fillId="20" borderId="39" xfId="0" applyFont="false" applyBorder="true" applyAlignment="false" applyProtection="false">
      <alignment horizontal="general" vertical="bottom" textRotation="0" wrapText="false" indent="0" shrinkToFit="false"/>
      <protection locked="true" hidden="false"/>
    </xf>
    <xf numFmtId="164" fontId="0" fillId="20" borderId="40"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40" xfId="0" applyFont="fals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0" fillId="16" borderId="23" xfId="0" applyFont="true" applyBorder="true" applyAlignment="false" applyProtection="false">
      <alignment horizontal="general" vertical="bottom" textRotation="0" wrapText="false" indent="0" shrinkToFit="false"/>
      <protection locked="true" hidden="false"/>
    </xf>
    <xf numFmtId="164" fontId="9" fillId="16" borderId="37" xfId="0" applyFont="true" applyBorder="true" applyAlignment="false" applyProtection="false">
      <alignment horizontal="general" vertical="bottom" textRotation="0" wrapText="false" indent="0" shrinkToFit="false"/>
      <protection locked="true" hidden="false"/>
    </xf>
    <xf numFmtId="164" fontId="0" fillId="16" borderId="37" xfId="0" applyFont="false" applyBorder="true" applyAlignment="false" applyProtection="false">
      <alignment horizontal="general" vertical="bottom" textRotation="0" wrapText="false" indent="0" shrinkToFit="false"/>
      <protection locked="true" hidden="false"/>
    </xf>
    <xf numFmtId="164" fontId="6" fillId="16" borderId="37" xfId="0" applyFont="true" applyBorder="true" applyAlignment="false" applyProtection="false">
      <alignment horizontal="general" vertical="bottom" textRotation="0" wrapText="false" indent="0" shrinkToFit="false"/>
      <protection locked="true" hidden="false"/>
    </xf>
    <xf numFmtId="164" fontId="6" fillId="16" borderId="9" xfId="0" applyFont="true" applyBorder="true" applyAlignment="false" applyProtection="false">
      <alignment horizontal="general" vertical="bottom" textRotation="0" wrapText="false" indent="0" shrinkToFit="false"/>
      <protection locked="true" hidden="false"/>
    </xf>
    <xf numFmtId="164" fontId="0" fillId="16" borderId="40" xfId="0" applyFont="true" applyBorder="true" applyAlignment="false" applyProtection="false">
      <alignment horizontal="general" vertical="bottom" textRotation="0" wrapText="false" indent="0" shrinkToFit="false"/>
      <protection locked="true" hidden="false"/>
    </xf>
    <xf numFmtId="164" fontId="0" fillId="16" borderId="39" xfId="0" applyFont="false" applyBorder="true" applyAlignment="false" applyProtection="false">
      <alignment horizontal="general" vertical="bottom" textRotation="0" wrapText="false" indent="0" shrinkToFit="false"/>
      <protection locked="true" hidden="false"/>
    </xf>
    <xf numFmtId="164" fontId="6" fillId="16" borderId="39" xfId="0" applyFont="true" applyBorder="true" applyAlignment="false" applyProtection="false">
      <alignment horizontal="general" vertical="bottom" textRotation="0" wrapText="false" indent="0" shrinkToFit="false"/>
      <protection locked="true" hidden="false"/>
    </xf>
    <xf numFmtId="164" fontId="42" fillId="16" borderId="8" xfId="0" applyFont="true" applyBorder="true" applyAlignment="false" applyProtection="false">
      <alignment horizontal="general" vertical="bottom" textRotation="0" wrapText="false" indent="0" shrinkToFit="false"/>
      <protection locked="true" hidden="false"/>
    </xf>
    <xf numFmtId="164" fontId="6" fillId="27" borderId="39" xfId="0" applyFont="true" applyBorder="true" applyAlignment="false" applyProtection="false">
      <alignment horizontal="general" vertical="bottom" textRotation="0" wrapText="false" indent="0" shrinkToFit="false"/>
      <protection locked="true" hidden="false"/>
    </xf>
    <xf numFmtId="164" fontId="0" fillId="27" borderId="8" xfId="0" applyFont="true" applyBorder="true" applyAlignment="false" applyProtection="false">
      <alignment horizontal="general" vertical="bottom" textRotation="0" wrapText="false" indent="0" shrinkToFit="false"/>
      <protection locked="true" hidden="false"/>
    </xf>
    <xf numFmtId="164" fontId="9" fillId="27" borderId="39" xfId="0" applyFont="true" applyBorder="true" applyAlignment="false" applyProtection="false">
      <alignment horizontal="general" vertical="bottom" textRotation="0" wrapText="false" indent="0" shrinkToFit="false"/>
      <protection locked="true" hidden="false"/>
    </xf>
    <xf numFmtId="164" fontId="0" fillId="27" borderId="8" xfId="0" applyFont="true" applyBorder="true" applyAlignment="true" applyProtection="false">
      <alignment horizontal="right" vertical="bottom" textRotation="0" wrapText="false" indent="0" shrinkToFit="false"/>
      <protection locked="true" hidden="false"/>
    </xf>
    <xf numFmtId="165" fontId="12" fillId="27" borderId="8" xfId="0" applyFont="true" applyBorder="true" applyAlignment="true" applyProtection="false">
      <alignment horizontal="left" vertical="bottom" textRotation="0" wrapText="false" indent="0" shrinkToFit="false"/>
      <protection locked="true" hidden="false"/>
    </xf>
    <xf numFmtId="165" fontId="45" fillId="27" borderId="8" xfId="0" applyFont="true" applyBorder="true" applyAlignment="true" applyProtection="false">
      <alignment horizontal="left" vertical="bottom" textRotation="0" wrapText="false" indent="0" shrinkToFit="false"/>
      <protection locked="true" hidden="false"/>
    </xf>
    <xf numFmtId="164" fontId="0" fillId="26" borderId="4" xfId="0" applyFont="true" applyBorder="true" applyAlignment="true" applyProtection="false">
      <alignment horizontal="general" vertical="bottom" textRotation="0" wrapText="false" indent="0" shrinkToFit="true"/>
      <protection locked="true" hidden="false"/>
    </xf>
    <xf numFmtId="164" fontId="0" fillId="24" borderId="8" xfId="0" applyFont="true" applyBorder="true" applyAlignment="false" applyProtection="false">
      <alignment horizontal="general" vertical="bottom" textRotation="0" wrapText="false" indent="0" shrinkToFit="false"/>
      <protection locked="true" hidden="false"/>
    </xf>
    <xf numFmtId="164" fontId="0" fillId="24" borderId="23" xfId="0" applyFont="true" applyBorder="true" applyAlignment="true" applyProtection="false">
      <alignment horizontal="center" vertical="bottom" textRotation="0" wrapText="false" indent="0" shrinkToFit="false"/>
      <protection locked="true" hidden="false"/>
    </xf>
    <xf numFmtId="164" fontId="0" fillId="24" borderId="37" xfId="0" applyFont="false" applyBorder="true" applyAlignment="true" applyProtection="false">
      <alignment horizontal="center" vertical="bottom" textRotation="0" wrapText="false" indent="0" shrinkToFit="false"/>
      <protection locked="true" hidden="false"/>
    </xf>
    <xf numFmtId="164" fontId="0" fillId="24" borderId="40" xfId="0" applyFont="false" applyBorder="true" applyAlignment="true" applyProtection="false">
      <alignment horizontal="center" vertical="bottom" textRotation="0" wrapText="false" indent="0" shrinkToFit="false"/>
      <protection locked="true" hidden="false"/>
    </xf>
    <xf numFmtId="164" fontId="0" fillId="23" borderId="38" xfId="0" applyFont="true" applyBorder="true" applyAlignment="true" applyProtection="false">
      <alignment horizontal="left" vertical="bottom" textRotation="0" wrapText="false" indent="0" shrinkToFit="false"/>
      <protection locked="true" hidden="false"/>
    </xf>
    <xf numFmtId="164" fontId="0" fillId="23" borderId="39" xfId="0" applyFont="false" applyBorder="true" applyAlignment="false" applyProtection="false">
      <alignment horizontal="general" vertical="bottom" textRotation="0" wrapText="false" indent="0" shrinkToFit="false"/>
      <protection locked="true" hidden="false"/>
    </xf>
    <xf numFmtId="164" fontId="0" fillId="24" borderId="38" xfId="0" applyFont="true" applyBorder="true" applyAlignment="true" applyProtection="false">
      <alignment horizontal="left" vertical="bottom" textRotation="0" wrapText="false" indent="0" shrinkToFit="false"/>
      <protection locked="true" hidden="false"/>
    </xf>
    <xf numFmtId="164" fontId="0" fillId="24" borderId="39" xfId="0" applyFont="false" applyBorder="true" applyAlignment="false" applyProtection="false">
      <alignment horizontal="general" vertical="bottom" textRotation="0" wrapText="false" indent="0" shrinkToFit="false"/>
      <protection locked="true" hidden="false"/>
    </xf>
    <xf numFmtId="164" fontId="0" fillId="24" borderId="39" xfId="0" applyFont="false" applyBorder="true" applyAlignment="true" applyProtection="false">
      <alignment horizontal="center" vertical="bottom" textRotation="0" wrapText="false" indent="0" shrinkToFit="false"/>
      <protection locked="true" hidden="false"/>
    </xf>
    <xf numFmtId="164" fontId="0" fillId="24" borderId="38" xfId="0" applyFont="true" applyBorder="true" applyAlignment="false" applyProtection="false">
      <alignment horizontal="general" vertical="bottom" textRotation="0" wrapText="false" indent="0" shrinkToFit="false"/>
      <protection locked="true" hidden="false"/>
    </xf>
    <xf numFmtId="164" fontId="0" fillId="24" borderId="40" xfId="0" applyFont="false" applyBorder="true" applyAlignment="false" applyProtection="false">
      <alignment horizontal="general" vertical="bottom" textRotation="0" wrapText="false" indent="0" shrinkToFit="false"/>
      <protection locked="true" hidden="false"/>
    </xf>
    <xf numFmtId="164" fontId="6" fillId="24" borderId="39" xfId="0" applyFont="true" applyBorder="true" applyAlignment="false" applyProtection="false">
      <alignment horizontal="general" vertical="bottom" textRotation="0" wrapText="false" indent="0" shrinkToFit="false"/>
      <protection locked="true" hidden="false"/>
    </xf>
    <xf numFmtId="164" fontId="6" fillId="24" borderId="5" xfId="0" applyFont="true" applyBorder="true" applyAlignment="false" applyProtection="false">
      <alignment horizontal="general" vertical="bottom" textRotation="0" wrapText="false" indent="0" shrinkToFit="false"/>
      <protection locked="true" hidden="false"/>
    </xf>
    <xf numFmtId="164" fontId="46" fillId="23" borderId="5" xfId="0" applyFont="true" applyBorder="true" applyAlignment="true" applyProtection="false">
      <alignment horizontal="center" vertical="bottom" textRotation="0" wrapText="false" indent="0" shrinkToFit="false"/>
      <protection locked="true" hidden="false"/>
    </xf>
    <xf numFmtId="164" fontId="0" fillId="28" borderId="38" xfId="0" applyFont="true" applyBorder="true" applyAlignment="false" applyProtection="false">
      <alignment horizontal="general" vertical="bottom" textRotation="0" wrapText="false" indent="0" shrinkToFit="false"/>
      <protection locked="true" hidden="false"/>
    </xf>
    <xf numFmtId="164" fontId="0" fillId="28" borderId="5" xfId="0" applyFont="false" applyBorder="true" applyAlignment="true" applyProtection="false">
      <alignment horizontal="left" vertical="bottom" textRotation="0" wrapText="false" indent="0" shrinkToFit="false"/>
      <protection locked="true" hidden="false"/>
    </xf>
    <xf numFmtId="164" fontId="0" fillId="28" borderId="5" xfId="0" applyFont="true" applyBorder="true" applyAlignment="false" applyProtection="false">
      <alignment horizontal="general" vertical="bottom" textRotation="0" wrapText="false" indent="0" shrinkToFit="false"/>
      <protection locked="true" hidden="false"/>
    </xf>
    <xf numFmtId="164" fontId="0" fillId="23" borderId="8" xfId="0" applyFont="true" applyBorder="true" applyAlignment="false" applyProtection="false">
      <alignment horizontal="general" vertical="bottom" textRotation="0" wrapText="false" indent="0" shrinkToFit="false"/>
      <protection locked="true" hidden="false"/>
    </xf>
    <xf numFmtId="164" fontId="0" fillId="23" borderId="38" xfId="0" applyFont="true" applyBorder="true" applyAlignment="false" applyProtection="false">
      <alignment horizontal="general" vertical="bottom" textRotation="0" wrapText="false" indent="0" shrinkToFit="false"/>
      <protection locked="true" hidden="false"/>
    </xf>
    <xf numFmtId="164" fontId="0" fillId="28" borderId="18" xfId="0" applyFont="true" applyBorder="true" applyAlignment="false" applyProtection="false">
      <alignment horizontal="general" vertical="bottom" textRotation="0" wrapText="false" indent="0" shrinkToFit="false"/>
      <protection locked="true" hidden="false"/>
    </xf>
    <xf numFmtId="164" fontId="0" fillId="28" borderId="8" xfId="0" applyFont="true" applyBorder="true" applyAlignment="false" applyProtection="false">
      <alignment horizontal="general" vertical="bottom" textRotation="0" wrapText="false" indent="0" shrinkToFit="false"/>
      <protection locked="true" hidden="false"/>
    </xf>
    <xf numFmtId="164" fontId="0" fillId="28" borderId="23" xfId="0" applyFont="true" applyBorder="true" applyAlignment="true" applyProtection="false">
      <alignment horizontal="center" vertical="bottom" textRotation="0" wrapText="false" indent="0" shrinkToFit="false"/>
      <protection locked="true" hidden="false"/>
    </xf>
    <xf numFmtId="164" fontId="0" fillId="28" borderId="9" xfId="0" applyFont="false" applyBorder="true" applyAlignment="true" applyProtection="false">
      <alignment horizontal="center" vertical="bottom" textRotation="0" wrapText="false" indent="0" shrinkToFit="false"/>
      <protection locked="true" hidden="false"/>
    </xf>
    <xf numFmtId="164" fontId="0" fillId="19" borderId="23" xfId="0" applyFont="false" applyBorder="true" applyAlignment="false" applyProtection="false">
      <alignment horizontal="general" vertical="bottom" textRotation="0" wrapText="false" indent="0" shrinkToFit="false"/>
      <protection locked="true" hidden="false"/>
    </xf>
    <xf numFmtId="164" fontId="0" fillId="18" borderId="39" xfId="0" applyFont="true" applyBorder="true" applyAlignment="false" applyProtection="false">
      <alignment horizontal="general" vertical="bottom" textRotation="0" wrapText="false" indent="0" shrinkToFit="false"/>
      <protection locked="true" hidden="false"/>
    </xf>
    <xf numFmtId="164" fontId="0" fillId="18" borderId="38" xfId="0" applyFont="true" applyBorder="true" applyAlignment="true" applyProtection="false">
      <alignment horizontal="left" vertical="bottom" textRotation="0" wrapText="false" indent="0" shrinkToFit="false"/>
      <protection locked="true" hidden="false"/>
    </xf>
    <xf numFmtId="164" fontId="0" fillId="18" borderId="39" xfId="0" applyFont="false" applyBorder="true" applyAlignment="true" applyProtection="false">
      <alignment horizontal="left" vertical="bottom" textRotation="0" wrapText="false" indent="0" shrinkToFit="false"/>
      <protection locked="true" hidden="false"/>
    </xf>
    <xf numFmtId="164" fontId="0" fillId="18" borderId="40" xfId="0" applyFont="false" applyBorder="true" applyAlignment="true" applyProtection="false">
      <alignment horizontal="left" vertical="bottom" textRotation="0" wrapText="false" indent="0" shrinkToFit="false"/>
      <protection locked="true" hidden="false"/>
    </xf>
    <xf numFmtId="164" fontId="0" fillId="18" borderId="38" xfId="0" applyFont="true" applyBorder="true" applyAlignment="false" applyProtection="false">
      <alignment horizontal="general" vertical="bottom" textRotation="0" wrapText="false" indent="0" shrinkToFit="false"/>
      <protection locked="true" hidden="false"/>
    </xf>
    <xf numFmtId="164" fontId="6" fillId="18" borderId="39" xfId="0" applyFont="true" applyBorder="true" applyAlignment="false" applyProtection="false">
      <alignment horizontal="general" vertical="bottom" textRotation="0" wrapText="false" indent="0" shrinkToFit="false"/>
      <protection locked="true" hidden="false"/>
    </xf>
    <xf numFmtId="164" fontId="0" fillId="19" borderId="40" xfId="0" applyFont="true" applyBorder="true" applyAlignment="false" applyProtection="false">
      <alignment horizontal="general" vertical="bottom" textRotation="0" wrapText="false" indent="0" shrinkToFit="false"/>
      <protection locked="true" hidden="false"/>
    </xf>
    <xf numFmtId="164" fontId="0" fillId="19" borderId="8" xfId="0" applyFont="true" applyBorder="true" applyAlignment="false" applyProtection="false">
      <alignment horizontal="general" vertical="bottom" textRotation="0" wrapText="false" indent="0" shrinkToFit="false"/>
      <protection locked="true" hidden="false"/>
    </xf>
    <xf numFmtId="164" fontId="0" fillId="18" borderId="8" xfId="0" applyFont="true" applyBorder="true" applyAlignment="false" applyProtection="false">
      <alignment horizontal="general" vertical="bottom" textRotation="0" wrapText="false" indent="0" shrinkToFit="false"/>
      <protection locked="true" hidden="false"/>
    </xf>
    <xf numFmtId="164" fontId="0" fillId="18" borderId="40" xfId="0" applyFont="true" applyBorder="true" applyAlignment="false" applyProtection="false">
      <alignment horizontal="general" vertical="bottom" textRotation="0" wrapText="false" indent="0" shrinkToFit="false"/>
      <protection locked="true" hidden="false"/>
    </xf>
    <xf numFmtId="164" fontId="0" fillId="9" borderId="23" xfId="0" applyFont="true" applyBorder="true" applyAlignment="false" applyProtection="false">
      <alignment horizontal="general" vertical="bottom" textRotation="0" wrapText="false" indent="0" shrinkToFit="false"/>
      <protection locked="true" hidden="false"/>
    </xf>
    <xf numFmtId="164" fontId="0" fillId="9" borderId="37"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0" fillId="29" borderId="23" xfId="0" applyFont="true" applyBorder="true" applyAlignment="false" applyProtection="false">
      <alignment horizontal="general" vertical="bottom" textRotation="0" wrapText="false" indent="0" shrinkToFit="false"/>
      <protection locked="true" hidden="false"/>
    </xf>
    <xf numFmtId="164" fontId="0" fillId="29" borderId="39" xfId="0" applyFont="false" applyBorder="true" applyAlignment="false" applyProtection="false">
      <alignment horizontal="general" vertical="bottom" textRotation="0" wrapText="false" indent="0" shrinkToFit="false"/>
      <protection locked="true" hidden="false"/>
    </xf>
    <xf numFmtId="164" fontId="0" fillId="29" borderId="40" xfId="0" applyFont="false" applyBorder="true" applyAlignment="false" applyProtection="false">
      <alignment horizontal="general" vertical="bottom" textRotation="0" wrapText="false" indent="0" shrinkToFit="false"/>
      <protection locked="true" hidden="false"/>
    </xf>
    <xf numFmtId="164" fontId="0" fillId="2" borderId="23" xfId="0" applyFont="true" applyBorder="true" applyAlignment="false" applyProtection="false">
      <alignment horizontal="general" vertical="bottom" textRotation="0" wrapText="false" indent="0" shrinkToFit="false"/>
      <protection locked="true" hidden="false"/>
    </xf>
    <xf numFmtId="164" fontId="0" fillId="2" borderId="37" xfId="0" applyFont="fals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0" fillId="7" borderId="37" xfId="0" applyFont="false" applyBorder="true" applyAlignment="false" applyProtection="false">
      <alignment horizontal="general" vertical="bottom" textRotation="0" wrapText="false" indent="0" shrinkToFit="false"/>
      <protection locked="true" hidden="false"/>
    </xf>
    <xf numFmtId="164" fontId="0" fillId="30" borderId="23" xfId="0" applyFont="true" applyBorder="true" applyAlignment="false" applyProtection="false">
      <alignment horizontal="general" vertical="bottom" textRotation="0" wrapText="false" indent="0" shrinkToFit="false"/>
      <protection locked="true" hidden="false"/>
    </xf>
    <xf numFmtId="164" fontId="0" fillId="30" borderId="37" xfId="0" applyFont="false" applyBorder="true" applyAlignment="false" applyProtection="false">
      <alignment horizontal="general" vertical="bottom" textRotation="0" wrapText="false" indent="0" shrinkToFit="false"/>
      <protection locked="true" hidden="false"/>
    </xf>
    <xf numFmtId="164" fontId="0" fillId="30" borderId="9" xfId="0" applyFont="false" applyBorder="true" applyAlignment="false" applyProtection="false">
      <alignment horizontal="general" vertical="bottom" textRotation="0" wrapText="false" indent="0" shrinkToFit="false"/>
      <protection locked="true" hidden="false"/>
    </xf>
    <xf numFmtId="164" fontId="0" fillId="27" borderId="39" xfId="0" applyFont="true" applyBorder="true" applyAlignment="false" applyProtection="false">
      <alignment horizontal="general" vertical="bottom" textRotation="0" wrapText="false" indent="0" shrinkToFit="false"/>
      <protection locked="true" hidden="false"/>
    </xf>
    <xf numFmtId="164" fontId="0" fillId="27" borderId="38" xfId="0" applyFont="true" applyBorder="true" applyAlignment="false" applyProtection="false">
      <alignment horizontal="general" vertical="bottom" textRotation="0" wrapText="false" indent="0" shrinkToFit="false"/>
      <protection locked="true" hidden="false"/>
    </xf>
    <xf numFmtId="164" fontId="0" fillId="27" borderId="40" xfId="0" applyFont="false" applyBorder="true" applyAlignment="false" applyProtection="false">
      <alignment horizontal="general" vertical="bottom" textRotation="0" wrapText="false" indent="0" shrinkToFit="false"/>
      <protection locked="true" hidden="false"/>
    </xf>
    <xf numFmtId="164" fontId="0" fillId="27" borderId="23" xfId="0" applyFont="true" applyBorder="true" applyAlignment="false" applyProtection="false">
      <alignment horizontal="general" vertical="bottom" textRotation="0" wrapText="false" indent="0" shrinkToFit="false"/>
      <protection locked="true" hidden="false"/>
    </xf>
    <xf numFmtId="164" fontId="0" fillId="27" borderId="9" xfId="0" applyFont="false" applyBorder="true" applyAlignment="false" applyProtection="false">
      <alignment horizontal="general" vertical="bottom" textRotation="0" wrapText="false" indent="0" shrinkToFit="false"/>
      <protection locked="true" hidden="false"/>
    </xf>
    <xf numFmtId="164" fontId="0" fillId="9" borderId="23" xfId="0" applyFont="true" applyBorder="true" applyAlignment="true" applyProtection="false">
      <alignment horizontal="left" vertical="bottom" textRotation="0" wrapText="false" indent="0" shrinkToFit="false"/>
      <protection locked="true" hidden="false"/>
    </xf>
    <xf numFmtId="164" fontId="0" fillId="9" borderId="37" xfId="0" applyFont="false" applyBorder="true" applyAlignment="true" applyProtection="false">
      <alignment horizontal="center" vertical="bottom" textRotation="0" wrapText="false" indent="0" shrinkToFit="false"/>
      <protection locked="true" hidden="false"/>
    </xf>
    <xf numFmtId="164" fontId="0" fillId="9" borderId="37" xfId="0" applyFont="false" applyBorder="true" applyAlignment="true" applyProtection="false">
      <alignment horizontal="left" vertical="bottom" textRotation="0" wrapText="false" indent="0" shrinkToFit="false"/>
      <protection locked="true" hidden="false"/>
    </xf>
    <xf numFmtId="164" fontId="0" fillId="9" borderId="9" xfId="0" applyFont="false" applyBorder="true" applyAlignment="true" applyProtection="false">
      <alignment horizontal="center" vertical="bottom" textRotation="0" wrapText="false" indent="0" shrinkToFit="false"/>
      <protection locked="true" hidden="false"/>
    </xf>
    <xf numFmtId="164" fontId="21" fillId="3" borderId="0" xfId="0" applyFont="true" applyBorder="false" applyAlignment="false" applyProtection="false">
      <alignment horizontal="general" vertical="bottom" textRotation="0" wrapText="false" indent="0" shrinkToFit="false"/>
      <protection locked="true" hidden="false"/>
    </xf>
    <xf numFmtId="164" fontId="0" fillId="16" borderId="32" xfId="0" applyFont="true" applyBorder="true" applyAlignment="false" applyProtection="false">
      <alignment horizontal="general" vertical="bottom" textRotation="0" wrapText="false" indent="0" shrinkToFit="false"/>
      <protection locked="true" hidden="false"/>
    </xf>
    <xf numFmtId="164" fontId="6" fillId="16" borderId="18" xfId="0" applyFont="true" applyBorder="true" applyAlignment="false" applyProtection="false">
      <alignment horizontal="general" vertical="bottom" textRotation="0" wrapText="false" indent="0" shrinkToFit="false"/>
      <protection locked="true" hidden="false"/>
    </xf>
    <xf numFmtId="164" fontId="0" fillId="16" borderId="18" xfId="0" applyFont="true" applyBorder="true" applyAlignment="false" applyProtection="false">
      <alignment horizontal="general" vertical="bottom" textRotation="0" wrapText="false" indent="0" shrinkToFit="false"/>
      <protection locked="true" hidden="false"/>
    </xf>
    <xf numFmtId="164" fontId="13" fillId="16" borderId="18"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4" fontId="6" fillId="16" borderId="4" xfId="0" applyFont="true" applyBorder="true" applyAlignment="true" applyProtection="false">
      <alignment horizontal="center" vertical="bottom" textRotation="0" wrapText="false" indent="0" shrinkToFit="false"/>
      <protection locked="true" hidden="false"/>
    </xf>
    <xf numFmtId="164" fontId="13" fillId="16" borderId="4" xfId="0" applyFont="true" applyBorder="true" applyAlignment="false" applyProtection="false">
      <alignment horizontal="general" vertical="bottom" textRotation="0" wrapText="false" indent="0" shrinkToFit="false"/>
      <protection locked="true" hidden="false"/>
    </xf>
    <xf numFmtId="164" fontId="22" fillId="15" borderId="4" xfId="0" applyFont="true" applyBorder="true" applyAlignment="false" applyProtection="false">
      <alignment horizontal="general" vertical="bottom" textRotation="0" wrapText="false" indent="0" shrinkToFit="false"/>
      <protection locked="true" hidden="false"/>
    </xf>
    <xf numFmtId="164" fontId="6" fillId="16" borderId="4" xfId="0" applyFont="true" applyBorder="true" applyAlignment="false" applyProtection="false">
      <alignment horizontal="general" vertical="bottom" textRotation="0" wrapText="false" indent="0" shrinkToFit="false"/>
      <protection locked="true" hidden="false"/>
    </xf>
    <xf numFmtId="164" fontId="22" fillId="27" borderId="4" xfId="0" applyFont="true" applyBorder="true" applyAlignment="false" applyProtection="false">
      <alignment horizontal="general" vertical="bottom" textRotation="0" wrapText="false" indent="0" shrinkToFit="false"/>
      <protection locked="true" hidden="false"/>
    </xf>
    <xf numFmtId="164" fontId="0" fillId="27" borderId="4" xfId="0" applyFont="true" applyBorder="true" applyAlignment="false" applyProtection="false">
      <alignment horizontal="general" vertical="bottom" textRotation="0" wrapText="false" indent="0" shrinkToFit="false"/>
      <protection locked="true" hidden="false"/>
    </xf>
    <xf numFmtId="164" fontId="0" fillId="27" borderId="4" xfId="0" applyFont="true" applyBorder="true" applyAlignment="true" applyProtection="false">
      <alignment horizontal="general" vertical="bottom" textRotation="0" wrapText="false" indent="0" shrinkToFit="true"/>
      <protection locked="true" hidden="false"/>
    </xf>
    <xf numFmtId="164" fontId="0" fillId="27" borderId="18" xfId="0" applyFont="true" applyBorder="true" applyAlignment="true" applyProtection="false">
      <alignment horizontal="general" vertical="bottom" textRotation="0" wrapText="false" indent="0" shrinkToFit="tru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0" fillId="24" borderId="4" xfId="0" applyFont="true" applyBorder="true" applyAlignment="true" applyProtection="false">
      <alignment horizontal="center" vertical="bottom" textRotation="0" wrapText="false" indent="0" shrinkToFit="false"/>
      <protection locked="true" hidden="false"/>
    </xf>
    <xf numFmtId="164" fontId="21" fillId="23" borderId="5" xfId="0" applyFont="true" applyBorder="true" applyAlignment="true" applyProtection="false">
      <alignment horizontal="center" vertical="bottom" textRotation="0" wrapText="false" indent="0" shrinkToFit="false"/>
      <protection locked="true" hidden="false"/>
    </xf>
    <xf numFmtId="164" fontId="0" fillId="23" borderId="4" xfId="0" applyFont="true" applyBorder="true" applyAlignment="false" applyProtection="false">
      <alignment horizontal="general" vertical="bottom" textRotation="0" wrapText="false" indent="0" shrinkToFit="false"/>
      <protection locked="true" hidden="false"/>
    </xf>
    <xf numFmtId="164" fontId="46" fillId="24" borderId="5" xfId="0" applyFont="true" applyBorder="true" applyAlignment="true" applyProtection="false">
      <alignment horizontal="center" vertical="bottom" textRotation="0" wrapText="false" indent="0" shrinkToFit="false"/>
      <protection locked="true" hidden="false"/>
    </xf>
    <xf numFmtId="164" fontId="21" fillId="24" borderId="5" xfId="0" applyFont="true" applyBorder="true" applyAlignment="true" applyProtection="false">
      <alignment horizontal="center" vertical="bottom" textRotation="0" wrapText="false" indent="0" shrinkToFit="false"/>
      <protection locked="true" hidden="false"/>
    </xf>
    <xf numFmtId="164" fontId="0" fillId="24" borderId="4" xfId="0" applyFont="true" applyBorder="true" applyAlignment="false" applyProtection="false">
      <alignment horizontal="general" vertical="bottom" textRotation="0" wrapText="false" indent="0" shrinkToFit="false"/>
      <protection locked="true" hidden="false"/>
    </xf>
    <xf numFmtId="164" fontId="0" fillId="24" borderId="18" xfId="0" applyFont="true" applyBorder="true" applyAlignment="false" applyProtection="false">
      <alignment horizontal="general" vertical="bottom" textRotation="0" wrapText="false" indent="0" shrinkToFit="false"/>
      <protection locked="true" hidden="false"/>
    </xf>
    <xf numFmtId="164" fontId="0" fillId="12" borderId="4" xfId="0" applyFont="true" applyBorder="true" applyAlignment="false" applyProtection="false">
      <alignment horizontal="general" vertical="bottom" textRotation="0" wrapText="false" indent="0" shrinkToFit="false"/>
      <protection locked="true" hidden="false"/>
    </xf>
    <xf numFmtId="164" fontId="0" fillId="28" borderId="4" xfId="0" applyFont="true" applyBorder="true" applyAlignment="false" applyProtection="false">
      <alignment horizontal="general" vertical="bottom" textRotation="0" wrapText="false" indent="0" shrinkToFit="false"/>
      <protection locked="true" hidden="false"/>
    </xf>
    <xf numFmtId="164" fontId="47" fillId="28" borderId="3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center" vertical="bottom" textRotation="0" wrapText="false" indent="0" shrinkToFit="false"/>
      <protection locked="true" hidden="false"/>
    </xf>
    <xf numFmtId="164" fontId="48" fillId="19" borderId="4" xfId="0" applyFont="true" applyBorder="true" applyAlignment="false" applyProtection="false">
      <alignment horizontal="general" vertical="bottom" textRotation="0" wrapText="false" indent="0" shrinkToFit="false"/>
      <protection locked="true" hidden="false"/>
    </xf>
    <xf numFmtId="164" fontId="0" fillId="19" borderId="34" xfId="0" applyFont="true" applyBorder="true" applyAlignment="false" applyProtection="false">
      <alignment horizontal="general" vertical="bottom" textRotation="0" wrapText="false" indent="0" shrinkToFit="false"/>
      <protection locked="true" hidden="false"/>
    </xf>
    <xf numFmtId="164" fontId="0" fillId="18" borderId="18" xfId="0" applyFont="true" applyBorder="true" applyAlignment="false" applyProtection="false">
      <alignment horizontal="general" vertical="bottom" textRotation="0" wrapText="false" indent="0" shrinkToFit="false"/>
      <protection locked="true" hidden="false"/>
    </xf>
    <xf numFmtId="164" fontId="0" fillId="18" borderId="4" xfId="0" applyFont="true" applyBorder="true" applyAlignment="false" applyProtection="false">
      <alignment horizontal="general" vertical="bottom" textRotation="0" wrapText="false" indent="0" shrinkToFit="false"/>
      <protection locked="true" hidden="false"/>
    </xf>
    <xf numFmtId="164" fontId="6" fillId="19" borderId="5" xfId="0" applyFont="true" applyBorder="true" applyAlignment="true" applyProtection="false">
      <alignment horizontal="center" vertical="bottom" textRotation="0" wrapText="false" indent="0" shrinkToFit="false"/>
      <protection locked="true" hidden="false"/>
    </xf>
    <xf numFmtId="164" fontId="49" fillId="18" borderId="4" xfId="0" applyFont="true" applyBorder="true" applyAlignment="false" applyProtection="false">
      <alignment horizontal="general" vertical="bottom" textRotation="0" wrapText="false" indent="0" shrinkToFit="false"/>
      <protection locked="true" hidden="false"/>
    </xf>
    <xf numFmtId="164" fontId="6" fillId="18" borderId="4" xfId="0" applyFont="true" applyBorder="true" applyAlignment="false" applyProtection="false">
      <alignment horizontal="general" vertical="bottom" textRotation="0" wrapText="false" indent="0" shrinkToFit="false"/>
      <protection locked="true" hidden="false"/>
    </xf>
    <xf numFmtId="164" fontId="50" fillId="18" borderId="4" xfId="0" applyFont="true" applyBorder="true" applyAlignment="false" applyProtection="false">
      <alignment horizontal="general" vertical="bottom" textRotation="0" wrapText="false" indent="0" shrinkToFit="false"/>
      <protection locked="true" hidden="false"/>
    </xf>
    <xf numFmtId="164" fontId="6" fillId="26" borderId="4" xfId="0" applyFont="true" applyBorder="true" applyAlignment="false" applyProtection="false">
      <alignment horizontal="general" vertical="bottom" textRotation="0" wrapText="false" indent="0" shrinkToFit="false"/>
      <protection locked="true" hidden="false"/>
    </xf>
    <xf numFmtId="164" fontId="51" fillId="19" borderId="0" xfId="0" applyFont="true" applyBorder="false" applyAlignment="false" applyProtection="false">
      <alignment horizontal="general" vertical="bottom" textRotation="0" wrapText="false" indent="0" shrinkToFit="false"/>
      <protection locked="true" hidden="false"/>
    </xf>
    <xf numFmtId="164" fontId="0" fillId="18" borderId="34"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49" fillId="29" borderId="4" xfId="0" applyFont="true" applyBorder="true" applyAlignment="true" applyProtection="false">
      <alignment horizontal="center" vertical="bottom" textRotation="0" wrapText="false" indent="0" shrinkToFit="false"/>
      <protection locked="true" hidden="false"/>
    </xf>
    <xf numFmtId="164" fontId="6" fillId="29" borderId="4" xfId="0" applyFont="true" applyBorder="true" applyAlignment="true" applyProtection="false">
      <alignment horizontal="center" vertical="bottom" textRotation="0" wrapText="false" indent="0" shrinkToFit="false"/>
      <protection locked="true" hidden="false"/>
    </xf>
    <xf numFmtId="164" fontId="0" fillId="29" borderId="4"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34" xfId="0" applyFont="true" applyBorder="true" applyAlignment="false" applyProtection="false">
      <alignment horizontal="general" vertical="bottom" textRotation="0" wrapText="false" indent="0" shrinkToFit="false"/>
      <protection locked="true" hidden="false"/>
    </xf>
    <xf numFmtId="164" fontId="0" fillId="30" borderId="4" xfId="0" applyFont="true" applyBorder="true" applyAlignment="false" applyProtection="false">
      <alignment horizontal="general" vertical="bottom" textRotation="0" wrapText="false" indent="0" shrinkToFit="false"/>
      <protection locked="true" hidden="false"/>
    </xf>
    <xf numFmtId="164" fontId="0" fillId="9" borderId="18" xfId="0" applyFont="true" applyBorder="true" applyAlignment="false" applyProtection="false">
      <alignment horizontal="general" vertical="bottom" textRotation="0" wrapText="false" indent="0" shrinkToFit="false"/>
      <protection locked="true" hidden="false"/>
    </xf>
    <xf numFmtId="165" fontId="21" fillId="2" borderId="5" xfId="0" applyFont="true" applyBorder="true" applyAlignment="true" applyProtection="false">
      <alignment horizontal="center" vertical="bottom" textRotation="0" wrapText="false" indent="0" shrinkToFit="false"/>
      <protection locked="true" hidden="false"/>
    </xf>
    <xf numFmtId="164" fontId="47" fillId="16" borderId="5" xfId="0" applyFont="true" applyBorder="true" applyAlignment="true" applyProtection="false">
      <alignment horizontal="general" vertical="center" textRotation="0" wrapText="false" indent="0" shrinkToFit="false"/>
      <protection locked="true" hidden="false"/>
    </xf>
    <xf numFmtId="164" fontId="47" fillId="15" borderId="5" xfId="0" applyFont="true" applyBorder="true" applyAlignment="true" applyProtection="false">
      <alignment horizontal="general" vertical="center" textRotation="0" wrapText="false" indent="0" shrinkToFit="false"/>
      <protection locked="true" hidden="false"/>
    </xf>
    <xf numFmtId="164" fontId="47" fillId="15" borderId="5" xfId="0" applyFont="true" applyBorder="true" applyAlignment="false" applyProtection="false">
      <alignment horizontal="general" vertical="bottom" textRotation="0" wrapText="false" indent="0" shrinkToFit="false"/>
      <protection locked="true" hidden="false"/>
    </xf>
    <xf numFmtId="164" fontId="47" fillId="15" borderId="5" xfId="0" applyFont="true" applyBorder="true" applyAlignment="true" applyProtection="false">
      <alignment horizontal="left" vertical="bottom" textRotation="0" wrapText="false" indent="0" shrinkToFit="false"/>
      <protection locked="true" hidden="false"/>
    </xf>
    <xf numFmtId="164" fontId="55" fillId="15" borderId="5" xfId="0" applyFont="true" applyBorder="true" applyAlignment="true" applyProtection="false">
      <alignment horizontal="left" vertical="bottom" textRotation="0" wrapText="false" indent="0" shrinkToFit="false"/>
      <protection locked="true" hidden="false"/>
    </xf>
    <xf numFmtId="164" fontId="47" fillId="25" borderId="4" xfId="0" applyFont="true" applyBorder="true" applyAlignment="true" applyProtection="false">
      <alignment horizontal="left" vertical="center" textRotation="0" wrapText="false" indent="0" shrinkToFit="false"/>
      <protection locked="true" hidden="false"/>
    </xf>
    <xf numFmtId="164" fontId="47" fillId="25" borderId="4" xfId="0" applyFont="true" applyBorder="true" applyAlignment="true" applyProtection="false">
      <alignment horizontal="left" vertical="bottom" textRotation="0" wrapText="false" indent="0" shrinkToFit="false"/>
      <protection locked="true" hidden="false"/>
    </xf>
    <xf numFmtId="164" fontId="47" fillId="31" borderId="4" xfId="0" applyFont="true" applyBorder="true" applyAlignment="true" applyProtection="false">
      <alignment horizontal="left" vertical="bottom" textRotation="0" wrapText="false" indent="0" shrinkToFit="false"/>
      <protection locked="true" hidden="false"/>
    </xf>
    <xf numFmtId="164" fontId="47" fillId="26" borderId="4" xfId="0" applyFont="true" applyBorder="true" applyAlignment="true" applyProtection="false">
      <alignment horizontal="left" vertical="bottom" textRotation="0" wrapText="false" indent="0" shrinkToFit="false"/>
      <protection locked="true" hidden="false"/>
    </xf>
    <xf numFmtId="164" fontId="47" fillId="20" borderId="4" xfId="0" applyFont="true" applyBorder="true" applyAlignment="true" applyProtection="false">
      <alignment horizontal="left" vertical="bottom" textRotation="0" wrapText="false" indent="0" shrinkToFit="false"/>
      <protection locked="true" hidden="false"/>
    </xf>
    <xf numFmtId="164" fontId="55" fillId="13" borderId="4" xfId="0" applyFont="true" applyBorder="true" applyAlignment="true" applyProtection="false">
      <alignment horizontal="left" vertical="bottom" textRotation="0" wrapText="false" indent="0" shrinkToFit="false"/>
      <protection locked="true" hidden="false"/>
    </xf>
    <xf numFmtId="164" fontId="47" fillId="32" borderId="4" xfId="0" applyFont="true" applyBorder="true" applyAlignment="true" applyProtection="false">
      <alignment horizontal="left" vertical="bottom" textRotation="0" wrapText="false" indent="0" shrinkToFit="false"/>
      <protection locked="true" hidden="false"/>
    </xf>
    <xf numFmtId="164" fontId="47" fillId="4" borderId="4" xfId="0" applyFont="true" applyBorder="true" applyAlignment="true" applyProtection="false">
      <alignment horizontal="left" vertical="bottom" textRotation="0" wrapText="false" indent="0" shrinkToFit="false"/>
      <protection locked="true" hidden="false"/>
    </xf>
    <xf numFmtId="164" fontId="47" fillId="13" borderId="4" xfId="0" applyFont="true" applyBorder="true" applyAlignment="true" applyProtection="false">
      <alignment horizontal="left" vertical="bottom" textRotation="0" wrapText="false" indent="0" shrinkToFit="false"/>
      <protection locked="true" hidden="false"/>
    </xf>
    <xf numFmtId="164" fontId="0" fillId="26" borderId="0" xfId="0" applyFont="fals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right"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9" borderId="5"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5" fillId="0" borderId="0" xfId="0" applyFont="true" applyBorder="false" applyAlignment="true" applyProtection="false">
      <alignment horizontal="center" vertical="bottom" textRotation="0" wrapText="false" indent="0" shrinkToFit="false"/>
      <protection locked="true" hidden="false"/>
    </xf>
    <xf numFmtId="164" fontId="0" fillId="26" borderId="0" xfId="0" applyFont="fals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6" fontId="34"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9" fontId="21"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6" fontId="34" fillId="0" borderId="0" xfId="0" applyFont="true" applyBorder="false" applyAlignment="true" applyProtection="false">
      <alignment horizontal="center" vertical="bottom" textRotation="0" wrapText="false" indent="0" shrinkToFit="false"/>
      <protection locked="true" hidden="false"/>
    </xf>
    <xf numFmtId="164" fontId="55" fillId="26" borderId="0" xfId="0" applyFont="true" applyBorder="false" applyAlignment="true" applyProtection="false">
      <alignment horizontal="center" vertical="bottom" textRotation="0" wrapText="false" indent="0" shrinkToFit="false"/>
      <protection locked="true" hidden="false"/>
    </xf>
    <xf numFmtId="169" fontId="47" fillId="15"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55" fillId="0" borderId="0" xfId="0" applyFont="true" applyBorder="false" applyAlignment="true" applyProtection="false">
      <alignment horizontal="right" vertical="bottom" textRotation="0" wrapText="false" indent="0" shrinkToFit="false"/>
      <protection locked="true" hidden="false"/>
    </xf>
    <xf numFmtId="164" fontId="47" fillId="0" borderId="0" xfId="0" applyFont="true" applyBorder="false" applyAlignment="true" applyProtection="false">
      <alignment horizontal="right" vertical="bottom" textRotation="0" wrapText="false" indent="0" shrinkToFit="false"/>
      <protection locked="true" hidden="false"/>
    </xf>
    <xf numFmtId="169" fontId="11" fillId="0" borderId="0" xfId="0" applyFont="true" applyBorder="false" applyAlignment="true" applyProtection="false">
      <alignment horizontal="right" vertical="bottom" textRotation="0" wrapText="false" indent="0" shrinkToFit="false"/>
      <protection locked="true" hidden="false"/>
    </xf>
    <xf numFmtId="164" fontId="70" fillId="0" borderId="0" xfId="0" applyFont="true" applyBorder="false" applyAlignment="true" applyProtection="false">
      <alignment horizontal="right" vertical="bottom" textRotation="0" wrapText="false" indent="0" shrinkToFit="false"/>
      <protection locked="true" hidden="false"/>
    </xf>
    <xf numFmtId="164" fontId="43" fillId="4"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5" fontId="42" fillId="30" borderId="0" xfId="0" applyFont="true" applyBorder="false" applyAlignment="true" applyProtection="false">
      <alignment horizontal="center" vertical="bottom" textRotation="0" wrapText="false" indent="0" shrinkToFit="false"/>
      <protection locked="true" hidden="false"/>
    </xf>
    <xf numFmtId="164" fontId="0" fillId="33" borderId="5" xfId="0" applyFont="true" applyBorder="true" applyAlignment="false" applyProtection="false">
      <alignment horizontal="general" vertical="bottom" textRotation="0" wrapText="false" indent="0" shrinkToFit="false"/>
      <protection locked="true" hidden="false"/>
    </xf>
    <xf numFmtId="164" fontId="44" fillId="33" borderId="5" xfId="0" applyFont="true" applyBorder="true" applyAlignment="false" applyProtection="false">
      <alignment horizontal="general" vertical="bottom" textRotation="0" wrapText="false" indent="0" shrinkToFit="false"/>
      <protection locked="true" hidden="false"/>
    </xf>
    <xf numFmtId="164" fontId="43" fillId="33" borderId="5" xfId="0" applyFont="true" applyBorder="true" applyAlignment="true" applyProtection="false">
      <alignment horizontal="center" vertical="bottom" textRotation="0" wrapText="false" indent="0" shrinkToFit="false"/>
      <protection locked="true" hidden="false"/>
    </xf>
    <xf numFmtId="164" fontId="0" fillId="2" borderId="5" xfId="0" applyFont="false" applyBorder="true" applyAlignment="true" applyProtection="false">
      <alignment horizontal="left" vertical="bottom" textRotation="0" wrapText="false" indent="0" shrinkToFit="false"/>
      <protection locked="true" hidden="false"/>
    </xf>
    <xf numFmtId="164" fontId="0" fillId="16" borderId="5" xfId="0" applyFont="true" applyBorder="true" applyAlignment="false" applyProtection="false">
      <alignment horizontal="general" vertical="bottom" textRotation="0" wrapText="false" indent="0" shrinkToFit="false"/>
      <protection locked="true" hidden="false"/>
    </xf>
    <xf numFmtId="164" fontId="0" fillId="26" borderId="5" xfId="0" applyFont="fals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0" fillId="34" borderId="5" xfId="0" applyFont="true" applyBorder="true" applyAlignment="false" applyProtection="false">
      <alignment horizontal="general" vertical="bottom" textRotation="0" wrapText="false" indent="0" shrinkToFit="false"/>
      <protection locked="true" hidden="false"/>
    </xf>
    <xf numFmtId="164" fontId="0" fillId="27" borderId="5" xfId="0" applyFont="true" applyBorder="true" applyAlignment="false" applyProtection="false">
      <alignment horizontal="general" vertical="bottom" textRotation="0" wrapText="false" indent="0" shrinkToFit="false"/>
      <protection locked="true" hidden="false"/>
    </xf>
    <xf numFmtId="164" fontId="0" fillId="32" borderId="5" xfId="0" applyFont="true" applyBorder="true" applyAlignment="false" applyProtection="false">
      <alignment horizontal="general" vertical="bottom" textRotation="0" wrapText="false" indent="0" shrinkToFit="false"/>
      <protection locked="true" hidden="false"/>
    </xf>
    <xf numFmtId="164" fontId="0" fillId="35" borderId="5" xfId="0" applyFont="true" applyBorder="true" applyAlignment="false" applyProtection="false">
      <alignment horizontal="general" vertical="bottom" textRotation="0" wrapText="false" indent="0" shrinkToFit="false"/>
      <protection locked="true" hidden="false"/>
    </xf>
    <xf numFmtId="164" fontId="0" fillId="31" borderId="5" xfId="0" applyFont="true" applyBorder="true" applyAlignment="false" applyProtection="false">
      <alignment horizontal="general" vertical="bottom" textRotation="0" wrapText="false" indent="0" shrinkToFit="false"/>
      <protection locked="true" hidden="false"/>
    </xf>
    <xf numFmtId="164" fontId="0" fillId="36" borderId="5" xfId="0" applyFont="true" applyBorder="true" applyAlignment="false" applyProtection="false">
      <alignment horizontal="general" vertical="bottom" textRotation="0" wrapText="false" indent="0" shrinkToFit="false"/>
      <protection locked="true" hidden="false"/>
    </xf>
    <xf numFmtId="164" fontId="71" fillId="0" borderId="5" xfId="0" applyFont="true" applyBorder="true" applyAlignment="false" applyProtection="false">
      <alignment horizontal="general" vertical="bottom" textRotation="0" wrapText="false" indent="0" shrinkToFit="false"/>
      <protection locked="true" hidden="false"/>
    </xf>
    <xf numFmtId="164" fontId="72" fillId="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center" vertical="bottom" textRotation="0" wrapText="false" indent="0" shrinkToFit="false"/>
      <protection locked="true" hidden="false"/>
    </xf>
    <xf numFmtId="164" fontId="47" fillId="0" borderId="0" xfId="0" applyFont="true" applyBorder="false" applyAlignment="true" applyProtection="false">
      <alignment horizontal="general" vertical="center" textRotation="0" wrapText="false" indent="0" shrinkToFit="false"/>
      <protection locked="true" hidden="false"/>
    </xf>
    <xf numFmtId="164" fontId="47" fillId="0" borderId="0" xfId="0" applyFont="true" applyBorder="false" applyAlignment="true" applyProtection="false">
      <alignment horizontal="left" vertical="bottom" textRotation="0" wrapText="false" indent="0" shrinkToFit="false"/>
      <protection locked="true" hidden="false"/>
    </xf>
    <xf numFmtId="168" fontId="30"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4" fontId="4" fillId="29" borderId="8" xfId="0" applyFont="true" applyBorder="true" applyAlignment="true" applyProtection="false">
      <alignment horizontal="left" vertical="bottom" textRotation="0" wrapText="false" indent="0" shrinkToFit="false"/>
      <protection locked="true" hidden="false"/>
    </xf>
    <xf numFmtId="164" fontId="4" fillId="29" borderId="8" xfId="0" applyFont="true" applyBorder="true" applyAlignment="true" applyProtection="false">
      <alignment horizontal="center" vertical="bottom" textRotation="0" wrapText="false" indent="0" shrinkToFit="false"/>
      <protection locked="true" hidden="false"/>
    </xf>
    <xf numFmtId="164" fontId="4" fillId="29" borderId="18" xfId="0" applyFont="true" applyBorder="true" applyAlignment="true" applyProtection="false">
      <alignment horizontal="left" vertical="bottom" textRotation="0" wrapText="false" indent="0" shrinkToFit="false"/>
      <protection locked="true" hidden="false"/>
    </xf>
    <xf numFmtId="164" fontId="0" fillId="26" borderId="9" xfId="0" applyFont="true" applyBorder="true" applyAlignment="true" applyProtection="false">
      <alignment horizontal="general" vertical="center" textRotation="0" wrapText="false" indent="0" shrinkToFit="false"/>
      <protection locked="true" hidden="false"/>
    </xf>
    <xf numFmtId="164" fontId="0" fillId="26" borderId="9" xfId="0" applyFont="false" applyBorder="true" applyAlignment="true" applyProtection="false">
      <alignment horizontal="center" vertical="center" textRotation="0" wrapText="false" indent="0" shrinkToFit="false"/>
      <protection locked="true" hidden="false"/>
    </xf>
    <xf numFmtId="164" fontId="47" fillId="25" borderId="9" xfId="0" applyFont="true" applyBorder="true" applyAlignment="true" applyProtection="false">
      <alignment horizontal="left" vertical="bottom" textRotation="0" wrapText="false" indent="0" shrinkToFit="false"/>
      <protection locked="true" hidden="false"/>
    </xf>
    <xf numFmtId="164" fontId="0" fillId="26" borderId="9" xfId="0" applyFont="false" applyBorder="true" applyAlignment="true" applyProtection="false">
      <alignment horizontal="general" vertical="center" textRotation="0" wrapText="false" indent="0" shrinkToFit="false"/>
      <protection locked="true" hidden="false"/>
    </xf>
    <xf numFmtId="164" fontId="0" fillId="26" borderId="9" xfId="0" applyFont="false" applyBorder="true" applyAlignment="false" applyProtection="false">
      <alignment horizontal="general" vertical="bottom" textRotation="0" wrapText="false" indent="0" shrinkToFit="false"/>
      <protection locked="true" hidden="false"/>
    </xf>
    <xf numFmtId="164" fontId="47" fillId="31" borderId="9" xfId="0" applyFont="true" applyBorder="true" applyAlignment="true" applyProtection="false">
      <alignment horizontal="left" vertical="bottom" textRotation="0" wrapText="false" indent="0" shrinkToFit="false"/>
      <protection locked="true" hidden="false"/>
    </xf>
    <xf numFmtId="164" fontId="47" fillId="31" borderId="40" xfId="0" applyFont="true" applyBorder="true" applyAlignment="true" applyProtection="false">
      <alignment horizontal="left" vertical="bottom" textRotation="0" wrapText="false" indent="0" shrinkToFit="false"/>
      <protection locked="true" hidden="false"/>
    </xf>
    <xf numFmtId="164" fontId="47" fillId="25" borderId="40" xfId="0" applyFont="true" applyBorder="true" applyAlignment="true" applyProtection="false">
      <alignment horizontal="left" vertical="bottom" textRotation="0" wrapText="false" indent="0" shrinkToFit="false"/>
      <protection locked="true" hidden="false"/>
    </xf>
    <xf numFmtId="164" fontId="0" fillId="26" borderId="40" xfId="0" applyFont="true" applyBorder="true" applyAlignment="true" applyProtection="false">
      <alignment horizontal="general" vertical="center" textRotation="0" wrapText="false" indent="0" shrinkToFit="false"/>
      <protection locked="true" hidden="false"/>
    </xf>
    <xf numFmtId="164" fontId="0" fillId="26" borderId="40" xfId="0" applyFont="false" applyBorder="true" applyAlignment="true" applyProtection="false">
      <alignment horizontal="general" vertical="center" textRotation="0" wrapText="false" indent="0" shrinkToFit="false"/>
      <protection locked="true" hidden="false"/>
    </xf>
    <xf numFmtId="164" fontId="55" fillId="13" borderId="5" xfId="0" applyFont="true" applyBorder="true" applyAlignment="true" applyProtection="false">
      <alignment horizontal="left" vertical="bottom" textRotation="0" wrapText="false" indent="0" shrinkToFit="false"/>
      <protection locked="true" hidden="false"/>
    </xf>
    <xf numFmtId="164" fontId="47" fillId="32" borderId="40" xfId="0" applyFont="true" applyBorder="true" applyAlignment="true" applyProtection="false">
      <alignment horizontal="left" vertical="bottom" textRotation="0" wrapText="false" indent="0" shrinkToFit="false"/>
      <protection locked="true" hidden="false"/>
    </xf>
    <xf numFmtId="164" fontId="47" fillId="32" borderId="36" xfId="0" applyFont="true" applyBorder="true" applyAlignment="true" applyProtection="false">
      <alignment horizontal="left" vertical="bottom" textRotation="0" wrapText="false" indent="0" shrinkToFit="false"/>
      <protection locked="true" hidden="false"/>
    </xf>
    <xf numFmtId="164" fontId="0" fillId="26" borderId="36" xfId="0" applyFont="true" applyBorder="true" applyAlignment="true" applyProtection="false">
      <alignment horizontal="general" vertical="center" textRotation="0" wrapText="false" indent="0" shrinkToFit="false"/>
      <protection locked="true" hidden="false"/>
    </xf>
    <xf numFmtId="164" fontId="0" fillId="26" borderId="36" xfId="0" applyFont="false" applyBorder="true" applyAlignment="true" applyProtection="false">
      <alignment horizontal="general" vertical="center" textRotation="0" wrapText="false" indent="0" shrinkToFit="false"/>
      <protection locked="true" hidden="false"/>
    </xf>
    <xf numFmtId="164" fontId="47" fillId="25" borderId="36" xfId="0" applyFont="true" applyBorder="true" applyAlignment="true" applyProtection="false">
      <alignment horizontal="left" vertical="bottom" textRotation="0" wrapText="fals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47" fillId="20" borderId="5" xfId="0" applyFont="true" applyBorder="true" applyAlignment="true" applyProtection="false">
      <alignment horizontal="left" vertical="bottom" textRotation="0" wrapText="false" indent="0" shrinkToFit="false"/>
      <protection locked="true" hidden="false"/>
    </xf>
    <xf numFmtId="164" fontId="47" fillId="25" borderId="5" xfId="0" applyFont="true" applyBorder="true" applyAlignment="true" applyProtection="false">
      <alignment horizontal="left" vertical="bottom" textRotation="0" wrapText="false" indent="0" shrinkToFit="false"/>
      <protection locked="true" hidden="false"/>
    </xf>
    <xf numFmtId="164" fontId="47" fillId="31" borderId="36" xfId="0" applyFont="true" applyBorder="true" applyAlignment="true" applyProtection="false">
      <alignment horizontal="left" vertical="bottom" textRotation="0" wrapText="false" indent="0" shrinkToFit="false"/>
      <protection locked="true" hidden="false"/>
    </xf>
    <xf numFmtId="164" fontId="47" fillId="31" borderId="18" xfId="0" applyFont="true" applyBorder="true" applyAlignment="true" applyProtection="false">
      <alignment horizontal="left" vertical="bottom" textRotation="0" wrapText="false" indent="0" shrinkToFit="false"/>
      <protection locked="true" hidden="false"/>
    </xf>
    <xf numFmtId="164" fontId="5" fillId="37" borderId="0" xfId="0" applyFont="true" applyBorder="false" applyAlignment="false" applyProtection="false">
      <alignment horizontal="general"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43" fillId="34" borderId="5" xfId="0" applyFont="true" applyBorder="true" applyAlignment="false" applyProtection="false">
      <alignment horizontal="general" vertical="bottom" textRotation="0" wrapText="false" indent="0" shrinkToFit="false"/>
      <protection locked="true" hidden="false"/>
    </xf>
    <xf numFmtId="164" fontId="43" fillId="34" borderId="5" xfId="0" applyFont="true" applyBorder="true" applyAlignment="true" applyProtection="false">
      <alignment horizontal="general" vertical="bottom" textRotation="0" wrapText="false" indent="0" shrinkToFit="true"/>
      <protection locked="true" hidden="false"/>
    </xf>
    <xf numFmtId="164" fontId="0" fillId="30" borderId="0" xfId="0" applyFont="false" applyBorder="false" applyAlignment="false" applyProtection="false">
      <alignment horizontal="general" vertical="bottom" textRotation="0" wrapText="false" indent="0" shrinkToFit="false"/>
      <protection locked="true" hidden="false"/>
    </xf>
    <xf numFmtId="164" fontId="5" fillId="32" borderId="0" xfId="0" applyFont="true" applyBorder="false" applyAlignment="false" applyProtection="false">
      <alignment horizontal="general" vertical="bottom" textRotation="0" wrapText="false" indent="0" shrinkToFit="false"/>
      <protection locked="true" hidden="false"/>
    </xf>
    <xf numFmtId="164" fontId="0" fillId="32" borderId="0" xfId="0" applyFont="false" applyBorder="false" applyAlignment="false" applyProtection="false">
      <alignment horizontal="general" vertical="bottom" textRotation="0" wrapText="false" indent="0" shrinkToFit="false"/>
      <protection locked="true" hidden="false"/>
    </xf>
    <xf numFmtId="164" fontId="4" fillId="32" borderId="0" xfId="0" applyFont="true" applyBorder="false" applyAlignment="false" applyProtection="false">
      <alignment horizontal="general" vertical="bottom" textRotation="0" wrapText="false" indent="0" shrinkToFit="false"/>
      <protection locked="true" hidden="false"/>
    </xf>
    <xf numFmtId="164" fontId="8" fillId="3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2" fillId="29" borderId="5" xfId="0" applyFont="true" applyBorder="true" applyAlignment="false" applyProtection="false">
      <alignment horizontal="general"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6" fontId="0" fillId="25" borderId="5" xfId="0" applyFont="true" applyBorder="true" applyAlignment="false" applyProtection="false">
      <alignment horizontal="general" vertical="bottom" textRotation="0" wrapText="false" indent="0" shrinkToFit="false"/>
      <protection locked="true" hidden="false"/>
    </xf>
    <xf numFmtId="166" fontId="0" fillId="25" borderId="23" xfId="0" applyFont="true" applyBorder="true" applyAlignment="false" applyProtection="false">
      <alignment horizontal="general" vertical="bottom" textRotation="0" wrapText="false" indent="0" shrinkToFit="false"/>
      <protection locked="true" hidden="false"/>
    </xf>
    <xf numFmtId="166" fontId="0" fillId="13" borderId="5" xfId="0" applyFont="true" applyBorder="true" applyAlignment="false" applyProtection="false">
      <alignment horizontal="general" vertical="bottom" textRotation="0" wrapText="false" indent="0" shrinkToFit="false"/>
      <protection locked="true" hidden="false"/>
    </xf>
    <xf numFmtId="166" fontId="0" fillId="13"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true"/>
      <protection locked="true" hidden="false"/>
    </xf>
    <xf numFmtId="164" fontId="43" fillId="34" borderId="23" xfId="0" applyFont="true" applyBorder="true" applyAlignment="true" applyProtection="false">
      <alignment horizontal="general" vertical="bottom" textRotation="0" wrapText="false" indent="0" shrinkToFit="true"/>
      <protection locked="true" hidden="false"/>
    </xf>
    <xf numFmtId="164" fontId="43" fillId="34" borderId="0" xfId="0" applyFont="true" applyBorder="false" applyAlignment="true" applyProtection="false">
      <alignment horizontal="general" vertical="bottom" textRotation="0" wrapText="false" indent="0" shrinkToFit="true"/>
      <protection locked="true" hidden="false"/>
    </xf>
    <xf numFmtId="164" fontId="0" fillId="29" borderId="5" xfId="0" applyFont="true" applyBorder="tru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5" fontId="76" fillId="0" borderId="5" xfId="0" applyFont="true" applyBorder="true" applyAlignment="false" applyProtection="false">
      <alignment horizontal="general" vertical="bottom" textRotation="0" wrapText="false" indent="0" shrinkToFit="false"/>
      <protection locked="true" hidden="false"/>
    </xf>
    <xf numFmtId="165" fontId="30" fillId="15" borderId="5" xfId="0" applyFont="true" applyBorder="true" applyAlignment="false" applyProtection="false">
      <alignment horizontal="general" vertical="bottom" textRotation="0" wrapText="false" indent="0" shrinkToFit="false"/>
      <protection locked="true" hidden="false"/>
    </xf>
    <xf numFmtId="167" fontId="12" fillId="0" borderId="5" xfId="0" applyFont="true" applyBorder="true" applyAlignment="false" applyProtection="false">
      <alignment horizontal="general" vertical="bottom" textRotation="0" wrapText="false" indent="0" shrinkToFit="false"/>
      <protection locked="true" hidden="false"/>
    </xf>
    <xf numFmtId="165" fontId="30" fillId="0" borderId="5" xfId="0" applyFont="true" applyBorder="true" applyAlignment="false" applyProtection="false">
      <alignment horizontal="general" vertical="bottom" textRotation="0" wrapText="false" indent="0" shrinkToFit="false"/>
      <protection locked="true" hidden="false"/>
    </xf>
    <xf numFmtId="164" fontId="0" fillId="14" borderId="5" xfId="0" applyFont="true" applyBorder="true" applyAlignment="false" applyProtection="false">
      <alignment horizontal="general" vertical="bottom" textRotation="0" wrapText="false" indent="0" shrinkToFit="false"/>
      <protection locked="true" hidden="false"/>
    </xf>
    <xf numFmtId="164" fontId="77" fillId="0" borderId="0" xfId="0" applyFont="true" applyBorder="false" applyAlignment="false" applyProtection="false">
      <alignment horizontal="general" vertical="bottom" textRotation="0" wrapText="false" indent="0" shrinkToFit="false"/>
      <protection locked="true" hidden="false"/>
    </xf>
    <xf numFmtId="165" fontId="78" fillId="3" borderId="5" xfId="0" applyFont="true" applyBorder="true" applyAlignment="false" applyProtection="false">
      <alignment horizontal="general" vertical="bottom" textRotation="0" wrapText="false" indent="0" shrinkToFit="false"/>
      <protection locked="true" hidden="false"/>
    </xf>
    <xf numFmtId="165" fontId="79" fillId="19" borderId="5" xfId="0" applyFont="true" applyBorder="true" applyAlignment="false" applyProtection="false">
      <alignment horizontal="general" vertical="bottom" textRotation="0" wrapText="false" indent="0" shrinkToFit="false"/>
      <protection locked="true" hidden="false"/>
    </xf>
    <xf numFmtId="165" fontId="80" fillId="0" borderId="5" xfId="0" applyFont="true" applyBorder="true" applyAlignment="false" applyProtection="false">
      <alignment horizontal="general" vertical="bottom" textRotation="0" wrapText="false" indent="0" shrinkToFit="false"/>
      <protection locked="true" hidden="false"/>
    </xf>
    <xf numFmtId="167" fontId="79" fillId="3" borderId="5" xfId="0" applyFont="true" applyBorder="true" applyAlignment="false" applyProtection="false">
      <alignment horizontal="general" vertical="bottom" textRotation="0" wrapText="false" indent="0" shrinkToFit="false"/>
      <protection locked="true" hidden="false"/>
    </xf>
    <xf numFmtId="165" fontId="80" fillId="4" borderId="5" xfId="0" applyFont="true" applyBorder="true" applyAlignment="false" applyProtection="false">
      <alignment horizontal="general" vertical="bottom" textRotation="0" wrapText="false" indent="0" shrinkToFit="false"/>
      <protection locked="true" hidden="false"/>
    </xf>
    <xf numFmtId="167" fontId="8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77" fillId="0" borderId="0" xfId="0" applyFont="true" applyBorder="fals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true">
      <alignment horizontal="general" vertical="bottom" textRotation="0" wrapText="false" indent="0" shrinkToFit="false"/>
      <protection locked="false" hidden="false"/>
    </xf>
    <xf numFmtId="164" fontId="77"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79" fillId="0" borderId="5" xfId="0" applyFont="tru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79" fillId="0" borderId="0" xfId="0" applyFont="true" applyBorder="false" applyAlignment="false" applyProtection="false">
      <alignment horizontal="general" vertical="bottom" textRotation="0" wrapText="false" indent="0" shrinkToFit="false"/>
      <protection locked="true" hidden="false"/>
    </xf>
    <xf numFmtId="165" fontId="79" fillId="3" borderId="5" xfId="0" applyFont="true" applyBorder="true" applyAlignment="false" applyProtection="false">
      <alignment horizontal="general" vertical="bottom" textRotation="0" wrapText="false" indent="0" shrinkToFit="false"/>
      <protection locked="true" hidden="false"/>
    </xf>
    <xf numFmtId="167" fontId="79" fillId="0" borderId="5"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70" fontId="0" fillId="9" borderId="5" xfId="0" applyFont="false" applyBorder="true" applyAlignment="false" applyProtection="false">
      <alignment horizontal="general" vertical="bottom" textRotation="0" wrapText="false" indent="0" shrinkToFit="false"/>
      <protection locked="true" hidden="false"/>
    </xf>
    <xf numFmtId="164" fontId="5" fillId="22" borderId="23" xfId="0" applyFont="true" applyBorder="true" applyAlignment="false" applyProtection="false">
      <alignment horizontal="general" vertical="bottom" textRotation="0" wrapText="false" indent="0" shrinkToFit="false"/>
      <protection locked="true" hidden="false"/>
    </xf>
    <xf numFmtId="164" fontId="5" fillId="22" borderId="37" xfId="0" applyFont="true" applyBorder="true" applyAlignment="false" applyProtection="false">
      <alignment horizontal="general" vertical="bottom" textRotation="0" wrapText="false" indent="0" shrinkToFit="false"/>
      <protection locked="true" hidden="false"/>
    </xf>
    <xf numFmtId="164" fontId="0" fillId="22" borderId="9" xfId="0" applyFont="false" applyBorder="true" applyAlignment="false" applyProtection="false">
      <alignment horizontal="general" vertical="bottom" textRotation="0" wrapText="false" indent="0" shrinkToFit="false"/>
      <protection locked="true" hidden="false"/>
    </xf>
    <xf numFmtId="164" fontId="43" fillId="30" borderId="5" xfId="0" applyFont="true" applyBorder="true" applyAlignment="fals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5" fillId="29" borderId="5" xfId="0" applyFont="true" applyBorder="true" applyAlignment="false" applyProtection="false">
      <alignment horizontal="general" vertical="bottom" textRotation="0" wrapText="false" indent="0" shrinkToFit="false"/>
      <protection locked="true" hidden="false"/>
    </xf>
    <xf numFmtId="164" fontId="42" fillId="22" borderId="23"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43" fillId="38" borderId="5" xfId="0" applyFont="true" applyBorder="tru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43" fillId="30" borderId="32" xfId="0" applyFont="true" applyBorder="true" applyAlignment="true" applyProtection="false">
      <alignment horizontal="general" vertical="bottom" textRotation="0" wrapText="false" indent="0" shrinkToFit="tru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43" fillId="5" borderId="5" xfId="0" applyFont="true" applyBorder="true" applyAlignment="true" applyProtection="false">
      <alignment horizontal="general" vertical="bottom" textRotation="0" wrapText="false" indent="0" shrinkToFit="true"/>
      <protection locked="true" hidden="false"/>
    </xf>
    <xf numFmtId="164" fontId="42" fillId="22" borderId="5" xfId="0" applyFont="true" applyBorder="true" applyAlignment="false" applyProtection="false">
      <alignment horizontal="general" vertical="bottom" textRotation="0" wrapText="false" indent="0" shrinkToFit="false"/>
      <protection locked="true" hidden="false"/>
    </xf>
    <xf numFmtId="164" fontId="4" fillId="37" borderId="5" xfId="0" applyFont="true" applyBorder="true" applyAlignment="false" applyProtection="false">
      <alignment horizontal="general" vertical="bottom" textRotation="0" wrapText="false" indent="0" shrinkToFit="false"/>
      <protection locked="true" hidden="false"/>
    </xf>
    <xf numFmtId="164" fontId="9" fillId="37" borderId="9" xfId="0" applyFont="true" applyBorder="true" applyAlignment="false" applyProtection="false">
      <alignment horizontal="general" vertical="bottom" textRotation="0" wrapText="false" indent="0" shrinkToFit="false"/>
      <protection locked="true" hidden="false"/>
    </xf>
    <xf numFmtId="164" fontId="0" fillId="21" borderId="23" xfId="0" applyFont="true" applyBorder="true" applyAlignment="false" applyProtection="false">
      <alignment horizontal="general" vertical="bottom" textRotation="0" wrapText="false" indent="0" shrinkToFit="false"/>
      <protection locked="true" hidden="false"/>
    </xf>
    <xf numFmtId="164" fontId="0" fillId="21" borderId="37" xfId="0" applyFont="false" applyBorder="true" applyAlignment="false" applyProtection="false">
      <alignment horizontal="general" vertical="bottom" textRotation="0" wrapText="false" indent="0" shrinkToFit="false"/>
      <protection locked="true" hidden="false"/>
    </xf>
    <xf numFmtId="164" fontId="0" fillId="13" borderId="37" xfId="0" applyFont="false" applyBorder="true" applyAlignment="false" applyProtection="false">
      <alignment horizontal="general" vertical="bottom" textRotation="0" wrapText="false" indent="0" shrinkToFit="false"/>
      <protection locked="true" hidden="false"/>
    </xf>
    <xf numFmtId="164" fontId="0" fillId="13" borderId="9" xfId="0" applyFont="false" applyBorder="true" applyAlignment="false" applyProtection="false">
      <alignment horizontal="general" vertical="bottom" textRotation="0" wrapText="false" indent="0" shrinkToFit="false"/>
      <protection locked="true" hidden="false"/>
    </xf>
    <xf numFmtId="164" fontId="0" fillId="32" borderId="37" xfId="0" applyFont="true" applyBorder="true" applyAlignment="false" applyProtection="false">
      <alignment horizontal="general" vertical="bottom" textRotation="0" wrapText="false" indent="0" shrinkToFit="false"/>
      <protection locked="true" hidden="false"/>
    </xf>
    <xf numFmtId="164" fontId="0" fillId="32" borderId="9" xfId="0" applyFont="false" applyBorder="true" applyAlignment="false" applyProtection="false">
      <alignment horizontal="general" vertical="bottom" textRotation="0" wrapText="false" indent="0" shrinkToFit="false"/>
      <protection locked="true" hidden="false"/>
    </xf>
    <xf numFmtId="164" fontId="0" fillId="4" borderId="23" xfId="0" applyFont="true" applyBorder="true" applyAlignment="false" applyProtection="false">
      <alignment horizontal="general" vertical="bottom" textRotation="0" wrapText="false" indent="0" shrinkToFit="false"/>
      <protection locked="true" hidden="false"/>
    </xf>
    <xf numFmtId="164" fontId="0" fillId="4" borderId="37"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4" fontId="0" fillId="25" borderId="8" xfId="0" applyFont="true" applyBorder="true" applyAlignment="false" applyProtection="false">
      <alignment horizontal="general"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9" fillId="35" borderId="5" xfId="0" applyFont="true" applyBorder="true" applyAlignment="false" applyProtection="false">
      <alignment horizontal="general" vertical="bottom" textRotation="0" wrapText="false" indent="0" shrinkToFit="false"/>
      <protection locked="true" hidden="false"/>
    </xf>
    <xf numFmtId="164" fontId="9" fillId="8" borderId="5" xfId="0" applyFont="true" applyBorder="true" applyAlignment="false" applyProtection="false">
      <alignment horizontal="general" vertical="bottom" textRotation="0" wrapText="false" indent="0" shrinkToFit="false"/>
      <protection locked="true" hidden="false"/>
    </xf>
    <xf numFmtId="165" fontId="12" fillId="25" borderId="5" xfId="0" applyFont="true" applyBorder="true" applyAlignment="false" applyProtection="false">
      <alignment horizontal="general" vertical="bottom" textRotation="0" wrapText="false" indent="0" shrinkToFit="false"/>
      <protection locked="true" hidden="false"/>
    </xf>
    <xf numFmtId="165" fontId="12" fillId="9" borderId="5" xfId="0" applyFont="true" applyBorder="true" applyAlignment="false" applyProtection="false">
      <alignment horizontal="general" vertical="bottom" textRotation="0" wrapText="false" indent="0" shrinkToFit="false"/>
      <protection locked="true" hidden="false"/>
    </xf>
    <xf numFmtId="164" fontId="9" fillId="20" borderId="5" xfId="0" applyFont="true" applyBorder="true" applyAlignment="false" applyProtection="false">
      <alignment horizontal="general" vertical="bottom" textRotation="0" wrapText="false" indent="0" shrinkToFit="false"/>
      <protection locked="true" hidden="false"/>
    </xf>
    <xf numFmtId="166" fontId="12" fillId="22" borderId="5" xfId="0" applyFont="true" applyBorder="true" applyAlignment="false" applyProtection="false">
      <alignment horizontal="general" vertical="bottom" textRotation="0" wrapText="false" indent="0" shrinkToFit="false"/>
      <protection locked="true" hidden="false"/>
    </xf>
    <xf numFmtId="165" fontId="12" fillId="7" borderId="5"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3" fillId="26" borderId="0" xfId="0" applyFont="true" applyBorder="false" applyAlignment="false" applyProtection="false">
      <alignment horizontal="general" vertical="bottom" textRotation="0" wrapText="false" indent="0" shrinkToFit="false"/>
      <protection locked="true" hidden="false"/>
    </xf>
    <xf numFmtId="164" fontId="90"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false" applyProtection="false">
      <alignment horizontal="general" vertical="bottom" textRotation="0" wrapText="false" indent="0" shrinkToFit="false"/>
      <protection locked="true" hidden="false"/>
    </xf>
    <xf numFmtId="164" fontId="93"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74" fontId="12" fillId="0" borderId="0" xfId="0" applyFont="true" applyBorder="false" applyAlignment="false" applyProtection="false">
      <alignment horizontal="general" vertical="bottom" textRotation="0" wrapText="false" indent="0" shrinkToFit="false"/>
      <protection locked="true" hidden="false"/>
    </xf>
    <xf numFmtId="166" fontId="34" fillId="0" borderId="0" xfId="0" applyFont="true" applyBorder="false" applyAlignment="false" applyProtection="false">
      <alignment horizontal="general"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4" fontId="19" fillId="17" borderId="18" xfId="0" applyFont="true" applyBorder="true" applyAlignment="true" applyProtection="false">
      <alignment horizontal="center" vertical="bottom" textRotation="0" wrapText="false" indent="0" shrinkToFit="false"/>
      <protection locked="true" hidden="false"/>
    </xf>
    <xf numFmtId="174" fontId="16" fillId="6" borderId="4" xfId="0" applyFont="true" applyBorder="true" applyAlignment="true" applyProtection="false">
      <alignment horizontal="center" vertical="bottom" textRotation="0" wrapText="false" indent="0" shrinkToFit="false"/>
      <protection locked="true" hidden="false"/>
    </xf>
    <xf numFmtId="164" fontId="16" fillId="6" borderId="4" xfId="0" applyFont="true" applyBorder="true" applyAlignment="true" applyProtection="false">
      <alignment horizontal="center" vertical="bottom" textRotation="0" wrapText="false" indent="0" shrinkToFit="false"/>
      <protection locked="true" hidden="false"/>
    </xf>
    <xf numFmtId="164" fontId="17" fillId="6" borderId="4" xfId="0" applyFont="true" applyBorder="true" applyAlignment="true" applyProtection="false">
      <alignment horizontal="center" vertical="bottom" textRotation="0" wrapText="false" indent="0" shrinkToFit="false"/>
      <protection locked="true" hidden="false"/>
    </xf>
    <xf numFmtId="175" fontId="18" fillId="6" borderId="4" xfId="0" applyFont="true" applyBorder="true" applyAlignment="true" applyProtection="false">
      <alignment horizontal="center" vertical="bottom" textRotation="0" wrapText="false" indent="0" shrinkToFit="false"/>
      <protection locked="true" hidden="false"/>
    </xf>
    <xf numFmtId="167" fontId="18" fillId="6" borderId="4" xfId="0" applyFont="true" applyBorder="true" applyAlignment="true" applyProtection="false">
      <alignment horizontal="center" vertical="bottom" textRotation="0" wrapText="false" indent="0" shrinkToFit="false"/>
      <protection locked="true" hidden="false"/>
    </xf>
    <xf numFmtId="164" fontId="16" fillId="6" borderId="18" xfId="0" applyFont="true" applyBorder="true" applyAlignment="true" applyProtection="false">
      <alignment horizontal="center" vertical="bottom" textRotation="0" wrapText="false" indent="0" shrinkToFit="false"/>
      <protection locked="true" hidden="false"/>
    </xf>
    <xf numFmtId="164" fontId="16" fillId="39" borderId="18" xfId="0" applyFont="true" applyBorder="true" applyAlignment="true" applyProtection="false">
      <alignment horizontal="center" vertical="bottom" textRotation="0" wrapText="false" indent="0" shrinkToFit="false"/>
      <protection locked="true" hidden="false"/>
    </xf>
    <xf numFmtId="174" fontId="19" fillId="7" borderId="18" xfId="0" applyFont="true" applyBorder="true" applyAlignment="true" applyProtection="false">
      <alignment horizontal="center" vertical="bottom" textRotation="0" wrapText="false" indent="0" shrinkToFit="false"/>
      <protection locked="true" hidden="false"/>
    </xf>
    <xf numFmtId="174" fontId="19" fillId="7" borderId="4" xfId="0" applyFont="true" applyBorder="true" applyAlignment="true" applyProtection="false">
      <alignment horizontal="center" vertical="bottom" textRotation="0" wrapText="false" indent="0" shrinkToFit="false"/>
      <protection locked="true" hidden="false"/>
    </xf>
    <xf numFmtId="174" fontId="35" fillId="0" borderId="5" xfId="0" applyFont="true" applyBorder="true" applyAlignment="true" applyProtection="false">
      <alignment horizontal="center"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74" fontId="12" fillId="0" borderId="5" xfId="0" applyFont="true" applyBorder="true" applyAlignment="false" applyProtection="false">
      <alignment horizontal="general" vertical="bottom" textRotation="0" wrapText="false" indent="0" shrinkToFit="false"/>
      <protection locked="true" hidden="false"/>
    </xf>
    <xf numFmtId="172" fontId="12" fillId="0" borderId="5" xfId="0" applyFont="true" applyBorder="true" applyAlignment="false" applyProtection="false">
      <alignment horizontal="general" vertical="bottom" textRotation="0" wrapText="false" indent="0" shrinkToFit="false"/>
      <protection locked="true" hidden="false"/>
    </xf>
    <xf numFmtId="175" fontId="12" fillId="0" borderId="5" xfId="0" applyFont="true" applyBorder="true" applyAlignment="false" applyProtection="false">
      <alignment horizontal="general" vertical="bottom" textRotation="0" wrapText="false" indent="0" shrinkToFit="false"/>
      <protection locked="true" hidden="false"/>
    </xf>
    <xf numFmtId="164" fontId="0" fillId="25" borderId="5" xfId="0" applyFont="true" applyBorder="true" applyAlignment="true" applyProtection="false">
      <alignment horizontal="center" vertical="bottom" textRotation="0" wrapText="false" indent="0" shrinkToFit="false"/>
      <protection locked="true" hidden="false"/>
    </xf>
    <xf numFmtId="164" fontId="0" fillId="25" borderId="5" xfId="0" applyFont="true" applyBorder="true" applyAlignment="true" applyProtection="false">
      <alignment horizontal="left" vertical="bottom" textRotation="0" wrapText="false" indent="0" shrinkToFit="false"/>
      <protection locked="true" hidden="false"/>
    </xf>
    <xf numFmtId="164" fontId="42" fillId="25" borderId="23" xfId="0" applyFont="true" applyBorder="true" applyAlignment="true" applyProtection="false">
      <alignment horizontal="left" vertical="bottom" textRotation="0" wrapText="false" indent="0" shrinkToFit="false"/>
      <protection locked="true" hidden="false"/>
    </xf>
    <xf numFmtId="164" fontId="42" fillId="25" borderId="9" xfId="0" applyFont="true" applyBorder="true" applyAlignment="false" applyProtection="false">
      <alignment horizontal="general" vertical="bottom" textRotation="0" wrapText="false" indent="0" shrinkToFit="false"/>
      <protection locked="true" hidden="false"/>
    </xf>
    <xf numFmtId="174" fontId="16" fillId="6" borderId="5" xfId="0" applyFont="true" applyBorder="true" applyAlignment="true" applyProtection="false">
      <alignment horizontal="center" vertical="bottom" textRotation="0" wrapText="false" indent="0" shrinkToFit="false"/>
      <protection locked="true" hidden="false"/>
    </xf>
    <xf numFmtId="164" fontId="42" fillId="5" borderId="0" xfId="0" applyFont="true" applyBorder="false" applyAlignment="true" applyProtection="false">
      <alignment horizontal="center" vertical="bottom" textRotation="0" wrapText="false" indent="0" shrinkToFit="false"/>
      <protection locked="true" hidden="false"/>
    </xf>
    <xf numFmtId="174" fontId="16" fillId="30" borderId="0" xfId="0" applyFont="true" applyBorder="false" applyAlignment="true" applyProtection="false">
      <alignment horizontal="left" vertical="bottom" textRotation="0" wrapText="false" indent="0" shrinkToFit="false"/>
      <protection locked="true" hidden="false"/>
    </xf>
    <xf numFmtId="164" fontId="8" fillId="37"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74" fontId="16" fillId="6" borderId="0" xfId="0" applyFont="true" applyBorder="false" applyAlignment="true" applyProtection="false">
      <alignment horizontal="center" vertical="bottom" textRotation="0" wrapText="false" indent="0" shrinkToFit="false"/>
      <protection locked="true" hidden="false"/>
    </xf>
    <xf numFmtId="164" fontId="16" fillId="6" borderId="0" xfId="0" applyFont="true" applyBorder="false" applyAlignment="true" applyProtection="false">
      <alignment horizontal="center" vertical="bottom" textRotation="0" wrapText="false" indent="0" shrinkToFit="false"/>
      <protection locked="true" hidden="false"/>
    </xf>
    <xf numFmtId="164" fontId="17" fillId="6"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4" fontId="102" fillId="0" borderId="0" xfId="0" applyFont="true" applyBorder="false" applyAlignment="false" applyProtection="false">
      <alignment horizontal="general" vertical="bottom" textRotation="0" wrapText="false" indent="0" shrinkToFit="false"/>
      <protection locked="true" hidden="false"/>
    </xf>
    <xf numFmtId="176" fontId="0" fillId="15"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7" borderId="5" xfId="0" applyFont="true" applyBorder="tru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04" fillId="0" borderId="0" xfId="0" applyFont="true" applyBorder="false" applyAlignment="false" applyProtection="false">
      <alignment horizontal="general" vertical="bottom" textRotation="0" wrapText="false" indent="0" shrinkToFit="false"/>
      <protection locked="true" hidden="false"/>
    </xf>
    <xf numFmtId="164" fontId="105" fillId="0" borderId="0" xfId="0" applyFont="true" applyBorder="false" applyAlignment="false" applyProtection="false">
      <alignment horizontal="general" vertical="bottom" textRotation="0" wrapText="false" indent="0" shrinkToFit="false"/>
      <protection locked="true" hidden="false"/>
    </xf>
    <xf numFmtId="167" fontId="0" fillId="34"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75" fontId="0" fillId="2" borderId="0" xfId="0" applyFont="false" applyBorder="false" applyAlignment="true" applyProtection="false">
      <alignment horizontal="center" vertical="bottom" textRotation="0" wrapText="false" indent="0" shrinkToFit="false"/>
      <protection locked="true" hidden="false"/>
    </xf>
    <xf numFmtId="164" fontId="0" fillId="21" borderId="0" xfId="0" applyFont="false" applyBorder="false" applyAlignment="true" applyProtection="false">
      <alignment horizontal="center" vertical="bottom" textRotation="0" wrapText="false" indent="0" shrinkToFit="false"/>
      <protection locked="true" hidden="false"/>
    </xf>
    <xf numFmtId="175" fontId="0" fillId="21" borderId="0" xfId="0" applyFont="fals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8" fillId="31" borderId="5"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13" borderId="5" xfId="0" applyFont="true" applyBorder="true" applyAlignment="true" applyProtection="false">
      <alignment horizontal="left"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7" fontId="0" fillId="25" borderId="5" xfId="0" applyFont="false" applyBorder="true" applyAlignment="false" applyProtection="false">
      <alignment horizontal="general" vertical="bottom" textRotation="0" wrapText="false" indent="0" shrinkToFit="false"/>
      <protection locked="true" hidden="false"/>
    </xf>
    <xf numFmtId="164" fontId="0" fillId="40" borderId="8" xfId="0" applyFont="false" applyBorder="true" applyAlignment="false" applyProtection="false">
      <alignment horizontal="general" vertical="bottom" textRotation="0" wrapText="false" indent="0" shrinkToFit="false"/>
      <protection locked="true" hidden="false"/>
    </xf>
    <xf numFmtId="164" fontId="0" fillId="40" borderId="38" xfId="0" applyFont="false" applyBorder="true" applyAlignment="false" applyProtection="false">
      <alignment horizontal="general" vertical="bottom" textRotation="0" wrapText="false" indent="0" shrinkToFit="false"/>
      <protection locked="true" hidden="false"/>
    </xf>
    <xf numFmtId="164" fontId="0" fillId="40" borderId="39" xfId="0" applyFont="false" applyBorder="true" applyAlignment="false" applyProtection="false">
      <alignment horizontal="general" vertical="bottom" textRotation="0" wrapText="false" indent="0" shrinkToFit="false"/>
      <protection locked="true" hidden="false"/>
    </xf>
    <xf numFmtId="164" fontId="0" fillId="40" borderId="40" xfId="0" applyFont="false" applyBorder="true" applyAlignment="false" applyProtection="false">
      <alignment horizontal="general" vertical="bottom" textRotation="0" wrapText="false" indent="0" shrinkToFit="false"/>
      <protection locked="true" hidden="false"/>
    </xf>
    <xf numFmtId="164" fontId="0" fillId="4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5" borderId="5" xfId="0" applyFont="false" applyBorder="true" applyAlignment="true" applyProtection="false">
      <alignment horizontal="right" vertical="bottom" textRotation="0" wrapText="false" indent="0" shrinkToFit="false"/>
      <protection locked="true" hidden="false"/>
    </xf>
    <xf numFmtId="168" fontId="0" fillId="13" borderId="5" xfId="0" applyFont="true" applyBorder="true" applyAlignment="true" applyProtection="false">
      <alignment horizontal="left" vertical="bottom" textRotation="0" wrapText="false" indent="0" shrinkToFit="false"/>
      <protection locked="true" hidden="false"/>
    </xf>
    <xf numFmtId="164" fontId="40" fillId="13" borderId="0" xfId="0" applyFont="true" applyBorder="false" applyAlignment="false" applyProtection="false">
      <alignment horizontal="general" vertical="bottom" textRotation="0" wrapText="false" indent="0" shrinkToFit="false"/>
      <protection locked="true" hidden="false"/>
    </xf>
    <xf numFmtId="164" fontId="9" fillId="21" borderId="5"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0" fillId="15" borderId="23" xfId="0" applyFont="true" applyBorder="true" applyAlignment="false" applyProtection="false">
      <alignment horizontal="general" vertical="bottom" textRotation="0" wrapText="false" indent="0" shrinkToFit="false"/>
      <protection locked="true" hidden="false"/>
    </xf>
    <xf numFmtId="164" fontId="0" fillId="15" borderId="37" xfId="0" applyFont="false" applyBorder="true" applyAlignment="false" applyProtection="false">
      <alignment horizontal="general" vertical="bottom" textRotation="0" wrapText="false" indent="0" shrinkToFit="false"/>
      <protection locked="true" hidden="false"/>
    </xf>
    <xf numFmtId="164" fontId="6" fillId="15" borderId="37" xfId="0" applyFont="true" applyBorder="true" applyAlignment="false" applyProtection="false">
      <alignment horizontal="general" vertical="bottom" textRotation="0" wrapText="false" indent="0" shrinkToFit="false"/>
      <protection locked="true" hidden="false"/>
    </xf>
    <xf numFmtId="164" fontId="6" fillId="22" borderId="37"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false" applyProtection="false">
      <alignment horizontal="general" vertical="bottom" textRotation="0" wrapText="false" indent="0" shrinkToFit="false"/>
      <protection locked="true" hidden="false"/>
    </xf>
    <xf numFmtId="164" fontId="9" fillId="22" borderId="37" xfId="0" applyFont="true" applyBorder="true" applyAlignment="false" applyProtection="false">
      <alignment horizontal="general" vertical="bottom" textRotation="0" wrapText="false" indent="0" shrinkToFit="false"/>
      <protection locked="true" hidden="false"/>
    </xf>
    <xf numFmtId="166" fontId="111" fillId="22" borderId="37" xfId="0" applyFont="true" applyBorder="true" applyAlignment="false" applyProtection="false">
      <alignment horizontal="general" vertical="bottom" textRotation="0" wrapText="false" indent="0" shrinkToFit="false"/>
      <protection locked="true" hidden="false"/>
    </xf>
    <xf numFmtId="164" fontId="0" fillId="23" borderId="9" xfId="0" applyFont="false" applyBorder="true" applyAlignment="false" applyProtection="false">
      <alignment horizontal="general" vertical="bottom" textRotation="0" wrapText="false" indent="0" shrinkToFit="false"/>
      <protection locked="true" hidden="false"/>
    </xf>
    <xf numFmtId="164" fontId="0" fillId="21" borderId="9" xfId="0" applyFont="false" applyBorder="true" applyAlignment="false" applyProtection="false">
      <alignment horizontal="general" vertical="bottom" textRotation="0" wrapText="false" indent="0" shrinkToFit="false"/>
      <protection locked="true" hidden="false"/>
    </xf>
    <xf numFmtId="164" fontId="0" fillId="27" borderId="37" xfId="0" applyFont="true" applyBorder="true" applyAlignment="false" applyProtection="false">
      <alignment horizontal="general" vertical="bottom" textRotation="0" wrapText="false" indent="0" shrinkToFit="false"/>
      <protection locked="true" hidden="false"/>
    </xf>
    <xf numFmtId="164" fontId="0" fillId="37" borderId="23" xfId="0" applyFont="true" applyBorder="true" applyAlignment="false" applyProtection="false">
      <alignment horizontal="general" vertical="bottom" textRotation="0" wrapText="false" indent="0" shrinkToFit="false"/>
      <protection locked="true" hidden="false"/>
    </xf>
    <xf numFmtId="164" fontId="0" fillId="37" borderId="37" xfId="0" applyFont="false" applyBorder="true" applyAlignment="false" applyProtection="false">
      <alignment horizontal="general" vertical="bottom" textRotation="0" wrapText="false" indent="0" shrinkToFit="false"/>
      <protection locked="true" hidden="false"/>
    </xf>
    <xf numFmtId="164" fontId="0" fillId="37" borderId="9" xfId="0" applyFont="false" applyBorder="true" applyAlignment="false" applyProtection="false">
      <alignment horizontal="general" vertical="bottom" textRotation="0" wrapText="false" indent="0" shrinkToFit="false"/>
      <protection locked="true" hidden="false"/>
    </xf>
    <xf numFmtId="164" fontId="0" fillId="36" borderId="23" xfId="0" applyFont="true" applyBorder="true" applyAlignment="false" applyProtection="false">
      <alignment horizontal="general" vertical="bottom" textRotation="0" wrapText="false" indent="0" shrinkToFit="false"/>
      <protection locked="true" hidden="false"/>
    </xf>
    <xf numFmtId="164" fontId="0" fillId="36" borderId="37" xfId="0" applyFont="false" applyBorder="true" applyAlignment="false" applyProtection="false">
      <alignment horizontal="general" vertical="bottom" textRotation="0" wrapText="false" indent="0" shrinkToFit="false"/>
      <protection locked="true" hidden="false"/>
    </xf>
    <xf numFmtId="164" fontId="0" fillId="36" borderId="9" xfId="0" applyFont="false" applyBorder="true" applyAlignment="false" applyProtection="false">
      <alignment horizontal="general" vertical="bottom" textRotation="0" wrapText="false" indent="0" shrinkToFit="false"/>
      <protection locked="true" hidden="false"/>
    </xf>
    <xf numFmtId="164" fontId="0" fillId="32" borderId="23" xfId="0" applyFont="true" applyBorder="true" applyAlignment="false" applyProtection="false">
      <alignment horizontal="general" vertical="bottom" textRotation="0" wrapText="false" indent="0" shrinkToFit="false"/>
      <protection locked="true" hidden="false"/>
    </xf>
    <xf numFmtId="164" fontId="0" fillId="34" borderId="34" xfId="0" applyFont="true" applyBorder="true" applyAlignment="false" applyProtection="false">
      <alignment horizontal="general" vertical="bottom" textRotation="0" wrapText="false" indent="0" shrinkToFit="false"/>
      <protection locked="true" hidden="false"/>
    </xf>
    <xf numFmtId="164" fontId="0" fillId="34" borderId="35" xfId="0" applyFont="true" applyBorder="true" applyAlignment="false" applyProtection="false">
      <alignment horizontal="general" vertical="bottom" textRotation="0" wrapText="false" indent="0" shrinkToFit="false"/>
      <protection locked="true" hidden="false"/>
    </xf>
    <xf numFmtId="164" fontId="0" fillId="34" borderId="36" xfId="0" applyFont="false" applyBorder="true" applyAlignment="false" applyProtection="false">
      <alignment horizontal="general" vertical="bottom" textRotation="0" wrapText="false" indent="0" shrinkToFit="false"/>
      <protection locked="true" hidden="false"/>
    </xf>
    <xf numFmtId="164" fontId="48" fillId="15" borderId="5" xfId="0" applyFont="true" applyBorder="true" applyAlignment="false" applyProtection="false">
      <alignment horizontal="general" vertical="bottom" textRotation="0" wrapText="false" indent="0" shrinkToFit="false"/>
      <protection locked="true" hidden="false"/>
    </xf>
    <xf numFmtId="164" fontId="48" fillId="15" borderId="5" xfId="0" applyFont="true" applyBorder="true" applyAlignment="true" applyProtection="false">
      <alignment horizontal="center" vertical="bottom" textRotation="0" wrapText="false" indent="0" shrinkToFit="false"/>
      <protection locked="true" hidden="false"/>
    </xf>
    <xf numFmtId="164" fontId="48" fillId="22" borderId="5" xfId="0" applyFont="true" applyBorder="true" applyAlignment="false" applyProtection="false">
      <alignment horizontal="general" vertical="bottom" textRotation="0" wrapText="false" indent="0" shrinkToFit="false"/>
      <protection locked="true" hidden="false"/>
    </xf>
    <xf numFmtId="164" fontId="0" fillId="22" borderId="5" xfId="0" applyFont="true" applyBorder="true" applyAlignment="true" applyProtection="false">
      <alignment horizontal="general" vertical="bottom" textRotation="0" wrapText="false" indent="0" shrinkToFit="true"/>
      <protection locked="true" hidden="false"/>
    </xf>
    <xf numFmtId="164" fontId="9" fillId="22" borderId="5" xfId="0" applyFont="true" applyBorder="true" applyAlignment="true" applyProtection="false">
      <alignment horizontal="general" vertical="bottom" textRotation="0" wrapText="false" indent="0" shrinkToFit="true"/>
      <protection locked="true" hidden="false"/>
    </xf>
    <xf numFmtId="164" fontId="48" fillId="21" borderId="5" xfId="0" applyFont="true" applyBorder="true" applyAlignment="false" applyProtection="false">
      <alignment horizontal="general" vertical="bottom" textRotation="0" wrapText="false" indent="0" shrinkToFit="false"/>
      <protection locked="true" hidden="false"/>
    </xf>
    <xf numFmtId="164" fontId="0" fillId="34" borderId="4" xfId="0" applyFont="true" applyBorder="true" applyAlignment="false" applyProtection="false">
      <alignment horizontal="general" vertical="bottom" textRotation="0" wrapText="false" indent="0" shrinkToFit="false"/>
      <protection locked="true" hidden="false"/>
    </xf>
    <xf numFmtId="171" fontId="0" fillId="34" borderId="4" xfId="0" applyFont="true" applyBorder="true" applyAlignment="false" applyProtection="false">
      <alignment horizontal="general" vertical="bottom" textRotation="0" wrapText="false" indent="0" shrinkToFit="false"/>
      <protection locked="true" hidden="false"/>
    </xf>
    <xf numFmtId="164" fontId="0" fillId="34" borderId="18" xfId="0" applyFont="true" applyBorder="true" applyAlignment="false" applyProtection="false">
      <alignment horizontal="general" vertical="bottom" textRotation="0" wrapText="false" indent="0" shrinkToFit="false"/>
      <protection locked="true" hidden="false"/>
    </xf>
    <xf numFmtId="177" fontId="30" fillId="0" borderId="0" xfId="0" applyFont="true" applyBorder="false" applyAlignment="false" applyProtection="false">
      <alignment horizontal="general" vertical="bottom" textRotation="0" wrapText="fals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8" fontId="30"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7" fontId="30" fillId="0" borderId="0" xfId="0" applyFont="true" applyBorder="false" applyAlignment="false" applyProtection="false">
      <alignment horizontal="general" vertical="bottom" textRotation="0" wrapText="false" indent="0" shrinkToFit="false"/>
      <protection locked="true" hidden="false"/>
    </xf>
    <xf numFmtId="177" fontId="21" fillId="0" borderId="0" xfId="0" applyFont="true" applyBorder="false" applyAlignment="false" applyProtection="false">
      <alignment horizontal="general" vertical="bottom" textRotation="0" wrapText="false" indent="0" shrinkToFit="false"/>
      <protection locked="true" hidden="false"/>
    </xf>
    <xf numFmtId="167" fontId="21" fillId="0" borderId="0" xfId="0" applyFont="true" applyBorder="false" applyAlignment="false" applyProtection="false">
      <alignment horizontal="general" vertical="bottom"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7" fontId="73" fillId="0"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right" vertical="bottom" textRotation="0" wrapText="false" indent="0" shrinkToFit="false"/>
      <protection locked="true" hidden="false"/>
    </xf>
    <xf numFmtId="164" fontId="0" fillId="5" borderId="8" xfId="0" applyFont="true" applyBorder="true" applyAlignment="true" applyProtection="false">
      <alignment horizontal="right" vertical="bottom" textRotation="0" wrapText="false" indent="0" shrinkToFit="false"/>
      <protection locked="true" hidden="false"/>
    </xf>
    <xf numFmtId="164" fontId="0" fillId="34" borderId="23"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true" applyProtection="false">
      <alignment horizontal="general" vertical="bottom" textRotation="0" wrapText="false" indent="0" shrinkToFit="true"/>
      <protection locked="true" hidden="false"/>
    </xf>
    <xf numFmtId="164" fontId="0" fillId="16" borderId="34" xfId="0" applyFont="true" applyBorder="true" applyAlignment="false" applyProtection="false">
      <alignment horizontal="general" vertical="bottom" textRotation="0" wrapText="false" indent="0" shrinkToFit="false"/>
      <protection locked="true" hidden="false"/>
    </xf>
    <xf numFmtId="164" fontId="0" fillId="16" borderId="8" xfId="0" applyFont="true" applyBorder="true" applyAlignment="true" applyProtection="false">
      <alignment horizontal="general" vertical="bottom" textRotation="0" wrapText="false" indent="0" shrinkToFit="true"/>
      <protection locked="true" hidden="false"/>
    </xf>
    <xf numFmtId="164" fontId="0" fillId="16" borderId="8" xfId="0" applyFont="false" applyBorder="true" applyAlignment="false" applyProtection="false">
      <alignment horizontal="general" vertical="bottom" textRotation="0" wrapText="false" indent="0" shrinkToFit="false"/>
      <protection locked="true" hidden="false"/>
    </xf>
    <xf numFmtId="164" fontId="0" fillId="16" borderId="5" xfId="0" applyFont="true" applyBorder="true" applyAlignment="true" applyProtection="false">
      <alignment horizontal="general" vertical="bottom" textRotation="0" wrapText="false" indent="0" shrinkToFit="true"/>
      <protection locked="true" hidden="false"/>
    </xf>
    <xf numFmtId="166" fontId="0" fillId="16" borderId="0" xfId="0" applyFont="false" applyBorder="false" applyAlignment="false" applyProtection="false">
      <alignment horizontal="general" vertical="bottom" textRotation="0" wrapText="false" indent="0" shrinkToFit="false"/>
      <protection locked="true" hidden="false"/>
    </xf>
    <xf numFmtId="164" fontId="0" fillId="23" borderId="5" xfId="0" applyFont="true" applyBorder="true" applyAlignment="true" applyProtection="false">
      <alignment horizontal="general" vertical="bottom" textRotation="0" wrapText="false" indent="0" shrinkToFit="true"/>
      <protection locked="true" hidden="false"/>
    </xf>
    <xf numFmtId="164" fontId="0" fillId="23" borderId="18"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9">
    <dxf>
      <fill>
        <patternFill patternType="solid">
          <fgColor rgb="FF93CDDD"/>
        </patternFill>
      </fill>
    </dxf>
    <dxf>
      <fill>
        <patternFill patternType="solid">
          <fgColor rgb="FFEEEEEC"/>
          <bgColor rgb="FF2D2D2D"/>
        </patternFill>
      </fill>
    </dxf>
    <dxf>
      <fill>
        <patternFill patternType="solid">
          <fgColor rgb="FF948A54"/>
        </patternFill>
      </fill>
    </dxf>
    <dxf>
      <fill>
        <patternFill patternType="solid">
          <fgColor rgb="FFB7DEE8"/>
        </patternFill>
      </fill>
    </dxf>
    <dxf>
      <fill>
        <patternFill patternType="solid">
          <fgColor rgb="FFC4BD97"/>
        </patternFill>
      </fill>
    </dxf>
    <dxf>
      <fill>
        <patternFill patternType="solid">
          <fgColor rgb="FFC6D9F1"/>
        </patternFill>
      </fill>
    </dxf>
    <dxf>
      <fill>
        <patternFill patternType="solid">
          <fgColor rgb="FFD9D9D9"/>
        </patternFill>
      </fill>
    </dxf>
    <dxf>
      <fill>
        <patternFill patternType="solid">
          <fgColor rgb="FFDBEEF4"/>
        </patternFill>
      </fill>
    </dxf>
    <dxf>
      <fill>
        <patternFill patternType="solid">
          <fgColor rgb="FFDDD9C3"/>
        </patternFill>
      </fill>
    </dxf>
    <dxf>
      <fill>
        <patternFill patternType="solid">
          <fgColor rgb="FFE6E0EC"/>
        </patternFill>
      </fill>
    </dxf>
    <dxf>
      <fill>
        <patternFill patternType="solid">
          <fgColor rgb="FFEBF1DE"/>
        </patternFill>
      </fill>
    </dxf>
    <dxf>
      <fill>
        <patternFill patternType="solid">
          <fgColor rgb="FFFAC090"/>
        </patternFill>
      </fill>
    </dxf>
    <dxf>
      <fill>
        <patternFill patternType="solid">
          <fgColor rgb="FFFDEADA"/>
        </patternFill>
      </fill>
    </dxf>
    <dxf>
      <fill>
        <patternFill patternType="solid">
          <fgColor rgb="FFB3A2C7"/>
        </patternFill>
      </fill>
    </dxf>
    <dxf>
      <fill>
        <patternFill patternType="solid">
          <fgColor rgb="FFFCD5B5"/>
        </patternFill>
      </fill>
    </dxf>
    <dxf>
      <fill>
        <patternFill patternType="solid">
          <fgColor rgb="FF558ED5"/>
        </patternFill>
      </fill>
    </dxf>
    <dxf>
      <fill>
        <patternFill patternType="solid">
          <fgColor rgb="FFC3D69B"/>
        </patternFill>
      </fill>
    </dxf>
    <dxf>
      <fill>
        <patternFill patternType="solid">
          <fgColor rgb="FFD99694"/>
        </patternFill>
      </fill>
    </dxf>
    <dxf>
      <fill>
        <patternFill patternType="solid">
          <fgColor rgb="FFDCE6F2"/>
        </patternFill>
      </fill>
    </dxf>
    <dxf>
      <fill>
        <patternFill patternType="solid">
          <fgColor rgb="FFF2DCDB"/>
        </patternFill>
      </fill>
    </dxf>
    <dxf>
      <fill>
        <patternFill patternType="solid">
          <fgColor rgb="00FFFFFF"/>
        </patternFill>
      </fill>
    </dxf>
    <dxf>
      <fill>
        <patternFill patternType="solid">
          <fgColor rgb="FFCCC1DA"/>
        </patternFill>
      </fill>
    </dxf>
    <dxf>
      <fill>
        <patternFill patternType="solid">
          <fgColor rgb="FFE6B9B8"/>
        </patternFill>
      </fill>
    </dxf>
    <dxf>
      <fill>
        <patternFill patternType="solid">
          <fgColor rgb="FFFFFF00"/>
        </patternFill>
      </fill>
    </dxf>
    <dxf>
      <fill>
        <patternFill patternType="solid">
          <fgColor rgb="FFB9CDE5"/>
        </patternFill>
      </fill>
    </dxf>
    <dxf>
      <fill>
        <patternFill patternType="solid">
          <fgColor rgb="FFFF0000"/>
        </patternFill>
      </fill>
    </dxf>
    <dxf>
      <fill>
        <patternFill patternType="solid">
          <fgColor rgb="FFF79646"/>
        </patternFill>
      </fill>
    </dxf>
    <dxf>
      <fill>
        <patternFill patternType="solid">
          <fgColor rgb="FFD7E4BD"/>
        </patternFill>
      </fill>
    </dxf>
    <dxf>
      <fill>
        <patternFill patternType="solid">
          <fgColor rgb="FFFFC000"/>
        </patternFill>
      </fill>
    </dxf>
  </dxfs>
  <colors>
    <indexedColors>
      <rgbColor rgb="FF000000"/>
      <rgbColor rgb="FFFFFFFF"/>
      <rgbColor rgb="FFFF0000"/>
      <rgbColor rgb="FF9ABA57"/>
      <rgbColor rgb="FF0000FF"/>
      <rgbColor rgb="FFFFFF00"/>
      <rgbColor rgb="FFCCC1DA"/>
      <rgbColor rgb="FF93CDDD"/>
      <rgbColor rgb="FFFCD5B5"/>
      <rgbColor rgb="FF008000"/>
      <rgbColor rgb="FFF2DCDB"/>
      <rgbColor rgb="FF77933C"/>
      <rgbColor rgb="FFA6A6A6"/>
      <rgbColor rgb="FF948A54"/>
      <rgbColor rgb="FFBFBFBF"/>
      <rgbColor rgb="FF808080"/>
      <rgbColor rgb="FF8EB4E3"/>
      <rgbColor rgb="FFBE4C49"/>
      <rgbColor rgb="FFEBF1DE"/>
      <rgbColor rgb="FFDBEEF4"/>
      <rgbColor rgb="FFDDD9C3"/>
      <rgbColor rgb="FFD99694"/>
      <rgbColor rgb="FF0070C0"/>
      <rgbColor rgb="FFC6D9F1"/>
      <rgbColor rgb="FFEEECE1"/>
      <rgbColor rgb="FFB9CDE5"/>
      <rgbColor rgb="FFFCD5B4"/>
      <rgbColor rgb="FFB7DEE8"/>
      <rgbColor rgb="FFC4BD97"/>
      <rgbColor rgb="FFD9D9D9"/>
      <rgbColor rgb="FF95B3D7"/>
      <rgbColor rgb="FFE6E0EC"/>
      <rgbColor rgb="FF00B0F0"/>
      <rgbColor rgb="FFDCE6F2"/>
      <rgbColor rgb="FFD7E4BD"/>
      <rgbColor rgb="FFFDEADA"/>
      <rgbColor rgb="FF99CCFF"/>
      <rgbColor rgb="FFE6B9B8"/>
      <rgbColor rgb="FFB3A2C7"/>
      <rgbColor rgb="FFFAC090"/>
      <rgbColor rgb="FF4F81BD"/>
      <rgbColor rgb="FF558ED5"/>
      <rgbColor rgb="FF92D050"/>
      <rgbColor rgb="FFFFC000"/>
      <rgbColor rgb="FFF79646"/>
      <rgbColor rgb="FFE46C0A"/>
      <rgbColor rgb="FF716F74"/>
      <rgbColor rgb="FF878787"/>
      <rgbColor rgb="FF002060"/>
      <rgbColor rgb="FF00B050"/>
      <rgbColor rgb="FFC3D69B"/>
      <rgbColor rgb="FF4F6228"/>
      <rgbColor rgb="FF984807"/>
      <rgbColor rgb="FFFF3333"/>
      <rgbColor rgb="FF1A1AA6"/>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externalLink" Target="externalLinks/externalLink1.xml"/><Relationship Id="rId28" Type="http://schemas.openxmlformats.org/officeDocument/2006/relationships/externalLink" Target="externalLinks/externalLink2.xml"/><Relationship Id="rId29" Type="http://schemas.openxmlformats.org/officeDocument/2006/relationships/sharedStrings" Target="sharedStrings.xml"/>
</Relationships>
</file>

<file path=xl/charts/_rels/chart36.xml.rels><?xml version="1.0" encoding="UTF-8"?>
<Relationships xmlns="http://schemas.openxmlformats.org/package/2006/relationships"><Relationship Id="rId1" Type="http://schemas.openxmlformats.org/officeDocument/2006/relationships/chartUserShapes" Target="../drawings/drawing12.xml"/>
</Relationships>
</file>

<file path=xl/charts/_rels/chart41.xml.rels><?xml version="1.0" encoding="UTF-8"?>
<Relationships xmlns="http://schemas.openxmlformats.org/package/2006/relationships"><Relationship Id="rId1" Type="http://schemas.openxmlformats.org/officeDocument/2006/relationships/chartUserShapes" Target="../drawings/drawing14.xml"/>
</Relationships>
</file>

<file path=xl/charts/_rels/chart53.xml.rels><?xml version="1.0" encoding="UTF-8"?>
<Relationships xmlns="http://schemas.openxmlformats.org/package/2006/relationships"><Relationship Id="rId1" Type="http://schemas.openxmlformats.org/officeDocument/2006/relationships/chartUserShapes" Target="../drawings/drawing17.xml"/>
</Relationships>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58662982680774"/>
          <c:y val="0.194463667820069"/>
          <c:w val="0.851472471190781"/>
          <c:h val="0.785774702037678"/>
        </c:manualLayout>
      </c:layout>
      <c:scatterChart>
        <c:scatterStyle val="line"/>
        <c:varyColors val="0"/>
        <c:ser>
          <c:idx val="0"/>
          <c:order val="0"/>
          <c:tx>
            <c:strRef>
              <c:f>'sureau_ini.txt'!$A$1</c:f>
              <c:strCache>
                <c:ptCount val="1"/>
                <c:pt idx="0">
                  <c:v>SUREAU</c:v>
                </c:pt>
              </c:strCache>
            </c:strRef>
          </c:tx>
          <c:spPr>
            <a:solidFill>
              <a:srgbClr val="00b050"/>
            </a:solidFill>
            <a:ln cap="rnd" w="31680">
              <a:solidFill>
                <a:srgbClr val="00b050"/>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'sureau_ini.txt'!$BN$19:$BN$26</c:f>
              <c:numCache>
                <c:formatCode>General</c:formatCode>
                <c:ptCount val="8"/>
                <c:pt idx="0">
                  <c:v>-1.23958666017714</c:v>
                </c:pt>
                <c:pt idx="1">
                  <c:v>-1.54948332522143</c:v>
                </c:pt>
                <c:pt idx="3">
                  <c:v>-1.23958666017714</c:v>
                </c:pt>
                <c:pt idx="4">
                  <c:v>-1.54948332522143</c:v>
                </c:pt>
                <c:pt idx="6">
                  <c:v>-1.23958666017714</c:v>
                </c:pt>
                <c:pt idx="7">
                  <c:v>-1.54948332522143</c:v>
                </c:pt>
              </c:numCache>
            </c:numRef>
          </c:xVal>
          <c:yVal>
            <c:numRef>
              <c:f>'sureau_ini.txt'!$BO$19:$BO$26</c:f>
              <c:numCache>
                <c:formatCode>General</c:formatCode>
                <c:ptCount val="8"/>
                <c:pt idx="0">
                  <c:v>1.05</c:v>
                </c:pt>
                <c:pt idx="1">
                  <c:v>1.1025</c:v>
                </c:pt>
                <c:pt idx="3">
                  <c:v>1.05</c:v>
                </c:pt>
                <c:pt idx="4">
                  <c:v>1.1025</c:v>
                </c:pt>
                <c:pt idx="6">
                  <c:v>1.05</c:v>
                </c:pt>
                <c:pt idx="7">
                  <c:v>1.1025</c:v>
                </c:pt>
              </c:numCache>
            </c:numRef>
          </c:yVal>
          <c:smooth val="0"/>
        </c:ser>
        <c:ser>
          <c:idx val="1"/>
          <c:order val="1"/>
          <c:tx>
            <c:strRef>
              <c:f>'sureau_ini.txt'!$A$1</c:f>
              <c:strCache>
                <c:ptCount val="1"/>
                <c:pt idx="0">
                  <c:v>SUREAU</c:v>
                </c:pt>
              </c:strCache>
            </c:strRef>
          </c:tx>
          <c:spPr>
            <a:solidFill>
              <a:srgbClr val="77933c"/>
            </a:solidFill>
            <a:ln cap="rnd" w="31680">
              <a:solidFill>
                <a:srgbClr val="77933c"/>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'sureau_ini.txt'!$BK$19:$BK$26</c:f>
              <c:numCache>
                <c:formatCode>General</c:formatCode>
                <c:ptCount val="8"/>
                <c:pt idx="0">
                  <c:v>-0.929689995132855</c:v>
                </c:pt>
                <c:pt idx="1">
                  <c:v>-1.23958666017714</c:v>
                </c:pt>
                <c:pt idx="3">
                  <c:v>-0.929689995132855</c:v>
                </c:pt>
                <c:pt idx="4">
                  <c:v>-1.23958666017714</c:v>
                </c:pt>
                <c:pt idx="6">
                  <c:v>-0.929689995132855</c:v>
                </c:pt>
                <c:pt idx="7">
                  <c:v>-1.23958666017714</c:v>
                </c:pt>
              </c:numCache>
            </c:numRef>
          </c:xVal>
          <c:yVal>
            <c:numRef>
              <c:f>'sureau_ini.txt'!$BL$19:$BL$26</c:f>
              <c:numCache>
                <c:formatCode>General</c:formatCode>
                <c:ptCount val="8"/>
                <c:pt idx="0">
                  <c:v>1</c:v>
                </c:pt>
                <c:pt idx="1">
                  <c:v>1.05</c:v>
                </c:pt>
                <c:pt idx="3">
                  <c:v>1</c:v>
                </c:pt>
                <c:pt idx="4">
                  <c:v>1.05</c:v>
                </c:pt>
                <c:pt idx="6">
                  <c:v>1</c:v>
                </c:pt>
                <c:pt idx="7">
                  <c:v>1.05</c:v>
                </c:pt>
              </c:numCache>
            </c:numRef>
          </c:yVal>
          <c:smooth val="0"/>
        </c:ser>
        <c:ser>
          <c:idx val="2"/>
          <c:order val="2"/>
          <c:tx>
            <c:strRef>
              <c:f>'sureau_ini.txt'!$A$1</c:f>
              <c:strCache>
                <c:ptCount val="1"/>
                <c:pt idx="0">
                  <c:v>SUREAU</c:v>
                </c:pt>
              </c:strCache>
            </c:strRef>
          </c:tx>
          <c:spPr>
            <a:solidFill>
              <a:srgbClr val="00b0f0"/>
            </a:solidFill>
            <a:ln cap="rnd" w="31680">
              <a:solidFill>
                <a:srgbClr val="00b0f0"/>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'sureau_ini.txt'!$BK$10:$BK$17</c:f>
              <c:numCache>
                <c:formatCode>General</c:formatCode>
                <c:ptCount val="8"/>
                <c:pt idx="0">
                  <c:v>-0.805731329115141</c:v>
                </c:pt>
                <c:pt idx="1">
                  <c:v>-0.929689995132855</c:v>
                </c:pt>
                <c:pt idx="3">
                  <c:v>-0.805731329115141</c:v>
                </c:pt>
                <c:pt idx="4">
                  <c:v>-0.929689995132855</c:v>
                </c:pt>
                <c:pt idx="6">
                  <c:v>-0.805731329115141</c:v>
                </c:pt>
                <c:pt idx="7">
                  <c:v>-0.929689995132855</c:v>
                </c:pt>
              </c:numCache>
            </c:numRef>
          </c:xVal>
          <c:yVal>
            <c:numRef>
              <c:f>'sureau_ini.txt'!$BL$10:$BL$17</c:f>
              <c:numCache>
                <c:formatCode>General</c:formatCode>
                <c:ptCount val="8"/>
                <c:pt idx="0">
                  <c:v>0.5</c:v>
                </c:pt>
                <c:pt idx="1">
                  <c:v>1</c:v>
                </c:pt>
                <c:pt idx="3">
                  <c:v>0.5</c:v>
                </c:pt>
                <c:pt idx="4">
                  <c:v>1</c:v>
                </c:pt>
                <c:pt idx="6">
                  <c:v>0.5</c:v>
                </c:pt>
                <c:pt idx="7">
                  <c:v>1</c:v>
                </c:pt>
              </c:numCache>
            </c:numRef>
          </c:yVal>
          <c:smooth val="0"/>
        </c:ser>
        <c:ser>
          <c:idx val="3"/>
          <c:order val="3"/>
          <c:tx>
            <c:strRef>
              <c:f>'sureau_ini.txt'!$A$1</c:f>
              <c:strCache>
                <c:ptCount val="1"/>
                <c:pt idx="0">
                  <c:v>SUREAU</c:v>
                </c:pt>
              </c:strCache>
            </c:strRef>
          </c:tx>
          <c:spPr>
            <a:solidFill>
              <a:srgbClr val="0070c0"/>
            </a:solidFill>
            <a:ln cap="rnd" w="31680">
              <a:solidFill>
                <a:srgbClr val="0070c0"/>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'sureau_ini.txt'!$BK$7:$BK$8</c:f>
              <c:numCache>
                <c:formatCode>General</c:formatCode>
                <c:ptCount val="2"/>
                <c:pt idx="0">
                  <c:v>-0.774741662610713</c:v>
                </c:pt>
                <c:pt idx="1">
                  <c:v>-0.805731329115141</c:v>
                </c:pt>
              </c:numCache>
            </c:numRef>
          </c:xVal>
          <c:yVal>
            <c:numRef>
              <c:f>'sureau_ini.txt'!$BL$7:$BL$8</c:f>
              <c:numCache>
                <c:formatCode>General</c:formatCode>
                <c:ptCount val="2"/>
                <c:pt idx="0">
                  <c:v>0</c:v>
                </c:pt>
                <c:pt idx="1">
                  <c:v>0.5</c:v>
                </c:pt>
              </c:numCache>
            </c:numRef>
          </c:yVal>
          <c:smooth val="0"/>
        </c:ser>
        <c:ser>
          <c:idx val="4"/>
          <c:order val="4"/>
          <c:tx>
            <c:strRef>
              <c:f>'sureau_ini.txt'!$A$1</c:f>
              <c:strCache>
                <c:ptCount val="1"/>
                <c:pt idx="0">
                  <c:v>SUREAU</c:v>
                </c:pt>
              </c:strCache>
            </c:strRef>
          </c:tx>
          <c:spPr>
            <a:solidFill>
              <a:srgbClr val="e46c0a"/>
            </a:solidFill>
            <a:ln w="31680">
              <a:solidFill>
                <a:srgbClr val="e46c0a"/>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'sureau_ini.txt'!$BK$4:$BK$5</c:f>
              <c:numCache>
                <c:formatCode>General</c:formatCode>
                <c:ptCount val="2"/>
                <c:pt idx="0">
                  <c:v>-0.61979333008857</c:v>
                </c:pt>
                <c:pt idx="1">
                  <c:v>-0.774741662610713</c:v>
                </c:pt>
              </c:numCache>
            </c:numRef>
          </c:xVal>
          <c:yVal>
            <c:numRef>
              <c:f>'sureau_ini.txt'!$BL$4:$BL$5</c:f>
              <c:numCache>
                <c:formatCode>General</c:formatCode>
                <c:ptCount val="2"/>
                <c:pt idx="0">
                  <c:v>-0.5</c:v>
                </c:pt>
                <c:pt idx="1">
                  <c:v>0</c:v>
                </c:pt>
              </c:numCache>
            </c:numRef>
          </c:yVal>
          <c:smooth val="0"/>
        </c:ser>
        <c:ser>
          <c:idx val="5"/>
          <c:order val="5"/>
          <c:tx>
            <c:strRef>
              <c:f>'sureau_ini.txt'!$A$1</c:f>
              <c:strCache>
                <c:ptCount val="1"/>
                <c:pt idx="0">
                  <c:v>SUREAU</c:v>
                </c:pt>
              </c:strCache>
            </c:strRef>
          </c:tx>
          <c:spPr>
            <a:solidFill>
              <a:srgbClr val="c00000"/>
            </a:solidFill>
            <a:ln cap="rnd" w="31680">
              <a:solidFill>
                <a:srgbClr val="c00000"/>
              </a:solidFill>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'sureau_ini.txt'!$BK$1:$BK$2</c:f>
              <c:numCache>
                <c:formatCode>General</c:formatCode>
                <c:ptCount val="2"/>
                <c:pt idx="0">
                  <c:v>0</c:v>
                </c:pt>
                <c:pt idx="1">
                  <c:v>-0.61979333008857</c:v>
                </c:pt>
              </c:numCache>
            </c:numRef>
          </c:xVal>
          <c:yVal>
            <c:numRef>
              <c:f>'sureau_ini.txt'!$BL$1:$BL$2</c:f>
              <c:numCache>
                <c:formatCode>General</c:formatCode>
                <c:ptCount val="2"/>
                <c:pt idx="0">
                  <c:v>-0.5</c:v>
                </c:pt>
                <c:pt idx="1">
                  <c:v>-0.5</c:v>
                </c:pt>
              </c:numCache>
            </c:numRef>
          </c:yVal>
          <c:smooth val="0"/>
        </c:ser>
        <c:ser>
          <c:idx val="6"/>
          <c:order val="6"/>
          <c:tx>
            <c:strRef>
              <c:f>'sureau_ini.txt'!$A$1</c:f>
              <c:strCache>
                <c:ptCount val="1"/>
                <c:pt idx="0">
                  <c:v>SUREAU</c:v>
                </c:pt>
              </c:strCache>
            </c:strRef>
          </c:tx>
          <c:spPr>
            <a:solidFill>
              <a:srgbClr val="00b050"/>
            </a:solidFill>
            <a:ln w="31680">
              <a:solidFill>
                <a:srgbClr val="00b050"/>
              </a:solidFill>
              <a:prstDash val="sysDash"/>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'sureau_ini.txt'!$BN$1:$BN$2</c:f>
              <c:numCache>
                <c:formatCode>General</c:formatCode>
                <c:ptCount val="2"/>
                <c:pt idx="0">
                  <c:v>-2.02386835769398</c:v>
                </c:pt>
                <c:pt idx="1">
                  <c:v>-2.02386835769398</c:v>
                </c:pt>
              </c:numCache>
            </c:numRef>
          </c:xVal>
          <c:yVal>
            <c:numRef>
              <c:f>'sureau_ini.txt'!$BO$1:$BO$2</c:f>
              <c:numCache>
                <c:formatCode>General</c:formatCode>
                <c:ptCount val="2"/>
                <c:pt idx="0">
                  <c:v>1.1</c:v>
                </c:pt>
                <c:pt idx="1">
                  <c:v>0.9</c:v>
                </c:pt>
              </c:numCache>
            </c:numRef>
          </c:yVal>
          <c:smooth val="0"/>
        </c:ser>
        <c:ser>
          <c:idx val="7"/>
          <c:order val="7"/>
          <c:tx>
            <c:strRef>
              <c:f>'sureau_ini.txt'!$A$1</c:f>
              <c:strCache>
                <c:ptCount val="1"/>
                <c:pt idx="0">
                  <c:v>SUREAU</c:v>
                </c:pt>
              </c:strCache>
            </c:strRef>
          </c:tx>
          <c:spPr>
            <a:solidFill>
              <a:srgbClr val="77933c"/>
            </a:solidFill>
            <a:ln w="31680">
              <a:solidFill>
                <a:srgbClr val="77933c"/>
              </a:solidFill>
              <a:prstDash val="sysDash"/>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'sureau_ini.txt'!$BN$4:$BN$5</c:f>
              <c:numCache>
                <c:formatCode>General</c:formatCode>
                <c:ptCount val="2"/>
                <c:pt idx="0">
                  <c:v>-3.28571428571429</c:v>
                </c:pt>
                <c:pt idx="1">
                  <c:v>-3.28571428571429</c:v>
                </c:pt>
              </c:numCache>
            </c:numRef>
          </c:xVal>
          <c:yVal>
            <c:numRef>
              <c:f>'sureau_ini.txt'!$BO$4:$BO$5</c:f>
              <c:numCache>
                <c:formatCode>General</c:formatCode>
                <c:ptCount val="2"/>
                <c:pt idx="0">
                  <c:v>1.1</c:v>
                </c:pt>
                <c:pt idx="1">
                  <c:v>0.9</c:v>
                </c:pt>
              </c:numCache>
            </c:numRef>
          </c:yVal>
          <c:smooth val="0"/>
        </c:ser>
        <c:ser>
          <c:idx val="8"/>
          <c:order val="8"/>
          <c:tx>
            <c:strRef>
              <c:f>'sureau_ini.txt'!$A$1</c:f>
              <c:strCache>
                <c:ptCount val="1"/>
                <c:pt idx="0">
                  <c:v>SUREAU</c:v>
                </c:pt>
              </c:strCache>
            </c:strRef>
          </c:tx>
          <c:spPr>
            <a:solidFill>
              <a:srgbClr val="00b0f0"/>
            </a:solidFill>
            <a:ln w="31680">
              <a:solidFill>
                <a:srgbClr val="00b0f0"/>
              </a:solidFill>
              <a:prstDash val="sysDash"/>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'sureau_ini.txt'!$BN$7:$BN$8</c:f>
              <c:numCache>
                <c:formatCode>General</c:formatCode>
                <c:ptCount val="2"/>
                <c:pt idx="0">
                  <c:v>-3.28571428571429</c:v>
                </c:pt>
                <c:pt idx="1">
                  <c:v>-3.28571428571429</c:v>
                </c:pt>
              </c:numCache>
            </c:numRef>
          </c:xVal>
          <c:yVal>
            <c:numRef>
              <c:f>'sureau_ini.txt'!$BO$7:$BO$8</c:f>
              <c:numCache>
                <c:formatCode>General</c:formatCode>
                <c:ptCount val="2"/>
                <c:pt idx="0">
                  <c:v>1.1</c:v>
                </c:pt>
                <c:pt idx="1">
                  <c:v>0.9</c:v>
                </c:pt>
              </c:numCache>
            </c:numRef>
          </c:yVal>
          <c:smooth val="0"/>
        </c:ser>
        <c:ser>
          <c:idx val="9"/>
          <c:order val="9"/>
          <c:tx>
            <c:strRef>
              <c:f>'sureau_ini.txt'!$A$1</c:f>
              <c:strCache>
                <c:ptCount val="1"/>
                <c:pt idx="0">
                  <c:v>SUREAU</c:v>
                </c:pt>
              </c:strCache>
            </c:strRef>
          </c:tx>
          <c:spPr>
            <a:solidFill>
              <a:srgbClr val="0070c0"/>
            </a:solidFill>
            <a:ln w="31680">
              <a:solidFill>
                <a:srgbClr val="0070c0"/>
              </a:solidFill>
              <a:prstDash val="sysDash"/>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'sureau_ini.txt'!$BN$10:$BN$11</c:f>
              <c:numCache>
                <c:formatCode>General</c:formatCode>
                <c:ptCount val="2"/>
                <c:pt idx="0">
                  <c:v>-3.28571428571429</c:v>
                </c:pt>
                <c:pt idx="1">
                  <c:v>-3.28571428571429</c:v>
                </c:pt>
              </c:numCache>
            </c:numRef>
          </c:xVal>
          <c:yVal>
            <c:numRef>
              <c:f>'sureau_ini.txt'!$BO$10:$BO$11</c:f>
              <c:numCache>
                <c:formatCode>General</c:formatCode>
                <c:ptCount val="2"/>
                <c:pt idx="0">
                  <c:v>0.6</c:v>
                </c:pt>
                <c:pt idx="1">
                  <c:v>0.4</c:v>
                </c:pt>
              </c:numCache>
            </c:numRef>
          </c:yVal>
          <c:smooth val="0"/>
        </c:ser>
        <c:ser>
          <c:idx val="10"/>
          <c:order val="10"/>
          <c:tx>
            <c:strRef>
              <c:f>'sureau_ini.txt'!$A$1</c:f>
              <c:strCache>
                <c:ptCount val="1"/>
                <c:pt idx="0">
                  <c:v>SUREAU</c:v>
                </c:pt>
              </c:strCache>
            </c:strRef>
          </c:tx>
          <c:spPr>
            <a:solidFill>
              <a:srgbClr val="e46c0a"/>
            </a:solidFill>
            <a:ln w="31680">
              <a:solidFill>
                <a:srgbClr val="e46c0a"/>
              </a:solidFill>
              <a:prstDash val="sysDash"/>
              <a:round/>
            </a:ln>
          </c:spPr>
          <c:marker>
            <c:symbol val="none"/>
          </c:marker>
          <c:dLbls>
            <c:txPr>
              <a:bodyPr wrap="square"/>
              <a:lstStyle/>
              <a:p>
                <a:pPr>
                  <a:defRPr b="0" sz="11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'sureau_ini.txt'!$BN$13:$BN$14</c:f>
              <c:numCache>
                <c:formatCode>General</c:formatCode>
                <c:ptCount val="2"/>
                <c:pt idx="0">
                  <c:v>-3.28571428571429</c:v>
                </c:pt>
                <c:pt idx="1">
                  <c:v>-3.28571428571429</c:v>
                </c:pt>
              </c:numCache>
            </c:numRef>
          </c:xVal>
          <c:yVal>
            <c:numRef>
              <c:f>'sureau_ini.txt'!$BO$13:$BO$14</c:f>
              <c:numCache>
                <c:formatCode>General</c:formatCode>
                <c:ptCount val="2"/>
                <c:pt idx="0">
                  <c:v>0.1</c:v>
                </c:pt>
                <c:pt idx="1">
                  <c:v>-0.1</c:v>
                </c:pt>
              </c:numCache>
            </c:numRef>
          </c:yVal>
          <c:smooth val="0"/>
        </c:ser>
        <c:axId val="86980714"/>
        <c:axId val="79835248"/>
      </c:scatterChart>
      <c:valAx>
        <c:axId val="86980714"/>
        <c:scaling>
          <c:orientation val="minMax"/>
        </c:scaling>
        <c:delete val="0"/>
        <c:axPos val="b"/>
        <c:numFmt formatCode="General" sourceLinked="0"/>
        <c:majorTickMark val="out"/>
        <c:minorTickMark val="none"/>
        <c:tickLblPos val="nextTo"/>
        <c:spPr>
          <a:ln w="9360">
            <a:solidFill>
              <a:srgbClr val="bfbfbf"/>
            </a:solidFill>
            <a:round/>
          </a:ln>
        </c:spPr>
        <c:txPr>
          <a:bodyPr/>
          <a:lstStyle/>
          <a:p>
            <a:pPr>
              <a:defRPr b="0" sz="1100" spc="-1" strike="noStrike">
                <a:solidFill>
                  <a:srgbClr val="000000"/>
                </a:solidFill>
                <a:latin typeface="Calibri"/>
              </a:defRPr>
            </a:pPr>
          </a:p>
        </c:txPr>
        <c:crossAx val="79835248"/>
        <c:crosses val="autoZero"/>
        <c:crossBetween val="midCat"/>
      </c:valAx>
      <c:valAx>
        <c:axId val="79835248"/>
        <c:scaling>
          <c:orientation val="minMax"/>
        </c:scaling>
        <c:delete val="0"/>
        <c:axPos val="l"/>
        <c:numFmt formatCode="General" sourceLinked="0"/>
        <c:majorTickMark val="in"/>
        <c:minorTickMark val="none"/>
        <c:tickLblPos val="high"/>
        <c:spPr>
          <a:ln w="9360">
            <a:solidFill>
              <a:srgbClr val="bfbfbf"/>
            </a:solidFill>
            <a:round/>
          </a:ln>
        </c:spPr>
        <c:txPr>
          <a:bodyPr/>
          <a:lstStyle/>
          <a:p>
            <a:pPr>
              <a:defRPr b="0" sz="1100" spc="-1" strike="noStrike">
                <a:solidFill>
                  <a:srgbClr val="000000"/>
                </a:solidFill>
                <a:latin typeface="Calibri"/>
              </a:defRPr>
            </a:pPr>
          </a:p>
        </c:txPr>
        <c:crossAx val="86980714"/>
        <c:crosses val="autoZero"/>
        <c:crossBetween val="midCat"/>
      </c:valAx>
      <c:spPr>
        <a:noFill/>
        <a:ln w="0">
          <a:noFill/>
        </a:ln>
      </c:spPr>
    </c:plotArea>
    <c:legend>
      <c:legendPos val="t"/>
      <c:layout>
        <c:manualLayout>
          <c:xMode val="edge"/>
          <c:yMode val="edge"/>
          <c:x val="0.0154323067592156"/>
          <c:y val="0.0139946174548251"/>
          <c:w val="0.984566653187761"/>
          <c:h val="0.137496155029222"/>
        </c:manualLayout>
      </c:layout>
      <c:overlay val="0"/>
      <c:spPr>
        <a:noFill/>
        <a:ln w="0">
          <a:noFill/>
        </a:ln>
      </c:spPr>
      <c:txPr>
        <a:bodyPr/>
        <a:lstStyle/>
        <a:p>
          <a:pPr>
            <a:defRPr b="0" sz="1100" spc="-1" strike="noStrike">
              <a:solidFill>
                <a:srgbClr val="000000"/>
              </a:solidFill>
              <a:latin typeface="Calibri"/>
            </a:defRPr>
          </a:pPr>
        </a:p>
      </c:txPr>
    </c:legend>
    <c:plotVisOnly val="1"/>
    <c:dispBlanksAs val="gap"/>
  </c:chart>
  <c:spPr>
    <a:solidFill>
      <a:srgbClr val="ffffff"/>
    </a:solidFill>
    <a:ln w="25560">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4f81bd"/>
            </a:solidFill>
            <a:ln cap="rnd" w="1908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'climat_hour_in.txt'!$C$5:$C$56</c:f>
              <c:numCache>
                <c:formatCode>General</c:formatCode>
                <c:ptCount val="52"/>
                <c:pt idx="0">
                  <c:v>0</c:v>
                </c:pt>
                <c:pt idx="1">
                  <c:v>0.0416666666666667</c:v>
                </c:pt>
                <c:pt idx="2">
                  <c:v>0.0416782407407407</c:v>
                </c:pt>
                <c:pt idx="3">
                  <c:v>0.0416898148148148</c:v>
                </c:pt>
                <c:pt idx="4">
                  <c:v>0.0417013888888889</c:v>
                </c:pt>
                <c:pt idx="5">
                  <c:v>0.041712962962963</c:v>
                </c:pt>
                <c:pt idx="6">
                  <c:v>0.0521296296296296</c:v>
                </c:pt>
                <c:pt idx="7">
                  <c:v>0.0521412037037037</c:v>
                </c:pt>
                <c:pt idx="8">
                  <c:v>0.0521527777777778</c:v>
                </c:pt>
                <c:pt idx="9">
                  <c:v>0.0521643518518518</c:v>
                </c:pt>
                <c:pt idx="10">
                  <c:v>0.0625810185185185</c:v>
                </c:pt>
                <c:pt idx="11">
                  <c:v>0.0625925925925926</c:v>
                </c:pt>
                <c:pt idx="12">
                  <c:v>0.0626041666666667</c:v>
                </c:pt>
                <c:pt idx="13">
                  <c:v>0.0626157407407407</c:v>
                </c:pt>
                <c:pt idx="14">
                  <c:v>0.0730324074074074</c:v>
                </c:pt>
                <c:pt idx="15">
                  <c:v>0.0730439814814815</c:v>
                </c:pt>
                <c:pt idx="16">
                  <c:v>0.0730555555555556</c:v>
                </c:pt>
                <c:pt idx="17">
                  <c:v>0.0730671296296297</c:v>
                </c:pt>
                <c:pt idx="18">
                  <c:v>0.0834837962962963</c:v>
                </c:pt>
                <c:pt idx="19">
                  <c:v>0.0834953703703704</c:v>
                </c:pt>
                <c:pt idx="20">
                  <c:v>0.0835069444444445</c:v>
                </c:pt>
                <c:pt idx="21">
                  <c:v>0.0835185185185186</c:v>
                </c:pt>
                <c:pt idx="22">
                  <c:v>0.0939351851851852</c:v>
                </c:pt>
                <c:pt idx="23">
                  <c:v>0.0939467592592593</c:v>
                </c:pt>
                <c:pt idx="24">
                  <c:v>0.0939583333333334</c:v>
                </c:pt>
                <c:pt idx="25">
                  <c:v>0.0939699074074075</c:v>
                </c:pt>
                <c:pt idx="26">
                  <c:v>0.104386574074074</c:v>
                </c:pt>
                <c:pt idx="27">
                  <c:v>0.104398148148148</c:v>
                </c:pt>
                <c:pt idx="28">
                  <c:v>0.104409722222222</c:v>
                </c:pt>
                <c:pt idx="29">
                  <c:v>0.104421296296296</c:v>
                </c:pt>
                <c:pt idx="30">
                  <c:v>0.114837962962963</c:v>
                </c:pt>
                <c:pt idx="31">
                  <c:v>0.114849537037037</c:v>
                </c:pt>
                <c:pt idx="32">
                  <c:v>0.114861111111111</c:v>
                </c:pt>
                <c:pt idx="33">
                  <c:v>0.114872685185185</c:v>
                </c:pt>
                <c:pt idx="34">
                  <c:v>0.125289351851852</c:v>
                </c:pt>
                <c:pt idx="35">
                  <c:v>0.125300925925926</c:v>
                </c:pt>
                <c:pt idx="36">
                  <c:v>0.1253125</c:v>
                </c:pt>
                <c:pt idx="37">
                  <c:v>0.125324074074074</c:v>
                </c:pt>
                <c:pt idx="38">
                  <c:v>0.135740740740741</c:v>
                </c:pt>
                <c:pt idx="39">
                  <c:v>0.135752314814815</c:v>
                </c:pt>
                <c:pt idx="40">
                  <c:v>0.135763888888889</c:v>
                </c:pt>
                <c:pt idx="41">
                  <c:v>0.135775462962963</c:v>
                </c:pt>
                <c:pt idx="42">
                  <c:v>0.14619212962963</c:v>
                </c:pt>
                <c:pt idx="43">
                  <c:v>0.146203703703704</c:v>
                </c:pt>
                <c:pt idx="44">
                  <c:v>0.146215277777778</c:v>
                </c:pt>
                <c:pt idx="45">
                  <c:v>0.146226851851852</c:v>
                </c:pt>
                <c:pt idx="46">
                  <c:v>0.156643518518519</c:v>
                </c:pt>
                <c:pt idx="47">
                  <c:v>0.156655092592593</c:v>
                </c:pt>
                <c:pt idx="48">
                  <c:v>0.156666666666667</c:v>
                </c:pt>
                <c:pt idx="49">
                  <c:v>0.156678240740741</c:v>
                </c:pt>
                <c:pt idx="50">
                  <c:v>0.167094907407407</c:v>
                </c:pt>
                <c:pt idx="51">
                  <c:v>0.208773148148148</c:v>
                </c:pt>
              </c:numCache>
            </c:numRef>
          </c:xVal>
          <c:yVal>
            <c:numRef>
              <c:f>'climat_hour_in.txt'!$D$5:$D$56</c:f>
              <c:numCache>
                <c:formatCode>General</c:formatCode>
                <c:ptCount val="52"/>
                <c:pt idx="0">
                  <c:v>0</c:v>
                </c:pt>
                <c:pt idx="1">
                  <c:v>0</c:v>
                </c:pt>
                <c:pt idx="2">
                  <c:v>0</c:v>
                </c:pt>
                <c:pt idx="3">
                  <c:v>0</c:v>
                </c:pt>
                <c:pt idx="4">
                  <c:v>750</c:v>
                </c:pt>
                <c:pt idx="5">
                  <c:v>1500</c:v>
                </c:pt>
                <c:pt idx="6">
                  <c:v>1500</c:v>
                </c:pt>
                <c:pt idx="7">
                  <c:v>1500</c:v>
                </c:pt>
                <c:pt idx="8">
                  <c:v>750</c:v>
                </c:pt>
                <c:pt idx="9">
                  <c:v>400</c:v>
                </c:pt>
                <c:pt idx="10">
                  <c:v>400</c:v>
                </c:pt>
                <c:pt idx="11">
                  <c:v>400</c:v>
                </c:pt>
                <c:pt idx="12">
                  <c:v>750</c:v>
                </c:pt>
                <c:pt idx="13">
                  <c:v>1500</c:v>
                </c:pt>
                <c:pt idx="14">
                  <c:v>1500</c:v>
                </c:pt>
                <c:pt idx="15">
                  <c:v>1500</c:v>
                </c:pt>
                <c:pt idx="16">
                  <c:v>750</c:v>
                </c:pt>
                <c:pt idx="17">
                  <c:v>400</c:v>
                </c:pt>
                <c:pt idx="18">
                  <c:v>400</c:v>
                </c:pt>
                <c:pt idx="19">
                  <c:v>400</c:v>
                </c:pt>
                <c:pt idx="20">
                  <c:v>750</c:v>
                </c:pt>
                <c:pt idx="21">
                  <c:v>1500</c:v>
                </c:pt>
                <c:pt idx="22">
                  <c:v>1500</c:v>
                </c:pt>
                <c:pt idx="23">
                  <c:v>1500</c:v>
                </c:pt>
                <c:pt idx="24">
                  <c:v>750</c:v>
                </c:pt>
                <c:pt idx="25">
                  <c:v>400</c:v>
                </c:pt>
                <c:pt idx="26">
                  <c:v>400</c:v>
                </c:pt>
                <c:pt idx="27">
                  <c:v>400</c:v>
                </c:pt>
                <c:pt idx="28">
                  <c:v>750</c:v>
                </c:pt>
                <c:pt idx="29">
                  <c:v>1500</c:v>
                </c:pt>
                <c:pt idx="30">
                  <c:v>1500</c:v>
                </c:pt>
                <c:pt idx="31">
                  <c:v>1500</c:v>
                </c:pt>
                <c:pt idx="32">
                  <c:v>750</c:v>
                </c:pt>
                <c:pt idx="33">
                  <c:v>400</c:v>
                </c:pt>
                <c:pt idx="34">
                  <c:v>400</c:v>
                </c:pt>
                <c:pt idx="35">
                  <c:v>400</c:v>
                </c:pt>
                <c:pt idx="36">
                  <c:v>750</c:v>
                </c:pt>
                <c:pt idx="37">
                  <c:v>1500</c:v>
                </c:pt>
                <c:pt idx="38">
                  <c:v>1500</c:v>
                </c:pt>
                <c:pt idx="39">
                  <c:v>1500</c:v>
                </c:pt>
                <c:pt idx="40">
                  <c:v>750</c:v>
                </c:pt>
                <c:pt idx="41">
                  <c:v>400</c:v>
                </c:pt>
                <c:pt idx="42">
                  <c:v>400</c:v>
                </c:pt>
                <c:pt idx="43">
                  <c:v>400</c:v>
                </c:pt>
                <c:pt idx="44">
                  <c:v>750</c:v>
                </c:pt>
                <c:pt idx="45">
                  <c:v>1500</c:v>
                </c:pt>
                <c:pt idx="46">
                  <c:v>1500</c:v>
                </c:pt>
                <c:pt idx="47">
                  <c:v>1500</c:v>
                </c:pt>
                <c:pt idx="48">
                  <c:v>750</c:v>
                </c:pt>
                <c:pt idx="49">
                  <c:v>0</c:v>
                </c:pt>
                <c:pt idx="50">
                  <c:v>0</c:v>
                </c:pt>
                <c:pt idx="51">
                  <c:v>0</c:v>
                </c:pt>
              </c:numCache>
            </c:numRef>
          </c:yVal>
          <c:smooth val="0"/>
        </c:ser>
        <c:axId val="56777551"/>
        <c:axId val="18532008"/>
      </c:scatterChart>
      <c:valAx>
        <c:axId val="5677755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8532008"/>
        <c:crosses val="autoZero"/>
        <c:crossBetween val="midCat"/>
      </c:valAx>
      <c:valAx>
        <c:axId val="185320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6777551"/>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0607653490328"/>
          <c:y val="0.0282780823109719"/>
          <c:w val="0.850399495374264"/>
          <c:h val="0.938571304272166"/>
        </c:manualLayout>
      </c:layout>
      <c:scatterChart>
        <c:scatterStyle val="line"/>
        <c:varyColors val="0"/>
        <c:ser>
          <c:idx val="0"/>
          <c:order val="0"/>
          <c:tx>
            <c:strRef>
              <c:f>'sureau_ini.txt'!$A$1</c:f>
              <c:strCache>
                <c:ptCount val="1"/>
                <c:pt idx="0">
                  <c:v>SUREAU</c:v>
                </c:pt>
              </c:strCache>
            </c:strRef>
          </c:tx>
          <c:spPr>
            <a:solidFill>
              <a:srgbClr val="98b855"/>
            </a:solidFill>
            <a:ln w="47520">
              <a:solidFill>
                <a:srgbClr val="98b855"/>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'PV-curve'!$K$3:$K$103</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yVal>
          <c:smooth val="0"/>
        </c:ser>
        <c:ser>
          <c:idx val="1"/>
          <c:order val="1"/>
          <c:tx>
            <c:strRef>
              <c:f>'sureau_ini.txt'!$A$1</c:f>
              <c:strCache>
                <c:ptCount val="1"/>
                <c:pt idx="0">
                  <c:v>SUREAU</c:v>
                </c:pt>
              </c:strCache>
            </c:strRef>
          </c:tx>
          <c:spPr>
            <a:solidFill>
              <a:srgbClr val="4a7ebb"/>
            </a:solidFill>
            <a:ln w="47520">
              <a:solidFill>
                <a:srgbClr val="4a7ebb"/>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'PV-curve'!$K$3:$K$103</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'PV-curve'!$L$3:$L$103</c:f>
              <c:numCache>
                <c:formatCode>General</c:formatCode>
                <c:ptCount val="101"/>
                <c:pt idx="0">
                  <c:v>1.5</c:v>
                </c:pt>
                <c:pt idx="1">
                  <c:v>1.4</c:v>
                </c:pt>
                <c:pt idx="2">
                  <c:v>1.3</c:v>
                </c:pt>
                <c:pt idx="3">
                  <c:v>1.2</c:v>
                </c:pt>
                <c:pt idx="4">
                  <c:v>1.1</c:v>
                </c:pt>
                <c:pt idx="5">
                  <c:v>1</c:v>
                </c:pt>
                <c:pt idx="6">
                  <c:v>0.9</c:v>
                </c:pt>
                <c:pt idx="7">
                  <c:v>0.8</c:v>
                </c:pt>
                <c:pt idx="8">
                  <c:v>0.7</c:v>
                </c:pt>
                <c:pt idx="9">
                  <c:v>0.6</c:v>
                </c:pt>
                <c:pt idx="10">
                  <c:v>0.5</c:v>
                </c:pt>
                <c:pt idx="11">
                  <c:v>0.4</c:v>
                </c:pt>
                <c:pt idx="12">
                  <c:v>0.3</c:v>
                </c:pt>
                <c:pt idx="13">
                  <c:v>0.2</c:v>
                </c:pt>
                <c:pt idx="14">
                  <c:v>0.1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ser>
        <c:ser>
          <c:idx val="2"/>
          <c:order val="2"/>
          <c:tx>
            <c:strRef>
              <c:f>'sureau_ini.txt'!$A$1</c:f>
              <c:strCache>
                <c:ptCount val="1"/>
                <c:pt idx="0">
                  <c:v>SUREAU</c:v>
                </c:pt>
              </c:strCache>
            </c:strRef>
          </c:tx>
          <c:spPr>
            <a:solidFill>
              <a:srgbClr val="be4b48"/>
            </a:solidFill>
            <a:ln w="47520">
              <a:solidFill>
                <a:srgbClr val="be4b48"/>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'PV-curve'!$K$3:$K$103</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'PV-curve'!$M$3:$M$103</c:f>
              <c:numCache>
                <c:formatCode>General</c:formatCode>
                <c:ptCount val="101"/>
                <c:pt idx="0">
                  <c:v>-1.5</c:v>
                </c:pt>
                <c:pt idx="1">
                  <c:v>-1.51515151515152</c:v>
                </c:pt>
                <c:pt idx="2">
                  <c:v>-1.53061224489796</c:v>
                </c:pt>
                <c:pt idx="3">
                  <c:v>-1.54639175257732</c:v>
                </c:pt>
                <c:pt idx="4">
                  <c:v>-1.5625</c:v>
                </c:pt>
                <c:pt idx="5">
                  <c:v>-1.57894736842105</c:v>
                </c:pt>
                <c:pt idx="6">
                  <c:v>-1.59574468085106</c:v>
                </c:pt>
                <c:pt idx="7">
                  <c:v>-1.61290322580645</c:v>
                </c:pt>
                <c:pt idx="8">
                  <c:v>-1.6304347826087</c:v>
                </c:pt>
                <c:pt idx="9">
                  <c:v>-1.64835164835165</c:v>
                </c:pt>
                <c:pt idx="10">
                  <c:v>-1.66666666666667</c:v>
                </c:pt>
                <c:pt idx="11">
                  <c:v>-1.68539325842697</c:v>
                </c:pt>
                <c:pt idx="12">
                  <c:v>-1.70454545454545</c:v>
                </c:pt>
                <c:pt idx="13">
                  <c:v>-1.72413793103448</c:v>
                </c:pt>
                <c:pt idx="14">
                  <c:v>-1.74418604651163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yVal>
          <c:smooth val="0"/>
        </c:ser>
        <c:axId val="6644310"/>
        <c:axId val="24713421"/>
      </c:scatterChart>
      <c:valAx>
        <c:axId val="6644310"/>
        <c:scaling>
          <c:orientation val="minMax"/>
          <c:max val="1"/>
        </c:scaling>
        <c:delete val="0"/>
        <c:axPos val="b"/>
        <c:title>
          <c:tx>
            <c:rich>
              <a:bodyPr rot="0"/>
              <a:lstStyle/>
              <a:p>
                <a:pPr>
                  <a:defRPr b="1" lang="fr-FR" sz="1400" spc="-1" strike="noStrike">
                    <a:solidFill>
                      <a:srgbClr val="000000"/>
                    </a:solidFill>
                    <a:latin typeface="Calibri"/>
                  </a:defRPr>
                </a:pPr>
                <a:r>
                  <a:rPr b="1" lang="fr-FR" sz="1400" spc="-1" strike="noStrike">
                    <a:solidFill>
                      <a:srgbClr val="000000"/>
                    </a:solidFill>
                    <a:latin typeface="Calibri"/>
                  </a:rPr>
                  <a:t>R_symp = 1-RWC_symp</a:t>
                </a:r>
              </a:p>
            </c:rich>
          </c:tx>
          <c:layout>
            <c:manualLayout>
              <c:xMode val="edge"/>
              <c:yMode val="edge"/>
              <c:x val="0.415895710681245"/>
              <c:y val="0.0873575219698947"/>
            </c:manualLayout>
          </c:layout>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400" spc="-1" strike="noStrike">
                <a:solidFill>
                  <a:srgbClr val="000000"/>
                </a:solidFill>
                <a:latin typeface="Calibri"/>
              </a:defRPr>
            </a:pPr>
          </a:p>
        </c:txPr>
        <c:crossAx val="24713421"/>
        <c:crosses val="autoZero"/>
        <c:crossBetween val="midCat"/>
      </c:valAx>
      <c:valAx>
        <c:axId val="24713421"/>
        <c:scaling>
          <c:orientation val="minMax"/>
          <c:min val="-10"/>
        </c:scaling>
        <c:delete val="0"/>
        <c:axPos val="l"/>
        <c:title>
          <c:tx>
            <c:rich>
              <a:bodyPr rot="-5400000"/>
              <a:lstStyle/>
              <a:p>
                <a:pPr>
                  <a:defRPr b="1" lang="fr-FR" sz="1400" spc="-1" strike="noStrike">
                    <a:solidFill>
                      <a:srgbClr val="000000"/>
                    </a:solidFill>
                    <a:latin typeface="Calibri"/>
                  </a:defRPr>
                </a:pPr>
                <a:r>
                  <a:rPr b="1" lang="fr-FR" sz="1400" spc="-1" strike="noStrike">
                    <a:solidFill>
                      <a:srgbClr val="000000"/>
                    </a:solidFill>
                    <a:latin typeface="Calibri"/>
                  </a:rPr>
                  <a:t>Pressure, MPA</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400" spc="-1" strike="noStrike">
                <a:solidFill>
                  <a:srgbClr val="000000"/>
                </a:solidFill>
                <a:latin typeface="Calibri"/>
              </a:defRPr>
            </a:pPr>
          </a:p>
        </c:txPr>
        <c:crossAx val="6644310"/>
        <c:crosses val="autoZero"/>
        <c:crossBetween val="midCat"/>
      </c:valAx>
      <c:spPr>
        <a:noFill/>
        <a:ln w="0">
          <a:noFill/>
        </a:ln>
      </c:spPr>
    </c:plotArea>
    <c:legend>
      <c:legendPos val="r"/>
      <c:layout>
        <c:manualLayout>
          <c:xMode val="edge"/>
          <c:yMode val="edge"/>
          <c:x val="0.19023338940286"/>
          <c:y val="0.661968154528844"/>
          <c:w val="0.151553382747201"/>
          <c:h val="0.207709711103376"/>
        </c:manualLayout>
      </c:layout>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71268334771355"/>
          <c:y val="0.0551880222841226"/>
          <c:w val="0.800420621225194"/>
          <c:h val="0.775678969359331"/>
        </c:manualLayout>
      </c:layout>
      <c:scatterChart>
        <c:scatterStyle val="line"/>
        <c:varyColors val="0"/>
        <c:ser>
          <c:idx val="0"/>
          <c:order val="0"/>
          <c:tx>
            <c:strRef>
              <c:f>'PV-curve'!$P$2</c:f>
              <c:strCache>
                <c:ptCount val="1"/>
                <c:pt idx="0">
                  <c:v> -1/Psi</c:v>
                </c:pt>
              </c:strCache>
            </c:strRef>
          </c:tx>
          <c:spPr>
            <a:solidFill>
              <a:srgbClr val="00b050"/>
            </a:solidFill>
            <a:ln w="47520">
              <a:solidFill>
                <a:srgbClr val="00b050"/>
              </a:solidFill>
              <a:round/>
            </a:ln>
          </c:spPr>
          <c:marker>
            <c:symbol val="none"/>
          </c:marker>
          <c:dPt>
            <c:idx val="34"/>
            <c:marker>
              <c:symbol val="none"/>
            </c:marker>
          </c:dPt>
          <c:dLbls>
            <c:dLbl>
              <c:idx val="34"/>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'PV-curve'!$G$3:$G$103</c:f>
              <c:numCache>
                <c:formatCode>General</c:formatCode>
                <c:ptCount val="101"/>
                <c:pt idx="0">
                  <c:v>100</c:v>
                </c:pt>
                <c:pt idx="1">
                  <c:v>99.1722251362914</c:v>
                </c:pt>
                <c:pt idx="2">
                  <c:v>98.4021014279738</c:v>
                </c:pt>
                <c:pt idx="3">
                  <c:v>97.6267184028596</c:v>
                </c:pt>
                <c:pt idx="4">
                  <c:v>96.8446936722884</c:v>
                </c:pt>
                <c:pt idx="5">
                  <c:v>96.0542836568459</c:v>
                </c:pt>
                <c:pt idx="6">
                  <c:v>95.2532925667393</c:v>
                </c:pt>
                <c:pt idx="7">
                  <c:v>94.4389611090432</c:v>
                </c:pt>
                <c:pt idx="8">
                  <c:v>93.6078322736688</c:v>
                </c:pt>
                <c:pt idx="9">
                  <c:v>92.7555925695142</c:v>
                </c:pt>
                <c:pt idx="10">
                  <c:v>91.8768893338222</c:v>
                </c:pt>
                <c:pt idx="11">
                  <c:v>90.9651289803213</c:v>
                </c:pt>
                <c:pt idx="12">
                  <c:v>90.0122683333799</c:v>
                </c:pt>
                <c:pt idx="13">
                  <c:v>89.0086228195219</c:v>
                </c:pt>
                <c:pt idx="14">
                  <c:v>87.942732584225</c:v>
                </c:pt>
                <c:pt idx="15">
                  <c:v>86.8013513015092</c:v>
                </c:pt>
                <c:pt idx="16">
                  <c:v>85.9745057833673</c:v>
                </c:pt>
                <c:pt idx="17">
                  <c:v>85.142953918232</c:v>
                </c:pt>
                <c:pt idx="18">
                  <c:v>84.3063324533643</c:v>
                </c:pt>
                <c:pt idx="19">
                  <c:v>83.464245874551</c:v>
                </c:pt>
                <c:pt idx="20">
                  <c:v>82.6162633775223</c:v>
                </c:pt>
                <c:pt idx="21">
                  <c:v>81.7619155808381</c:v>
                </c:pt>
                <c:pt idx="22">
                  <c:v>80.9006909714002</c:v>
                </c:pt>
                <c:pt idx="23">
                  <c:v>80.0320320785368</c:v>
                </c:pt>
                <c:pt idx="24">
                  <c:v>79.1553313795572</c:v>
                </c:pt>
                <c:pt idx="25">
                  <c:v>78.2699269494471</c:v>
                </c:pt>
                <c:pt idx="26">
                  <c:v>77.3750978808089</c:v>
                </c:pt>
                <c:pt idx="27">
                  <c:v>76.4700595182919</c:v>
                </c:pt>
                <c:pt idx="28">
                  <c:v>75.5539585758766</c:v>
                </c:pt>
                <c:pt idx="29">
                  <c:v>74.6258682370455</c:v>
                </c:pt>
                <c:pt idx="30">
                  <c:v>73.6847833789342</c:v>
                </c:pt>
                <c:pt idx="31">
                  <c:v>72.7296161141901</c:v>
                </c:pt>
                <c:pt idx="32">
                  <c:v>71.7591919109273</c:v>
                </c:pt>
                <c:pt idx="33">
                  <c:v>70.7722466345294</c:v>
                </c:pt>
                <c:pt idx="34">
                  <c:v>69.7674249578525</c:v>
                </c:pt>
                <c:pt idx="35">
                  <c:v>68.743280711102</c:v>
                </c:pt>
                <c:pt idx="36">
                  <c:v>67.6982798910724</c:v>
                </c:pt>
                <c:pt idx="37">
                  <c:v>66.6308072218236</c:v>
                </c:pt>
                <c:pt idx="38">
                  <c:v>65.5391773528785</c:v>
                </c:pt>
                <c:pt idx="39">
                  <c:v>64.4216519901147</c:v>
                </c:pt>
                <c:pt idx="40">
                  <c:v>63.2764644657501</c:v>
                </c:pt>
                <c:pt idx="41">
                  <c:v>62.1018534451225</c:v>
                </c:pt>
                <c:pt idx="42">
                  <c:v>60.8961076049168</c:v>
                </c:pt>
                <c:pt idx="43">
                  <c:v>59.6576231498967</c:v>
                </c:pt>
                <c:pt idx="44">
                  <c:v>58.3849758942816</c:v>
                </c:pt>
                <c:pt idx="45">
                  <c:v>57.0770092313708</c:v>
                </c:pt>
                <c:pt idx="46">
                  <c:v>55.732938546089</c:v>
                </c:pt>
                <c:pt idx="47">
                  <c:v>54.3524713783802</c:v>
                </c:pt>
                <c:pt idx="48">
                  <c:v>52.9359408227827</c:v>
                </c:pt>
                <c:pt idx="49">
                  <c:v>51.4844471997314</c:v>
                </c:pt>
                <c:pt idx="50">
                  <c:v>50</c:v>
                </c:pt>
                <c:pt idx="51">
                  <c:v>48.4856486801912</c:v>
                </c:pt>
                <c:pt idx="52">
                  <c:v>46.945587477855</c:v>
                </c:pt>
                <c:pt idx="53">
                  <c:v>45.3852166641129</c:v>
                </c:pt>
                <c:pt idx="54">
                  <c:v>43.811141420811</c:v>
                </c:pt>
                <c:pt idx="55">
                  <c:v>42.2310907808545</c:v>
                </c:pt>
                <c:pt idx="56">
                  <c:v>40.6537436417343</c:v>
                </c:pt>
                <c:pt idx="57">
                  <c:v>39.0884571444978</c:v>
                </c:pt>
                <c:pt idx="58">
                  <c:v>37.5449043101852</c:v>
                </c:pt>
                <c:pt idx="59">
                  <c:v>36.032641343584</c:v>
                </c:pt>
                <c:pt idx="60">
                  <c:v>34.5606380951589</c:v>
                </c:pt>
                <c:pt idx="61">
                  <c:v>33.1368149289079</c:v>
                </c:pt>
                <c:pt idx="62">
                  <c:v>31.7676330124716</c:v>
                </c:pt>
                <c:pt idx="63">
                  <c:v>30.4577812545248</c:v>
                </c:pt>
                <c:pt idx="64">
                  <c:v>29.2099919301764</c:v>
                </c:pt>
                <c:pt idx="65">
                  <c:v>28.0250004787699</c:v>
                </c:pt>
                <c:pt idx="66">
                  <c:v>26.9016463860372</c:v>
                </c:pt>
                <c:pt idx="67">
                  <c:v>25.8370951867919</c:v>
                </c:pt>
                <c:pt idx="68">
                  <c:v>24.8271494597176</c:v>
                </c:pt>
                <c:pt idx="69">
                  <c:v>23.8666108140822</c:v>
                </c:pt>
                <c:pt idx="70">
                  <c:v>22.9496552490523</c:v>
                </c:pt>
                <c:pt idx="71">
                  <c:v>22.0701895649502</c:v>
                </c:pt>
                <c:pt idx="72">
                  <c:v>21.2221647179772</c:v>
                </c:pt>
                <c:pt idx="73">
                  <c:v>20.399831108562</c:v>
                </c:pt>
                <c:pt idx="74">
                  <c:v>19.5979291938149</c:v>
                </c:pt>
                <c:pt idx="75">
                  <c:v>18.8118155789158</c:v>
                </c:pt>
                <c:pt idx="76">
                  <c:v>18.0375295564184</c:v>
                </c:pt>
                <c:pt idx="77">
                  <c:v>17.2718080711919</c:v>
                </c:pt>
                <c:pt idx="78">
                  <c:v>16.5120586832705</c:v>
                </c:pt>
                <c:pt idx="79">
                  <c:v>15.7563007253227</c:v>
                </c:pt>
                <c:pt idx="80">
                  <c:v>15.0030848643996</c:v>
                </c:pt>
                <c:pt idx="81">
                  <c:v>14.2514008810818</c:v>
                </c:pt>
                <c:pt idx="82">
                  <c:v>13.500582713946</c:v>
                </c:pt>
                <c:pt idx="83">
                  <c:v>12.7502186164478</c:v>
                </c:pt>
                <c:pt idx="84">
                  <c:v>12.0000725577996</c:v>
                </c:pt>
                <c:pt idx="85">
                  <c:v>11.2500207882007</c:v>
                </c:pt>
                <c:pt idx="86">
                  <c:v>10.500004981917</c:v>
                </c:pt>
                <c:pt idx="87">
                  <c:v>9.75000095835522</c:v>
                </c:pt>
                <c:pt idx="88">
                  <c:v>9.00000014006987</c:v>
                </c:pt>
                <c:pt idx="89">
                  <c:v>8.25000001443148</c:v>
                </c:pt>
                <c:pt idx="90">
                  <c:v>7.50000000094374</c:v>
                </c:pt>
                <c:pt idx="91">
                  <c:v>6.75000000003362</c:v>
                </c:pt>
                <c:pt idx="92">
                  <c:v>6.00000000000048</c:v>
                </c:pt>
                <c:pt idx="93">
                  <c:v>5.24999999999996</c:v>
                </c:pt>
                <c:pt idx="94">
                  <c:v>4.49999999999995</c:v>
                </c:pt>
                <c:pt idx="95">
                  <c:v>3.74999999999995</c:v>
                </c:pt>
                <c:pt idx="96">
                  <c:v>2.99999999999995</c:v>
                </c:pt>
                <c:pt idx="97">
                  <c:v>2.24999999999995</c:v>
                </c:pt>
                <c:pt idx="98">
                  <c:v>1.49999999999995</c:v>
                </c:pt>
                <c:pt idx="99">
                  <c:v>0.749999999999951</c:v>
                </c:pt>
                <c:pt idx="100">
                  <c:v>-4.9960036108132E-014</c:v>
                </c:pt>
              </c:numCache>
            </c:numRef>
          </c:xVal>
          <c:yVal>
            <c:numRef>
              <c:f>'PV-curve'!$P$3:$P$103</c:f>
              <c:numCache>
                <c:formatCode>General</c:formatCode>
                <c:ptCount val="101"/>
                <c:pt idx="1">
                  <c:v>8.68421052631578</c:v>
                </c:pt>
                <c:pt idx="2">
                  <c:v>4.33628318584071</c:v>
                </c:pt>
                <c:pt idx="3">
                  <c:v>2.88690476190476</c:v>
                </c:pt>
                <c:pt idx="4">
                  <c:v>2.16216216216216</c:v>
                </c:pt>
                <c:pt idx="5">
                  <c:v>1.72727272727273</c:v>
                </c:pt>
                <c:pt idx="6">
                  <c:v>1.43730886850153</c:v>
                </c:pt>
                <c:pt idx="7">
                  <c:v>1.23015873015873</c:v>
                </c:pt>
                <c:pt idx="8">
                  <c:v>1.07476635514019</c:v>
                </c:pt>
                <c:pt idx="9">
                  <c:v>0.953878406708596</c:v>
                </c:pt>
                <c:pt idx="10">
                  <c:v>0.857142857142857</c:v>
                </c:pt>
                <c:pt idx="11">
                  <c:v>0.777972027972028</c:v>
                </c:pt>
                <c:pt idx="12">
                  <c:v>0.711974110032363</c:v>
                </c:pt>
                <c:pt idx="13">
                  <c:v>0.656108597285068</c:v>
                </c:pt>
                <c:pt idx="14">
                  <c:v>0.608203677510608</c:v>
                </c:pt>
                <c:pt idx="15">
                  <c:v>0.566666666666667</c:v>
                </c:pt>
                <c:pt idx="16">
                  <c:v>0.56</c:v>
                </c:pt>
                <c:pt idx="17">
                  <c:v>0.553333333333333</c:v>
                </c:pt>
                <c:pt idx="18">
                  <c:v>0.546666666666667</c:v>
                </c:pt>
                <c:pt idx="19">
                  <c:v>0.54</c:v>
                </c:pt>
                <c:pt idx="20">
                  <c:v>0.533333333333333</c:v>
                </c:pt>
                <c:pt idx="21">
                  <c:v>0.526666666666667</c:v>
                </c:pt>
                <c:pt idx="22">
                  <c:v>0.52</c:v>
                </c:pt>
                <c:pt idx="23">
                  <c:v>0.513333333333333</c:v>
                </c:pt>
                <c:pt idx="24">
                  <c:v>0.506666666666667</c:v>
                </c:pt>
                <c:pt idx="25">
                  <c:v>0.5</c:v>
                </c:pt>
                <c:pt idx="26">
                  <c:v>0.493333333333333</c:v>
                </c:pt>
                <c:pt idx="27">
                  <c:v>0.486666666666667</c:v>
                </c:pt>
                <c:pt idx="28">
                  <c:v>0.48</c:v>
                </c:pt>
                <c:pt idx="29">
                  <c:v>0.473333333333333</c:v>
                </c:pt>
                <c:pt idx="30">
                  <c:v>0.466666666666667</c:v>
                </c:pt>
                <c:pt idx="31">
                  <c:v>0.46</c:v>
                </c:pt>
                <c:pt idx="32">
                  <c:v>0.453333333333333</c:v>
                </c:pt>
                <c:pt idx="33">
                  <c:v>0.446666666666667</c:v>
                </c:pt>
                <c:pt idx="34">
                  <c:v>0.44</c:v>
                </c:pt>
                <c:pt idx="35">
                  <c:v>0.433333333333333</c:v>
                </c:pt>
                <c:pt idx="36">
                  <c:v>0.426666666666667</c:v>
                </c:pt>
                <c:pt idx="37">
                  <c:v>0.42</c:v>
                </c:pt>
                <c:pt idx="38">
                  <c:v>0.413333333333333</c:v>
                </c:pt>
                <c:pt idx="39">
                  <c:v>0.406666666666667</c:v>
                </c:pt>
                <c:pt idx="40">
                  <c:v>0.4</c:v>
                </c:pt>
                <c:pt idx="41">
                  <c:v>0.393333333333333</c:v>
                </c:pt>
                <c:pt idx="42">
                  <c:v>0.386666666666667</c:v>
                </c:pt>
                <c:pt idx="43">
                  <c:v>0.38</c:v>
                </c:pt>
                <c:pt idx="44">
                  <c:v>0.373333333333333</c:v>
                </c:pt>
                <c:pt idx="45">
                  <c:v>0.366666666666667</c:v>
                </c:pt>
                <c:pt idx="46">
                  <c:v>0.36</c:v>
                </c:pt>
                <c:pt idx="47">
                  <c:v>0.353333333333333</c:v>
                </c:pt>
                <c:pt idx="48">
                  <c:v>0.346666666666666</c:v>
                </c:pt>
                <c:pt idx="49">
                  <c:v>0.34</c:v>
                </c:pt>
                <c:pt idx="50">
                  <c:v>0.333333333333333</c:v>
                </c:pt>
                <c:pt idx="51">
                  <c:v>0.326666666666666</c:v>
                </c:pt>
                <c:pt idx="52">
                  <c:v>0.32</c:v>
                </c:pt>
                <c:pt idx="53">
                  <c:v>0.313333333333333</c:v>
                </c:pt>
                <c:pt idx="54">
                  <c:v>0.306666666666666</c:v>
                </c:pt>
                <c:pt idx="55">
                  <c:v>0.3</c:v>
                </c:pt>
                <c:pt idx="56">
                  <c:v>0.293333333333333</c:v>
                </c:pt>
                <c:pt idx="57">
                  <c:v>0.286666666666666</c:v>
                </c:pt>
                <c:pt idx="58">
                  <c:v>0.28</c:v>
                </c:pt>
                <c:pt idx="59">
                  <c:v>0.273333333333333</c:v>
                </c:pt>
                <c:pt idx="60">
                  <c:v>0.266666666666666</c:v>
                </c:pt>
                <c:pt idx="61">
                  <c:v>0.26</c:v>
                </c:pt>
                <c:pt idx="62">
                  <c:v>0.253333333333333</c:v>
                </c:pt>
                <c:pt idx="63">
                  <c:v>0.246666666666666</c:v>
                </c:pt>
                <c:pt idx="64">
                  <c:v>0.24</c:v>
                </c:pt>
                <c:pt idx="65">
                  <c:v>0.233333333333333</c:v>
                </c:pt>
                <c:pt idx="66">
                  <c:v>0.226666666666666</c:v>
                </c:pt>
                <c:pt idx="67">
                  <c:v>0.22</c:v>
                </c:pt>
                <c:pt idx="68">
                  <c:v>0.213333333333333</c:v>
                </c:pt>
                <c:pt idx="69">
                  <c:v>0.206666666666666</c:v>
                </c:pt>
                <c:pt idx="70">
                  <c:v>0.2</c:v>
                </c:pt>
                <c:pt idx="71">
                  <c:v>0.193333333333333</c:v>
                </c:pt>
                <c:pt idx="72">
                  <c:v>0.186666666666666</c:v>
                </c:pt>
                <c:pt idx="73">
                  <c:v>0.18</c:v>
                </c:pt>
                <c:pt idx="74">
                  <c:v>0.173333333333333</c:v>
                </c:pt>
                <c:pt idx="75">
                  <c:v>0.166666666666666</c:v>
                </c:pt>
                <c:pt idx="76">
                  <c:v>0.16</c:v>
                </c:pt>
                <c:pt idx="77">
                  <c:v>0.153333333333333</c:v>
                </c:pt>
                <c:pt idx="78">
                  <c:v>0.146666666666666</c:v>
                </c:pt>
                <c:pt idx="79">
                  <c:v>0.14</c:v>
                </c:pt>
                <c:pt idx="80">
                  <c:v>0.133333333333333</c:v>
                </c:pt>
                <c:pt idx="81">
                  <c:v>0.126666666666666</c:v>
                </c:pt>
                <c:pt idx="82">
                  <c:v>0.12</c:v>
                </c:pt>
                <c:pt idx="83">
                  <c:v>0.113333333333333</c:v>
                </c:pt>
                <c:pt idx="84">
                  <c:v>0.106666666666666</c:v>
                </c:pt>
                <c:pt idx="85">
                  <c:v>0.0999999999999996</c:v>
                </c:pt>
                <c:pt idx="86">
                  <c:v>0.093333333333333</c:v>
                </c:pt>
                <c:pt idx="87">
                  <c:v>0.0866666666666663</c:v>
                </c:pt>
                <c:pt idx="88">
                  <c:v>0.0799999999999996</c:v>
                </c:pt>
                <c:pt idx="89">
                  <c:v>0.073333333333333</c:v>
                </c:pt>
                <c:pt idx="90">
                  <c:v>0.0666666666666663</c:v>
                </c:pt>
                <c:pt idx="91">
                  <c:v>0.0599999999999996</c:v>
                </c:pt>
                <c:pt idx="92">
                  <c:v>0.0533333333333329</c:v>
                </c:pt>
                <c:pt idx="93">
                  <c:v>0.0466666666666663</c:v>
                </c:pt>
                <c:pt idx="94">
                  <c:v>0.0399999999999996</c:v>
                </c:pt>
                <c:pt idx="95">
                  <c:v>0.0333333333333329</c:v>
                </c:pt>
                <c:pt idx="96">
                  <c:v>0.0266666666666662</c:v>
                </c:pt>
                <c:pt idx="97">
                  <c:v>0.0199999999999996</c:v>
                </c:pt>
                <c:pt idx="98">
                  <c:v>0.0133333333333329</c:v>
                </c:pt>
                <c:pt idx="99">
                  <c:v>0.00666666666666623</c:v>
                </c:pt>
                <c:pt idx="100">
                  <c:v>0</c:v>
                </c:pt>
              </c:numCache>
            </c:numRef>
          </c:yVal>
          <c:smooth val="1"/>
        </c:ser>
        <c:ser>
          <c:idx val="1"/>
          <c:order val="1"/>
          <c:tx>
            <c:strRef>
              <c:f>'PV-curve'!$O$2</c:f>
              <c:strCache>
                <c:ptCount val="1"/>
                <c:pt idx="0">
                  <c:v>  1/pi</c:v>
                </c:pt>
              </c:strCache>
            </c:strRef>
          </c:tx>
          <c:spPr>
            <a:solidFill>
              <a:srgbClr val="be4b48"/>
            </a:solidFill>
            <a:ln w="47520">
              <a:solidFill>
                <a:srgbClr val="be4b48"/>
              </a:solidFill>
              <a:round/>
            </a:ln>
          </c:spPr>
          <c:marker>
            <c:symbol val="none"/>
          </c:marker>
          <c:dPt>
            <c:idx val="34"/>
            <c:marker>
              <c:symbol val="none"/>
            </c:marker>
          </c:dPt>
          <c:dLbls>
            <c:dLbl>
              <c:idx val="34"/>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'PV-curve'!$G$3:$G$103</c:f>
              <c:numCache>
                <c:formatCode>General</c:formatCode>
                <c:ptCount val="101"/>
                <c:pt idx="0">
                  <c:v>100</c:v>
                </c:pt>
                <c:pt idx="1">
                  <c:v>99.1722251362914</c:v>
                </c:pt>
                <c:pt idx="2">
                  <c:v>98.4021014279738</c:v>
                </c:pt>
                <c:pt idx="3">
                  <c:v>97.6267184028596</c:v>
                </c:pt>
                <c:pt idx="4">
                  <c:v>96.8446936722884</c:v>
                </c:pt>
                <c:pt idx="5">
                  <c:v>96.0542836568459</c:v>
                </c:pt>
                <c:pt idx="6">
                  <c:v>95.2532925667393</c:v>
                </c:pt>
                <c:pt idx="7">
                  <c:v>94.4389611090432</c:v>
                </c:pt>
                <c:pt idx="8">
                  <c:v>93.6078322736688</c:v>
                </c:pt>
                <c:pt idx="9">
                  <c:v>92.7555925695142</c:v>
                </c:pt>
                <c:pt idx="10">
                  <c:v>91.8768893338222</c:v>
                </c:pt>
                <c:pt idx="11">
                  <c:v>90.9651289803213</c:v>
                </c:pt>
                <c:pt idx="12">
                  <c:v>90.0122683333799</c:v>
                </c:pt>
                <c:pt idx="13">
                  <c:v>89.0086228195219</c:v>
                </c:pt>
                <c:pt idx="14">
                  <c:v>87.942732584225</c:v>
                </c:pt>
                <c:pt idx="15">
                  <c:v>86.8013513015092</c:v>
                </c:pt>
                <c:pt idx="16">
                  <c:v>85.9745057833673</c:v>
                </c:pt>
                <c:pt idx="17">
                  <c:v>85.142953918232</c:v>
                </c:pt>
                <c:pt idx="18">
                  <c:v>84.3063324533643</c:v>
                </c:pt>
                <c:pt idx="19">
                  <c:v>83.464245874551</c:v>
                </c:pt>
                <c:pt idx="20">
                  <c:v>82.6162633775223</c:v>
                </c:pt>
                <c:pt idx="21">
                  <c:v>81.7619155808381</c:v>
                </c:pt>
                <c:pt idx="22">
                  <c:v>80.9006909714002</c:v>
                </c:pt>
                <c:pt idx="23">
                  <c:v>80.0320320785368</c:v>
                </c:pt>
                <c:pt idx="24">
                  <c:v>79.1553313795572</c:v>
                </c:pt>
                <c:pt idx="25">
                  <c:v>78.2699269494471</c:v>
                </c:pt>
                <c:pt idx="26">
                  <c:v>77.3750978808089</c:v>
                </c:pt>
                <c:pt idx="27">
                  <c:v>76.4700595182919</c:v>
                </c:pt>
                <c:pt idx="28">
                  <c:v>75.5539585758766</c:v>
                </c:pt>
                <c:pt idx="29">
                  <c:v>74.6258682370455</c:v>
                </c:pt>
                <c:pt idx="30">
                  <c:v>73.6847833789342</c:v>
                </c:pt>
                <c:pt idx="31">
                  <c:v>72.7296161141901</c:v>
                </c:pt>
                <c:pt idx="32">
                  <c:v>71.7591919109273</c:v>
                </c:pt>
                <c:pt idx="33">
                  <c:v>70.7722466345294</c:v>
                </c:pt>
                <c:pt idx="34">
                  <c:v>69.7674249578525</c:v>
                </c:pt>
                <c:pt idx="35">
                  <c:v>68.743280711102</c:v>
                </c:pt>
                <c:pt idx="36">
                  <c:v>67.6982798910724</c:v>
                </c:pt>
                <c:pt idx="37">
                  <c:v>66.6308072218236</c:v>
                </c:pt>
                <c:pt idx="38">
                  <c:v>65.5391773528785</c:v>
                </c:pt>
                <c:pt idx="39">
                  <c:v>64.4216519901147</c:v>
                </c:pt>
                <c:pt idx="40">
                  <c:v>63.2764644657501</c:v>
                </c:pt>
                <c:pt idx="41">
                  <c:v>62.1018534451225</c:v>
                </c:pt>
                <c:pt idx="42">
                  <c:v>60.8961076049168</c:v>
                </c:pt>
                <c:pt idx="43">
                  <c:v>59.6576231498967</c:v>
                </c:pt>
                <c:pt idx="44">
                  <c:v>58.3849758942816</c:v>
                </c:pt>
                <c:pt idx="45">
                  <c:v>57.0770092313708</c:v>
                </c:pt>
                <c:pt idx="46">
                  <c:v>55.732938546089</c:v>
                </c:pt>
                <c:pt idx="47">
                  <c:v>54.3524713783802</c:v>
                </c:pt>
                <c:pt idx="48">
                  <c:v>52.9359408227827</c:v>
                </c:pt>
                <c:pt idx="49">
                  <c:v>51.4844471997314</c:v>
                </c:pt>
                <c:pt idx="50">
                  <c:v>50</c:v>
                </c:pt>
                <c:pt idx="51">
                  <c:v>48.4856486801912</c:v>
                </c:pt>
                <c:pt idx="52">
                  <c:v>46.945587477855</c:v>
                </c:pt>
                <c:pt idx="53">
                  <c:v>45.3852166641129</c:v>
                </c:pt>
                <c:pt idx="54">
                  <c:v>43.811141420811</c:v>
                </c:pt>
                <c:pt idx="55">
                  <c:v>42.2310907808545</c:v>
                </c:pt>
                <c:pt idx="56">
                  <c:v>40.6537436417343</c:v>
                </c:pt>
                <c:pt idx="57">
                  <c:v>39.0884571444978</c:v>
                </c:pt>
                <c:pt idx="58">
                  <c:v>37.5449043101852</c:v>
                </c:pt>
                <c:pt idx="59">
                  <c:v>36.032641343584</c:v>
                </c:pt>
                <c:pt idx="60">
                  <c:v>34.5606380951589</c:v>
                </c:pt>
                <c:pt idx="61">
                  <c:v>33.1368149289079</c:v>
                </c:pt>
                <c:pt idx="62">
                  <c:v>31.7676330124716</c:v>
                </c:pt>
                <c:pt idx="63">
                  <c:v>30.4577812545248</c:v>
                </c:pt>
                <c:pt idx="64">
                  <c:v>29.2099919301764</c:v>
                </c:pt>
                <c:pt idx="65">
                  <c:v>28.0250004787699</c:v>
                </c:pt>
                <c:pt idx="66">
                  <c:v>26.9016463860372</c:v>
                </c:pt>
                <c:pt idx="67">
                  <c:v>25.8370951867919</c:v>
                </c:pt>
                <c:pt idx="68">
                  <c:v>24.8271494597176</c:v>
                </c:pt>
                <c:pt idx="69">
                  <c:v>23.8666108140822</c:v>
                </c:pt>
                <c:pt idx="70">
                  <c:v>22.9496552490523</c:v>
                </c:pt>
                <c:pt idx="71">
                  <c:v>22.0701895649502</c:v>
                </c:pt>
                <c:pt idx="72">
                  <c:v>21.2221647179772</c:v>
                </c:pt>
                <c:pt idx="73">
                  <c:v>20.399831108562</c:v>
                </c:pt>
                <c:pt idx="74">
                  <c:v>19.5979291938149</c:v>
                </c:pt>
                <c:pt idx="75">
                  <c:v>18.8118155789158</c:v>
                </c:pt>
                <c:pt idx="76">
                  <c:v>18.0375295564184</c:v>
                </c:pt>
                <c:pt idx="77">
                  <c:v>17.2718080711919</c:v>
                </c:pt>
                <c:pt idx="78">
                  <c:v>16.5120586832705</c:v>
                </c:pt>
                <c:pt idx="79">
                  <c:v>15.7563007253227</c:v>
                </c:pt>
                <c:pt idx="80">
                  <c:v>15.0030848643996</c:v>
                </c:pt>
                <c:pt idx="81">
                  <c:v>14.2514008810818</c:v>
                </c:pt>
                <c:pt idx="82">
                  <c:v>13.500582713946</c:v>
                </c:pt>
                <c:pt idx="83">
                  <c:v>12.7502186164478</c:v>
                </c:pt>
                <c:pt idx="84">
                  <c:v>12.0000725577996</c:v>
                </c:pt>
                <c:pt idx="85">
                  <c:v>11.2500207882007</c:v>
                </c:pt>
                <c:pt idx="86">
                  <c:v>10.500004981917</c:v>
                </c:pt>
                <c:pt idx="87">
                  <c:v>9.75000095835522</c:v>
                </c:pt>
                <c:pt idx="88">
                  <c:v>9.00000014006987</c:v>
                </c:pt>
                <c:pt idx="89">
                  <c:v>8.25000001443148</c:v>
                </c:pt>
                <c:pt idx="90">
                  <c:v>7.50000000094374</c:v>
                </c:pt>
                <c:pt idx="91">
                  <c:v>6.75000000003362</c:v>
                </c:pt>
                <c:pt idx="92">
                  <c:v>6.00000000000048</c:v>
                </c:pt>
                <c:pt idx="93">
                  <c:v>5.24999999999996</c:v>
                </c:pt>
                <c:pt idx="94">
                  <c:v>4.49999999999995</c:v>
                </c:pt>
                <c:pt idx="95">
                  <c:v>3.74999999999995</c:v>
                </c:pt>
                <c:pt idx="96">
                  <c:v>2.99999999999995</c:v>
                </c:pt>
                <c:pt idx="97">
                  <c:v>2.24999999999995</c:v>
                </c:pt>
                <c:pt idx="98">
                  <c:v>1.49999999999995</c:v>
                </c:pt>
                <c:pt idx="99">
                  <c:v>0.749999999999951</c:v>
                </c:pt>
                <c:pt idx="100">
                  <c:v>0</c:v>
                </c:pt>
              </c:numCache>
            </c:numRef>
          </c:xVal>
          <c:yVal>
            <c:numRef>
              <c:f>'PV-curve'!$O$3:$O$103</c:f>
              <c:numCache>
                <c:formatCode>General</c:formatCode>
                <c:ptCount val="101"/>
                <c:pt idx="0">
                  <c:v>0.666666666666667</c:v>
                </c:pt>
                <c:pt idx="1">
                  <c:v>0.66</c:v>
                </c:pt>
                <c:pt idx="2">
                  <c:v>0.653333333333333</c:v>
                </c:pt>
                <c:pt idx="3">
                  <c:v>0.646666666666667</c:v>
                </c:pt>
                <c:pt idx="4">
                  <c:v>0.64</c:v>
                </c:pt>
                <c:pt idx="5">
                  <c:v>0.633333333333333</c:v>
                </c:pt>
                <c:pt idx="6">
                  <c:v>0.626666666666667</c:v>
                </c:pt>
                <c:pt idx="7">
                  <c:v>0.62</c:v>
                </c:pt>
                <c:pt idx="8">
                  <c:v>0.613333333333333</c:v>
                </c:pt>
                <c:pt idx="9">
                  <c:v>0.606666666666667</c:v>
                </c:pt>
                <c:pt idx="10">
                  <c:v>0.6</c:v>
                </c:pt>
                <c:pt idx="11">
                  <c:v>0.593333333333333</c:v>
                </c:pt>
                <c:pt idx="12">
                  <c:v>0.586666666666667</c:v>
                </c:pt>
                <c:pt idx="13">
                  <c:v>0.58</c:v>
                </c:pt>
                <c:pt idx="14">
                  <c:v>0.573333333333333</c:v>
                </c:pt>
                <c:pt idx="15">
                  <c:v>0.566666666666667</c:v>
                </c:pt>
                <c:pt idx="16">
                  <c:v>0.56</c:v>
                </c:pt>
                <c:pt idx="17">
                  <c:v>0.553333333333333</c:v>
                </c:pt>
                <c:pt idx="18">
                  <c:v>0.546666666666667</c:v>
                </c:pt>
                <c:pt idx="19">
                  <c:v>0.54</c:v>
                </c:pt>
                <c:pt idx="20">
                  <c:v>0.533333333333333</c:v>
                </c:pt>
                <c:pt idx="21">
                  <c:v>0.526666666666667</c:v>
                </c:pt>
                <c:pt idx="22">
                  <c:v>0.52</c:v>
                </c:pt>
                <c:pt idx="23">
                  <c:v>0.513333333333333</c:v>
                </c:pt>
                <c:pt idx="24">
                  <c:v>0.506666666666667</c:v>
                </c:pt>
                <c:pt idx="25">
                  <c:v>0.5</c:v>
                </c:pt>
                <c:pt idx="26">
                  <c:v>0.493333333333333</c:v>
                </c:pt>
                <c:pt idx="27">
                  <c:v>0.486666666666667</c:v>
                </c:pt>
                <c:pt idx="28">
                  <c:v>0.48</c:v>
                </c:pt>
                <c:pt idx="29">
                  <c:v>0.473333333333333</c:v>
                </c:pt>
                <c:pt idx="30">
                  <c:v>0.466666666666667</c:v>
                </c:pt>
                <c:pt idx="31">
                  <c:v>0.46</c:v>
                </c:pt>
                <c:pt idx="32">
                  <c:v>0.453333333333333</c:v>
                </c:pt>
                <c:pt idx="33">
                  <c:v>0.446666666666667</c:v>
                </c:pt>
                <c:pt idx="34">
                  <c:v>0.44</c:v>
                </c:pt>
                <c:pt idx="35">
                  <c:v>0.433333333333333</c:v>
                </c:pt>
                <c:pt idx="36">
                  <c:v>0.426666666666667</c:v>
                </c:pt>
                <c:pt idx="37">
                  <c:v>0.42</c:v>
                </c:pt>
                <c:pt idx="38">
                  <c:v>0.413333333333333</c:v>
                </c:pt>
                <c:pt idx="39">
                  <c:v>0.406666666666667</c:v>
                </c:pt>
                <c:pt idx="40">
                  <c:v>0.4</c:v>
                </c:pt>
                <c:pt idx="41">
                  <c:v>0.393333333333333</c:v>
                </c:pt>
                <c:pt idx="42">
                  <c:v>0.386666666666667</c:v>
                </c:pt>
                <c:pt idx="43">
                  <c:v>0.38</c:v>
                </c:pt>
                <c:pt idx="44">
                  <c:v>0.373333333333333</c:v>
                </c:pt>
                <c:pt idx="45">
                  <c:v>0.366666666666667</c:v>
                </c:pt>
                <c:pt idx="46">
                  <c:v>0.36</c:v>
                </c:pt>
                <c:pt idx="47">
                  <c:v>0.353333333333333</c:v>
                </c:pt>
                <c:pt idx="48">
                  <c:v>0.346666666666666</c:v>
                </c:pt>
                <c:pt idx="49">
                  <c:v>0.34</c:v>
                </c:pt>
                <c:pt idx="50">
                  <c:v>0.333333333333333</c:v>
                </c:pt>
                <c:pt idx="51">
                  <c:v>0.326666666666666</c:v>
                </c:pt>
                <c:pt idx="52">
                  <c:v>0.32</c:v>
                </c:pt>
                <c:pt idx="53">
                  <c:v>0.313333333333333</c:v>
                </c:pt>
                <c:pt idx="54">
                  <c:v>0.306666666666666</c:v>
                </c:pt>
                <c:pt idx="55">
                  <c:v>0.3</c:v>
                </c:pt>
                <c:pt idx="56">
                  <c:v>0.293333333333333</c:v>
                </c:pt>
                <c:pt idx="57">
                  <c:v>0.286666666666666</c:v>
                </c:pt>
                <c:pt idx="58">
                  <c:v>0.28</c:v>
                </c:pt>
                <c:pt idx="59">
                  <c:v>0.273333333333333</c:v>
                </c:pt>
                <c:pt idx="60">
                  <c:v>0.266666666666666</c:v>
                </c:pt>
                <c:pt idx="61">
                  <c:v>0.26</c:v>
                </c:pt>
                <c:pt idx="62">
                  <c:v>0.253333333333333</c:v>
                </c:pt>
                <c:pt idx="63">
                  <c:v>0.246666666666666</c:v>
                </c:pt>
                <c:pt idx="64">
                  <c:v>0.24</c:v>
                </c:pt>
                <c:pt idx="65">
                  <c:v>0.233333333333333</c:v>
                </c:pt>
                <c:pt idx="66">
                  <c:v>0.226666666666666</c:v>
                </c:pt>
                <c:pt idx="67">
                  <c:v>0.22</c:v>
                </c:pt>
                <c:pt idx="68">
                  <c:v>0.213333333333333</c:v>
                </c:pt>
                <c:pt idx="69">
                  <c:v>0.206666666666666</c:v>
                </c:pt>
                <c:pt idx="70">
                  <c:v>0.2</c:v>
                </c:pt>
                <c:pt idx="71">
                  <c:v>0.193333333333333</c:v>
                </c:pt>
                <c:pt idx="72">
                  <c:v>0.186666666666666</c:v>
                </c:pt>
                <c:pt idx="73">
                  <c:v>0.18</c:v>
                </c:pt>
                <c:pt idx="74">
                  <c:v>0.173333333333333</c:v>
                </c:pt>
                <c:pt idx="75">
                  <c:v>0.166666666666666</c:v>
                </c:pt>
                <c:pt idx="76">
                  <c:v>0.16</c:v>
                </c:pt>
                <c:pt idx="77">
                  <c:v>0.153333333333333</c:v>
                </c:pt>
                <c:pt idx="78">
                  <c:v>0.146666666666666</c:v>
                </c:pt>
                <c:pt idx="79">
                  <c:v>0.14</c:v>
                </c:pt>
                <c:pt idx="80">
                  <c:v>0.133333333333333</c:v>
                </c:pt>
                <c:pt idx="81">
                  <c:v>0.126666666666666</c:v>
                </c:pt>
                <c:pt idx="82">
                  <c:v>0.12</c:v>
                </c:pt>
                <c:pt idx="83">
                  <c:v>0.113333333333333</c:v>
                </c:pt>
                <c:pt idx="84">
                  <c:v>0.106666666666666</c:v>
                </c:pt>
                <c:pt idx="85">
                  <c:v>0.0999999999999996</c:v>
                </c:pt>
                <c:pt idx="86">
                  <c:v>0.093333333333333</c:v>
                </c:pt>
                <c:pt idx="87">
                  <c:v>0.0866666666666663</c:v>
                </c:pt>
                <c:pt idx="88">
                  <c:v>0.0799999999999996</c:v>
                </c:pt>
                <c:pt idx="89">
                  <c:v>0.073333333333333</c:v>
                </c:pt>
                <c:pt idx="90">
                  <c:v>0.0666666666666663</c:v>
                </c:pt>
                <c:pt idx="91">
                  <c:v>0.0599999999999996</c:v>
                </c:pt>
                <c:pt idx="92">
                  <c:v>0.0533333333333329</c:v>
                </c:pt>
                <c:pt idx="93">
                  <c:v>0.0466666666666663</c:v>
                </c:pt>
                <c:pt idx="94">
                  <c:v>0.0399999999999996</c:v>
                </c:pt>
                <c:pt idx="95">
                  <c:v>0.0333333333333329</c:v>
                </c:pt>
                <c:pt idx="96">
                  <c:v>0.0266666666666662</c:v>
                </c:pt>
                <c:pt idx="97">
                  <c:v>0.0199999999999996</c:v>
                </c:pt>
                <c:pt idx="98">
                  <c:v>0.0133333333333329</c:v>
                </c:pt>
                <c:pt idx="99">
                  <c:v>0.00666666666666623</c:v>
                </c:pt>
                <c:pt idx="100">
                  <c:v>0</c:v>
                </c:pt>
              </c:numCache>
            </c:numRef>
          </c:yVal>
          <c:smooth val="1"/>
        </c:ser>
        <c:axId val="32919109"/>
        <c:axId val="93462977"/>
      </c:scatterChart>
      <c:valAx>
        <c:axId val="32919109"/>
        <c:scaling>
          <c:orientation val="minMax"/>
          <c:max val="100"/>
          <c:min val="0"/>
        </c:scaling>
        <c:delete val="0"/>
        <c:axPos val="b"/>
        <c:title>
          <c:tx>
            <c:rich>
              <a:bodyPr rot="0"/>
              <a:lstStyle/>
              <a:p>
                <a:pPr>
                  <a:defRPr b="1" lang="fr-FR" sz="1600" spc="-1" strike="noStrike">
                    <a:solidFill>
                      <a:srgbClr val="000000"/>
                    </a:solidFill>
                    <a:latin typeface="Calibri"/>
                  </a:defRPr>
                </a:pPr>
                <a:r>
                  <a:rPr b="1" lang="fr-FR" sz="1600" spc="-1" strike="noStrike">
                    <a:solidFill>
                      <a:srgbClr val="000000"/>
                    </a:solidFill>
                    <a:latin typeface="Calibri"/>
                  </a:rPr>
                  <a:t>RWC_total</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93462977"/>
        <c:crosses val="autoZero"/>
        <c:crossBetween val="midCat"/>
      </c:valAx>
      <c:valAx>
        <c:axId val="93462977"/>
        <c:scaling>
          <c:orientation val="minMax"/>
          <c:max val="5"/>
        </c:scaling>
        <c:delete val="0"/>
        <c:axPos val="l"/>
        <c:title>
          <c:tx>
            <c:rich>
              <a:bodyPr rot="-5400000"/>
              <a:lstStyle/>
              <a:p>
                <a:pPr>
                  <a:defRPr b="1" lang="fr-FR" sz="1600" spc="-1" strike="noStrike">
                    <a:solidFill>
                      <a:srgbClr val="000000"/>
                    </a:solidFill>
                    <a:latin typeface="Calibri"/>
                  </a:defRPr>
                </a:pPr>
                <a:r>
                  <a:rPr b="1" lang="fr-FR" sz="1600" spc="-1" strike="noStrike">
                    <a:solidFill>
                      <a:srgbClr val="000000"/>
                    </a:solidFill>
                    <a:latin typeface="Calibri"/>
                  </a:rPr>
                  <a:t>-1/Psi</a:t>
                </a:r>
              </a:p>
            </c:rich>
          </c:tx>
          <c:layout>
            <c:manualLayout>
              <c:xMode val="edge"/>
              <c:yMode val="edge"/>
              <c:x val="0.018334771354616"/>
              <c:y val="0.386403203342618"/>
            </c:manualLayout>
          </c:layout>
          <c:overlay val="0"/>
          <c:spPr>
            <a:noFill/>
            <a:ln w="0">
              <a:noFill/>
            </a:ln>
          </c:spPr>
        </c:title>
        <c:numFmt formatCode="General" sourceLinked="0"/>
        <c:majorTickMark val="in"/>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32919109"/>
        <c:crosses val="autoZero"/>
        <c:crossBetween val="midCat"/>
      </c:valAx>
      <c:spPr>
        <a:noFill/>
        <a:ln w="0">
          <a:noFill/>
        </a:ln>
      </c:spPr>
    </c:plotArea>
    <c:legend>
      <c:legendPos val="r"/>
      <c:layout>
        <c:manualLayout>
          <c:xMode val="edge"/>
          <c:yMode val="edge"/>
          <c:x val="0.264117671482972"/>
          <c:y val="0.131486867646227"/>
          <c:w val="0.163077913610579"/>
          <c:h val="0.15230109559751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540370058873"/>
          <c:y val="0.0705534798853071"/>
          <c:w val="0.793997056349874"/>
          <c:h val="0.809627248240508"/>
        </c:manualLayout>
      </c:layout>
      <c:scatterChart>
        <c:scatterStyle val="line"/>
        <c:varyColors val="0"/>
        <c:ser>
          <c:idx val="0"/>
          <c:order val="0"/>
          <c:tx>
            <c:strRef>
              <c:f>'PV-curve'!$D$2</c:f>
              <c:strCache>
                <c:ptCount val="1"/>
                <c:pt idx="0">
                  <c:v>WC_total</c:v>
                </c:pt>
              </c:strCache>
            </c:strRef>
          </c:tx>
          <c:spPr>
            <a:solidFill>
              <a:srgbClr val="be4b48"/>
            </a:solidFill>
            <a:ln w="47520">
              <a:solidFill>
                <a:srgbClr val="be4b48"/>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'PV-curve'!$D$3:$D$103</c:f>
              <c:numCache>
                <c:formatCode>General</c:formatCode>
                <c:ptCount val="101"/>
                <c:pt idx="0">
                  <c:v>1</c:v>
                </c:pt>
                <c:pt idx="1">
                  <c:v>0.991722251362914</c:v>
                </c:pt>
                <c:pt idx="2">
                  <c:v>0.984021014279738</c:v>
                </c:pt>
                <c:pt idx="3">
                  <c:v>0.976267184028596</c:v>
                </c:pt>
                <c:pt idx="4">
                  <c:v>0.968446936722884</c:v>
                </c:pt>
                <c:pt idx="5">
                  <c:v>0.960542836568459</c:v>
                </c:pt>
                <c:pt idx="6">
                  <c:v>0.952532925667393</c:v>
                </c:pt>
                <c:pt idx="7">
                  <c:v>0.944389611090432</c:v>
                </c:pt>
                <c:pt idx="8">
                  <c:v>0.936078322736688</c:v>
                </c:pt>
                <c:pt idx="9">
                  <c:v>0.927555925695142</c:v>
                </c:pt>
                <c:pt idx="10">
                  <c:v>0.918768893338222</c:v>
                </c:pt>
                <c:pt idx="11">
                  <c:v>0.909651289803213</c:v>
                </c:pt>
                <c:pt idx="12">
                  <c:v>0.900122683333799</c:v>
                </c:pt>
                <c:pt idx="13">
                  <c:v>0.890086228195219</c:v>
                </c:pt>
                <c:pt idx="14">
                  <c:v>0.87942732584225</c:v>
                </c:pt>
                <c:pt idx="15">
                  <c:v>0.868013513015092</c:v>
                </c:pt>
                <c:pt idx="16">
                  <c:v>0.859745057833673</c:v>
                </c:pt>
                <c:pt idx="17">
                  <c:v>0.85142953918232</c:v>
                </c:pt>
                <c:pt idx="18">
                  <c:v>0.843063324533643</c:v>
                </c:pt>
                <c:pt idx="19">
                  <c:v>0.83464245874551</c:v>
                </c:pt>
                <c:pt idx="20">
                  <c:v>0.826162633775223</c:v>
                </c:pt>
                <c:pt idx="21">
                  <c:v>0.817619155808381</c:v>
                </c:pt>
                <c:pt idx="22">
                  <c:v>0.809006909714002</c:v>
                </c:pt>
                <c:pt idx="23">
                  <c:v>0.800320320785368</c:v>
                </c:pt>
                <c:pt idx="24">
                  <c:v>0.791553313795572</c:v>
                </c:pt>
                <c:pt idx="25">
                  <c:v>0.782699269494471</c:v>
                </c:pt>
                <c:pt idx="26">
                  <c:v>0.773750978808089</c:v>
                </c:pt>
                <c:pt idx="27">
                  <c:v>0.764700595182919</c:v>
                </c:pt>
                <c:pt idx="28">
                  <c:v>0.755539585758766</c:v>
                </c:pt>
                <c:pt idx="29">
                  <c:v>0.746258682370455</c:v>
                </c:pt>
                <c:pt idx="30">
                  <c:v>0.736847833789342</c:v>
                </c:pt>
                <c:pt idx="31">
                  <c:v>0.727296161141901</c:v>
                </c:pt>
                <c:pt idx="32">
                  <c:v>0.717591919109273</c:v>
                </c:pt>
                <c:pt idx="33">
                  <c:v>0.707722466345294</c:v>
                </c:pt>
                <c:pt idx="34">
                  <c:v>0.697674249578525</c:v>
                </c:pt>
                <c:pt idx="35">
                  <c:v>0.68743280711102</c:v>
                </c:pt>
                <c:pt idx="36">
                  <c:v>0.676982798910724</c:v>
                </c:pt>
                <c:pt idx="37">
                  <c:v>0.666308072218236</c:v>
                </c:pt>
                <c:pt idx="38">
                  <c:v>0.655391773528785</c:v>
                </c:pt>
                <c:pt idx="39">
                  <c:v>0.644216519901147</c:v>
                </c:pt>
                <c:pt idx="40">
                  <c:v>0.632764644657501</c:v>
                </c:pt>
                <c:pt idx="41">
                  <c:v>0.621018534451225</c:v>
                </c:pt>
                <c:pt idx="42">
                  <c:v>0.608961076049168</c:v>
                </c:pt>
                <c:pt idx="43">
                  <c:v>0.596576231498967</c:v>
                </c:pt>
                <c:pt idx="44">
                  <c:v>0.583849758942816</c:v>
                </c:pt>
                <c:pt idx="45">
                  <c:v>0.570770092313708</c:v>
                </c:pt>
                <c:pt idx="46">
                  <c:v>0.55732938546089</c:v>
                </c:pt>
                <c:pt idx="47">
                  <c:v>0.543524713783802</c:v>
                </c:pt>
                <c:pt idx="48">
                  <c:v>0.529359408227827</c:v>
                </c:pt>
                <c:pt idx="49">
                  <c:v>0.514844471997314</c:v>
                </c:pt>
                <c:pt idx="50">
                  <c:v>0.5</c:v>
                </c:pt>
                <c:pt idx="51">
                  <c:v>0.484856486801912</c:v>
                </c:pt>
                <c:pt idx="52">
                  <c:v>0.46945587477855</c:v>
                </c:pt>
                <c:pt idx="53">
                  <c:v>0.453852166641129</c:v>
                </c:pt>
                <c:pt idx="54">
                  <c:v>0.43811141420811</c:v>
                </c:pt>
                <c:pt idx="55">
                  <c:v>0.422310907808545</c:v>
                </c:pt>
                <c:pt idx="56">
                  <c:v>0.406537436417343</c:v>
                </c:pt>
                <c:pt idx="57">
                  <c:v>0.390884571444978</c:v>
                </c:pt>
                <c:pt idx="58">
                  <c:v>0.375449043101852</c:v>
                </c:pt>
                <c:pt idx="59">
                  <c:v>0.36032641343584</c:v>
                </c:pt>
                <c:pt idx="60">
                  <c:v>0.345606380951589</c:v>
                </c:pt>
                <c:pt idx="61">
                  <c:v>0.331368149289079</c:v>
                </c:pt>
                <c:pt idx="62">
                  <c:v>0.317676330124716</c:v>
                </c:pt>
                <c:pt idx="63">
                  <c:v>0.304577812545248</c:v>
                </c:pt>
                <c:pt idx="64">
                  <c:v>0.292099919301764</c:v>
                </c:pt>
                <c:pt idx="65">
                  <c:v>0.280250004787699</c:v>
                </c:pt>
                <c:pt idx="66">
                  <c:v>0.269016463860372</c:v>
                </c:pt>
                <c:pt idx="67">
                  <c:v>0.258370951867919</c:v>
                </c:pt>
                <c:pt idx="68">
                  <c:v>0.248271494597176</c:v>
                </c:pt>
                <c:pt idx="69">
                  <c:v>0.238666108140822</c:v>
                </c:pt>
                <c:pt idx="70">
                  <c:v>0.229496552490523</c:v>
                </c:pt>
                <c:pt idx="71">
                  <c:v>0.220701895649502</c:v>
                </c:pt>
                <c:pt idx="72">
                  <c:v>0.212221647179772</c:v>
                </c:pt>
                <c:pt idx="73">
                  <c:v>0.20399831108562</c:v>
                </c:pt>
                <c:pt idx="74">
                  <c:v>0.195979291938149</c:v>
                </c:pt>
                <c:pt idx="75">
                  <c:v>0.188118155789158</c:v>
                </c:pt>
                <c:pt idx="76">
                  <c:v>0.180375295564184</c:v>
                </c:pt>
                <c:pt idx="77">
                  <c:v>0.172718080711919</c:v>
                </c:pt>
                <c:pt idx="78">
                  <c:v>0.165120586832705</c:v>
                </c:pt>
                <c:pt idx="79">
                  <c:v>0.157563007253227</c:v>
                </c:pt>
                <c:pt idx="80">
                  <c:v>0.150030848643996</c:v>
                </c:pt>
                <c:pt idx="81">
                  <c:v>0.142514008810818</c:v>
                </c:pt>
                <c:pt idx="82">
                  <c:v>0.13500582713946</c:v>
                </c:pt>
                <c:pt idx="83">
                  <c:v>0.127502186164478</c:v>
                </c:pt>
                <c:pt idx="84">
                  <c:v>0.120000725577996</c:v>
                </c:pt>
                <c:pt idx="85">
                  <c:v>0.112500207882007</c:v>
                </c:pt>
                <c:pt idx="86">
                  <c:v>0.10500004981917</c:v>
                </c:pt>
                <c:pt idx="87">
                  <c:v>0.0975000095835522</c:v>
                </c:pt>
                <c:pt idx="88">
                  <c:v>0.0900000014006987</c:v>
                </c:pt>
                <c:pt idx="89">
                  <c:v>0.0825000001443148</c:v>
                </c:pt>
                <c:pt idx="90">
                  <c:v>0.0750000000094374</c:v>
                </c:pt>
                <c:pt idx="91">
                  <c:v>0.0675000000003362</c:v>
                </c:pt>
                <c:pt idx="92">
                  <c:v>0.0600000000000048</c:v>
                </c:pt>
                <c:pt idx="93">
                  <c:v>0.0524999999999996</c:v>
                </c:pt>
                <c:pt idx="94">
                  <c:v>0.0449999999999995</c:v>
                </c:pt>
                <c:pt idx="95">
                  <c:v>0.0374999999999995</c:v>
                </c:pt>
                <c:pt idx="96">
                  <c:v>0.0299999999999995</c:v>
                </c:pt>
                <c:pt idx="97">
                  <c:v>0.0224999999999995</c:v>
                </c:pt>
                <c:pt idx="98">
                  <c:v>0.0149999999999995</c:v>
                </c:pt>
                <c:pt idx="99">
                  <c:v>0.00749999999999951</c:v>
                </c:pt>
                <c:pt idx="100">
                  <c:v>0</c:v>
                </c:pt>
              </c:numCache>
            </c:numRef>
          </c:yVal>
          <c:smooth val="0"/>
        </c:ser>
        <c:ser>
          <c:idx val="1"/>
          <c:order val="1"/>
          <c:tx>
            <c:strRef>
              <c:f>'PV-curve'!$F$2</c:f>
              <c:strCache>
                <c:ptCount val="1"/>
                <c:pt idx="0">
                  <c:v>WC_apo</c:v>
                </c:pt>
              </c:strCache>
            </c:strRef>
          </c:tx>
          <c:spPr>
            <a:solidFill>
              <a:srgbClr val="4a7ebb"/>
            </a:solidFill>
            <a:ln w="47520">
              <a:solidFill>
                <a:srgbClr val="4a7ebb"/>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'PV-curve'!$F$3:$F$103</c:f>
              <c:numCache>
                <c:formatCode>General</c:formatCode>
                <c:ptCount val="101"/>
                <c:pt idx="0">
                  <c:v>0.25</c:v>
                </c:pt>
                <c:pt idx="1">
                  <c:v>0.249222251362914</c:v>
                </c:pt>
                <c:pt idx="2">
                  <c:v>0.249021014279738</c:v>
                </c:pt>
                <c:pt idx="3">
                  <c:v>0.248767184028596</c:v>
                </c:pt>
                <c:pt idx="4">
                  <c:v>0.248446936722884</c:v>
                </c:pt>
                <c:pt idx="5">
                  <c:v>0.248042836568459</c:v>
                </c:pt>
                <c:pt idx="6">
                  <c:v>0.247532925667393</c:v>
                </c:pt>
                <c:pt idx="7">
                  <c:v>0.246889611090432</c:v>
                </c:pt>
                <c:pt idx="8">
                  <c:v>0.246078322736688</c:v>
                </c:pt>
                <c:pt idx="9">
                  <c:v>0.245055925695142</c:v>
                </c:pt>
                <c:pt idx="10">
                  <c:v>0.243768893338221</c:v>
                </c:pt>
                <c:pt idx="11">
                  <c:v>0.242151289803213</c:v>
                </c:pt>
                <c:pt idx="12">
                  <c:v>0.240122683333799</c:v>
                </c:pt>
                <c:pt idx="13">
                  <c:v>0.237586228195219</c:v>
                </c:pt>
                <c:pt idx="14">
                  <c:v>0.23442732584225</c:v>
                </c:pt>
                <c:pt idx="15">
                  <c:v>0.230513513015092</c:v>
                </c:pt>
                <c:pt idx="16">
                  <c:v>0.229745057833673</c:v>
                </c:pt>
                <c:pt idx="17">
                  <c:v>0.22892953918232</c:v>
                </c:pt>
                <c:pt idx="18">
                  <c:v>0.228063324533643</c:v>
                </c:pt>
                <c:pt idx="19">
                  <c:v>0.22714245874551</c:v>
                </c:pt>
                <c:pt idx="20">
                  <c:v>0.226162633775223</c:v>
                </c:pt>
                <c:pt idx="21">
                  <c:v>0.225119155808381</c:v>
                </c:pt>
                <c:pt idx="22">
                  <c:v>0.224006909714002</c:v>
                </c:pt>
                <c:pt idx="23">
                  <c:v>0.222820320785368</c:v>
                </c:pt>
                <c:pt idx="24">
                  <c:v>0.221553313795572</c:v>
                </c:pt>
                <c:pt idx="25">
                  <c:v>0.220199269494471</c:v>
                </c:pt>
                <c:pt idx="26">
                  <c:v>0.218750978808089</c:v>
                </c:pt>
                <c:pt idx="27">
                  <c:v>0.217200595182919</c:v>
                </c:pt>
                <c:pt idx="28">
                  <c:v>0.215539585758766</c:v>
                </c:pt>
                <c:pt idx="29">
                  <c:v>0.213758682370455</c:v>
                </c:pt>
                <c:pt idx="30">
                  <c:v>0.211847833789342</c:v>
                </c:pt>
                <c:pt idx="31">
                  <c:v>0.209796161141901</c:v>
                </c:pt>
                <c:pt idx="32">
                  <c:v>0.207591919109273</c:v>
                </c:pt>
                <c:pt idx="33">
                  <c:v>0.205222466345294</c:v>
                </c:pt>
                <c:pt idx="34">
                  <c:v>0.202674249578525</c:v>
                </c:pt>
                <c:pt idx="35">
                  <c:v>0.19993280711102</c:v>
                </c:pt>
                <c:pt idx="36">
                  <c:v>0.196982798910724</c:v>
                </c:pt>
                <c:pt idx="37">
                  <c:v>0.193808072218236</c:v>
                </c:pt>
                <c:pt idx="38">
                  <c:v>0.190391773528785</c:v>
                </c:pt>
                <c:pt idx="39">
                  <c:v>0.186716519901147</c:v>
                </c:pt>
                <c:pt idx="40">
                  <c:v>0.182764644657501</c:v>
                </c:pt>
                <c:pt idx="41">
                  <c:v>0.178518534451226</c:v>
                </c:pt>
                <c:pt idx="42">
                  <c:v>0.173961076049168</c:v>
                </c:pt>
                <c:pt idx="43">
                  <c:v>0.169076231498967</c:v>
                </c:pt>
                <c:pt idx="44">
                  <c:v>0.163849758942816</c:v>
                </c:pt>
                <c:pt idx="45">
                  <c:v>0.158270092313708</c:v>
                </c:pt>
                <c:pt idx="46">
                  <c:v>0.15232938546089</c:v>
                </c:pt>
                <c:pt idx="47">
                  <c:v>0.146024713783802</c:v>
                </c:pt>
                <c:pt idx="48">
                  <c:v>0.139359408227827</c:v>
                </c:pt>
                <c:pt idx="49">
                  <c:v>0.132344471997314</c:v>
                </c:pt>
                <c:pt idx="50">
                  <c:v>0.125</c:v>
                </c:pt>
                <c:pt idx="51">
                  <c:v>0.117356486801912</c:v>
                </c:pt>
                <c:pt idx="52">
                  <c:v>0.10945587477855</c:v>
                </c:pt>
                <c:pt idx="53">
                  <c:v>0.101352166641129</c:v>
                </c:pt>
                <c:pt idx="54">
                  <c:v>0.0931114142081102</c:v>
                </c:pt>
                <c:pt idx="55">
                  <c:v>0.0848109078085455</c:v>
                </c:pt>
                <c:pt idx="56">
                  <c:v>0.076537436417343</c:v>
                </c:pt>
                <c:pt idx="57">
                  <c:v>0.0683845714449785</c:v>
                </c:pt>
                <c:pt idx="58">
                  <c:v>0.0604490431018523</c:v>
                </c:pt>
                <c:pt idx="59">
                  <c:v>0.0528264134358399</c:v>
                </c:pt>
                <c:pt idx="60">
                  <c:v>0.0456063809515888</c:v>
                </c:pt>
                <c:pt idx="61">
                  <c:v>0.0388681492890794</c:v>
                </c:pt>
                <c:pt idx="62">
                  <c:v>0.0326763301247166</c:v>
                </c:pt>
                <c:pt idx="63">
                  <c:v>0.0270778125452479</c:v>
                </c:pt>
                <c:pt idx="64">
                  <c:v>0.0220999193017645</c:v>
                </c:pt>
                <c:pt idx="65">
                  <c:v>0.0177500047876996</c:v>
                </c:pt>
                <c:pt idx="66">
                  <c:v>0.0140164638603719</c:v>
                </c:pt>
                <c:pt idx="67">
                  <c:v>0.0108709518679197</c:v>
                </c:pt>
                <c:pt idx="68">
                  <c:v>0.00827149459717596</c:v>
                </c:pt>
                <c:pt idx="69">
                  <c:v>0.00616610814082193</c:v>
                </c:pt>
                <c:pt idx="70">
                  <c:v>0.00449655249052285</c:v>
                </c:pt>
                <c:pt idx="71">
                  <c:v>0.00320189564950208</c:v>
                </c:pt>
                <c:pt idx="72">
                  <c:v>0.00222164717977197</c:v>
                </c:pt>
                <c:pt idx="73">
                  <c:v>0.00149831108562054</c:v>
                </c:pt>
                <c:pt idx="74">
                  <c:v>0.000979291938149203</c:v>
                </c:pt>
                <c:pt idx="75">
                  <c:v>0.000618155789158656</c:v>
                </c:pt>
                <c:pt idx="76">
                  <c:v>0.000375295564184235</c:v>
                </c:pt>
                <c:pt idx="77">
                  <c:v>0.000218080711919804</c:v>
                </c:pt>
                <c:pt idx="78">
                  <c:v>0.000120586832705136</c:v>
                </c:pt>
                <c:pt idx="79">
                  <c:v>6.30072532270276E-005</c:v>
                </c:pt>
                <c:pt idx="80">
                  <c:v>3.08486439965705E-005</c:v>
                </c:pt>
                <c:pt idx="81">
                  <c:v>1.40088108182468E-005</c:v>
                </c:pt>
                <c:pt idx="82">
                  <c:v>5.82713946037927E-006</c:v>
                </c:pt>
                <c:pt idx="83">
                  <c:v>2.18616447835274E-006</c:v>
                </c:pt>
                <c:pt idx="84">
                  <c:v>7.2557799629891E-007</c:v>
                </c:pt>
                <c:pt idx="85">
                  <c:v>2.07882006932891E-007</c:v>
                </c:pt>
                <c:pt idx="86">
                  <c:v>4.98191699094264E-008</c:v>
                </c:pt>
                <c:pt idx="87">
                  <c:v>9.58355265368027E-009</c:v>
                </c:pt>
                <c:pt idx="88">
                  <c:v>1.40069911225282E-009</c:v>
                </c:pt>
                <c:pt idx="89">
                  <c:v>1.4431517314506E-010</c:v>
                </c:pt>
                <c:pt idx="90">
                  <c:v>9.43785494200711E-012</c:v>
                </c:pt>
                <c:pt idx="91">
                  <c:v>3.36690675339923E-013</c:v>
                </c:pt>
                <c:pt idx="92">
                  <c:v>5.22248910783674E-015</c:v>
                </c:pt>
                <c:pt idx="93">
                  <c:v>0</c:v>
                </c:pt>
                <c:pt idx="94">
                  <c:v>0</c:v>
                </c:pt>
                <c:pt idx="95">
                  <c:v>0</c:v>
                </c:pt>
                <c:pt idx="96">
                  <c:v>0</c:v>
                </c:pt>
                <c:pt idx="97">
                  <c:v>0</c:v>
                </c:pt>
                <c:pt idx="98">
                  <c:v>0</c:v>
                </c:pt>
                <c:pt idx="99">
                  <c:v>0</c:v>
                </c:pt>
                <c:pt idx="100">
                  <c:v>0</c:v>
                </c:pt>
              </c:numCache>
            </c:numRef>
          </c:yVal>
          <c:smooth val="0"/>
        </c:ser>
        <c:ser>
          <c:idx val="2"/>
          <c:order val="2"/>
          <c:tx>
            <c:strRef>
              <c:f>'PV-curve'!$E$2</c:f>
              <c:strCache>
                <c:ptCount val="1"/>
                <c:pt idx="0">
                  <c:v>WC_symp</c:v>
                </c:pt>
              </c:strCache>
            </c:strRef>
          </c:tx>
          <c:spPr>
            <a:solidFill>
              <a:srgbClr val="98b855"/>
            </a:solidFill>
            <a:ln w="47520">
              <a:solidFill>
                <a:srgbClr val="98b855"/>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'PV-curve'!$E$3:$E$103</c:f>
              <c:numCache>
                <c:formatCode>General</c:formatCode>
                <c:ptCount val="101"/>
                <c:pt idx="0">
                  <c:v>0.75</c:v>
                </c:pt>
                <c:pt idx="1">
                  <c:v>0.7425</c:v>
                </c:pt>
                <c:pt idx="2">
                  <c:v>0.735</c:v>
                </c:pt>
                <c:pt idx="3">
                  <c:v>0.7275</c:v>
                </c:pt>
                <c:pt idx="4">
                  <c:v>0.72</c:v>
                </c:pt>
                <c:pt idx="5">
                  <c:v>0.7125</c:v>
                </c:pt>
                <c:pt idx="6">
                  <c:v>0.705</c:v>
                </c:pt>
                <c:pt idx="7">
                  <c:v>0.6975</c:v>
                </c:pt>
                <c:pt idx="8">
                  <c:v>0.69</c:v>
                </c:pt>
                <c:pt idx="9">
                  <c:v>0.6825</c:v>
                </c:pt>
                <c:pt idx="10">
                  <c:v>0.675</c:v>
                </c:pt>
                <c:pt idx="11">
                  <c:v>0.6675</c:v>
                </c:pt>
                <c:pt idx="12">
                  <c:v>0.66</c:v>
                </c:pt>
                <c:pt idx="13">
                  <c:v>0.6525</c:v>
                </c:pt>
                <c:pt idx="14">
                  <c:v>0.645</c:v>
                </c:pt>
                <c:pt idx="15">
                  <c:v>0.6375</c:v>
                </c:pt>
                <c:pt idx="16">
                  <c:v>0.63</c:v>
                </c:pt>
                <c:pt idx="17">
                  <c:v>0.6225</c:v>
                </c:pt>
                <c:pt idx="18">
                  <c:v>0.615</c:v>
                </c:pt>
                <c:pt idx="19">
                  <c:v>0.6075</c:v>
                </c:pt>
                <c:pt idx="20">
                  <c:v>0.6</c:v>
                </c:pt>
                <c:pt idx="21">
                  <c:v>0.5925</c:v>
                </c:pt>
                <c:pt idx="22">
                  <c:v>0.585</c:v>
                </c:pt>
                <c:pt idx="23">
                  <c:v>0.5775</c:v>
                </c:pt>
                <c:pt idx="24">
                  <c:v>0.57</c:v>
                </c:pt>
                <c:pt idx="25">
                  <c:v>0.5625</c:v>
                </c:pt>
                <c:pt idx="26">
                  <c:v>0.555</c:v>
                </c:pt>
                <c:pt idx="27">
                  <c:v>0.5475</c:v>
                </c:pt>
                <c:pt idx="28">
                  <c:v>0.54</c:v>
                </c:pt>
                <c:pt idx="29">
                  <c:v>0.5325</c:v>
                </c:pt>
                <c:pt idx="30">
                  <c:v>0.525</c:v>
                </c:pt>
                <c:pt idx="31">
                  <c:v>0.5175</c:v>
                </c:pt>
                <c:pt idx="32">
                  <c:v>0.51</c:v>
                </c:pt>
                <c:pt idx="33">
                  <c:v>0.5025</c:v>
                </c:pt>
                <c:pt idx="34">
                  <c:v>0.495</c:v>
                </c:pt>
                <c:pt idx="35">
                  <c:v>0.4875</c:v>
                </c:pt>
                <c:pt idx="36">
                  <c:v>0.48</c:v>
                </c:pt>
                <c:pt idx="37">
                  <c:v>0.4725</c:v>
                </c:pt>
                <c:pt idx="38">
                  <c:v>0.465</c:v>
                </c:pt>
                <c:pt idx="39">
                  <c:v>0.4575</c:v>
                </c:pt>
                <c:pt idx="40">
                  <c:v>0.45</c:v>
                </c:pt>
                <c:pt idx="41">
                  <c:v>0.4425</c:v>
                </c:pt>
                <c:pt idx="42">
                  <c:v>0.435</c:v>
                </c:pt>
                <c:pt idx="43">
                  <c:v>0.4275</c:v>
                </c:pt>
                <c:pt idx="44">
                  <c:v>0.42</c:v>
                </c:pt>
                <c:pt idx="45">
                  <c:v>0.4125</c:v>
                </c:pt>
                <c:pt idx="46">
                  <c:v>0.405</c:v>
                </c:pt>
                <c:pt idx="47">
                  <c:v>0.3975</c:v>
                </c:pt>
                <c:pt idx="48">
                  <c:v>0.39</c:v>
                </c:pt>
                <c:pt idx="49">
                  <c:v>0.3825</c:v>
                </c:pt>
                <c:pt idx="50">
                  <c:v>0.375</c:v>
                </c:pt>
                <c:pt idx="51">
                  <c:v>0.3675</c:v>
                </c:pt>
                <c:pt idx="52">
                  <c:v>0.36</c:v>
                </c:pt>
                <c:pt idx="53">
                  <c:v>0.3525</c:v>
                </c:pt>
                <c:pt idx="54">
                  <c:v>0.345</c:v>
                </c:pt>
                <c:pt idx="55">
                  <c:v>0.3375</c:v>
                </c:pt>
                <c:pt idx="56">
                  <c:v>0.33</c:v>
                </c:pt>
                <c:pt idx="57">
                  <c:v>0.3225</c:v>
                </c:pt>
                <c:pt idx="58">
                  <c:v>0.315</c:v>
                </c:pt>
                <c:pt idx="59">
                  <c:v>0.3075</c:v>
                </c:pt>
                <c:pt idx="60">
                  <c:v>0.3</c:v>
                </c:pt>
                <c:pt idx="61">
                  <c:v>0.2925</c:v>
                </c:pt>
                <c:pt idx="62">
                  <c:v>0.285</c:v>
                </c:pt>
                <c:pt idx="63">
                  <c:v>0.2775</c:v>
                </c:pt>
                <c:pt idx="64">
                  <c:v>0.27</c:v>
                </c:pt>
                <c:pt idx="65">
                  <c:v>0.2625</c:v>
                </c:pt>
                <c:pt idx="66">
                  <c:v>0.255</c:v>
                </c:pt>
                <c:pt idx="67">
                  <c:v>0.2475</c:v>
                </c:pt>
                <c:pt idx="68">
                  <c:v>0.24</c:v>
                </c:pt>
                <c:pt idx="69">
                  <c:v>0.2325</c:v>
                </c:pt>
                <c:pt idx="70">
                  <c:v>0.225</c:v>
                </c:pt>
                <c:pt idx="71">
                  <c:v>0.2175</c:v>
                </c:pt>
                <c:pt idx="72">
                  <c:v>0.21</c:v>
                </c:pt>
                <c:pt idx="73">
                  <c:v>0.2025</c:v>
                </c:pt>
                <c:pt idx="74">
                  <c:v>0.195</c:v>
                </c:pt>
                <c:pt idx="75">
                  <c:v>0.1875</c:v>
                </c:pt>
                <c:pt idx="76">
                  <c:v>0.18</c:v>
                </c:pt>
                <c:pt idx="77">
                  <c:v>0.1725</c:v>
                </c:pt>
                <c:pt idx="78">
                  <c:v>0.165</c:v>
                </c:pt>
                <c:pt idx="79">
                  <c:v>0.1575</c:v>
                </c:pt>
                <c:pt idx="80">
                  <c:v>0.15</c:v>
                </c:pt>
                <c:pt idx="81">
                  <c:v>0.1425</c:v>
                </c:pt>
                <c:pt idx="82">
                  <c:v>0.135</c:v>
                </c:pt>
                <c:pt idx="83">
                  <c:v>0.1275</c:v>
                </c:pt>
                <c:pt idx="84">
                  <c:v>0.12</c:v>
                </c:pt>
                <c:pt idx="85">
                  <c:v>0.1125</c:v>
                </c:pt>
                <c:pt idx="86">
                  <c:v>0.105</c:v>
                </c:pt>
                <c:pt idx="87">
                  <c:v>0.0974999999999996</c:v>
                </c:pt>
                <c:pt idx="88">
                  <c:v>0.0899999999999996</c:v>
                </c:pt>
                <c:pt idx="89">
                  <c:v>0.0824999999999996</c:v>
                </c:pt>
                <c:pt idx="90">
                  <c:v>0.0749999999999996</c:v>
                </c:pt>
                <c:pt idx="91">
                  <c:v>0.0674999999999996</c:v>
                </c:pt>
                <c:pt idx="92">
                  <c:v>0.0599999999999996</c:v>
                </c:pt>
                <c:pt idx="93">
                  <c:v>0.0524999999999996</c:v>
                </c:pt>
                <c:pt idx="94">
                  <c:v>0.0449999999999995</c:v>
                </c:pt>
                <c:pt idx="95">
                  <c:v>0.0374999999999995</c:v>
                </c:pt>
                <c:pt idx="96">
                  <c:v>0.0299999999999995</c:v>
                </c:pt>
                <c:pt idx="97">
                  <c:v>0.0224999999999995</c:v>
                </c:pt>
                <c:pt idx="98">
                  <c:v>0.0149999999999995</c:v>
                </c:pt>
                <c:pt idx="99">
                  <c:v>0.00749999999999951</c:v>
                </c:pt>
                <c:pt idx="100">
                  <c:v>0</c:v>
                </c:pt>
              </c:numCache>
            </c:numRef>
          </c:yVal>
          <c:smooth val="0"/>
        </c:ser>
        <c:axId val="9024505"/>
        <c:axId val="98726534"/>
      </c:scatterChart>
      <c:valAx>
        <c:axId val="9024505"/>
        <c:scaling>
          <c:orientation val="minMax"/>
          <c:max val="0"/>
          <c:min val="-10"/>
        </c:scaling>
        <c:delete val="0"/>
        <c:axPos val="b"/>
        <c:title>
          <c:tx>
            <c:rich>
              <a:bodyPr rot="0"/>
              <a:lstStyle/>
              <a:p>
                <a:pPr>
                  <a:defRPr b="1" lang="fr-FR" sz="1400" spc="-1" strike="noStrike">
                    <a:solidFill>
                      <a:srgbClr val="000000"/>
                    </a:solidFill>
                    <a:latin typeface="Calibri"/>
                  </a:defRPr>
                </a:pPr>
                <a:r>
                  <a:rPr b="1" lang="fr-FR" sz="1400" spc="-1" strike="noStrike">
                    <a:solidFill>
                      <a:srgbClr val="000000"/>
                    </a:solidFill>
                    <a:latin typeface="Calibri"/>
                  </a:rPr>
                  <a:t>Water potential, MPa</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400" spc="-1" strike="noStrike">
                <a:solidFill>
                  <a:srgbClr val="000000"/>
                </a:solidFill>
                <a:latin typeface="Calibri"/>
              </a:defRPr>
            </a:pPr>
          </a:p>
        </c:txPr>
        <c:crossAx val="98726534"/>
        <c:crosses val="autoZero"/>
        <c:crossBetween val="midCat"/>
      </c:valAx>
      <c:valAx>
        <c:axId val="98726534"/>
        <c:scaling>
          <c:orientation val="minMax"/>
          <c:min val="0"/>
        </c:scaling>
        <c:delete val="0"/>
        <c:axPos val="l"/>
        <c:title>
          <c:tx>
            <c:rich>
              <a:bodyPr rot="-5400000"/>
              <a:lstStyle/>
              <a:p>
                <a:pPr>
                  <a:defRPr b="1" lang="fr-FR" sz="1400" spc="-1" strike="noStrike">
                    <a:solidFill>
                      <a:srgbClr val="000000"/>
                    </a:solidFill>
                    <a:latin typeface="Calibri"/>
                  </a:defRPr>
                </a:pPr>
                <a:r>
                  <a:rPr b="1" lang="fr-FR" sz="1400" spc="-1" strike="noStrike">
                    <a:solidFill>
                      <a:srgbClr val="000000"/>
                    </a:solidFill>
                    <a:latin typeface="Calibri"/>
                  </a:rPr>
                  <a:t>Water content, g</a:t>
                </a:r>
              </a:p>
            </c:rich>
          </c:tx>
          <c:layout>
            <c:manualLayout>
              <c:xMode val="edge"/>
              <c:yMode val="edge"/>
              <c:x val="0.95032590412111"/>
              <c:y val="0.309757581023547"/>
            </c:manualLayout>
          </c:layout>
          <c:overlay val="0"/>
          <c:spPr>
            <a:noFill/>
            <a:ln w="0">
              <a:noFill/>
            </a:ln>
          </c:spPr>
        </c:title>
        <c:numFmt formatCode="General" sourceLinked="0"/>
        <c:majorTickMark val="out"/>
        <c:minorTickMark val="none"/>
        <c:tickLblPos val="high"/>
        <c:spPr>
          <a:ln w="9360">
            <a:solidFill>
              <a:srgbClr val="878787"/>
            </a:solidFill>
            <a:round/>
          </a:ln>
        </c:spPr>
        <c:txPr>
          <a:bodyPr/>
          <a:lstStyle/>
          <a:p>
            <a:pPr>
              <a:defRPr b="0" sz="1400" spc="-1" strike="noStrike">
                <a:solidFill>
                  <a:srgbClr val="000000"/>
                </a:solidFill>
                <a:latin typeface="Calibri"/>
              </a:defRPr>
            </a:pPr>
          </a:p>
        </c:txPr>
        <c:crossAx val="9024505"/>
        <c:crosses val="autoZero"/>
        <c:crossBetween val="midCat"/>
      </c:valAx>
      <c:spPr>
        <a:noFill/>
        <a:ln w="0">
          <a:noFill/>
        </a:ln>
      </c:spPr>
    </c:plotArea>
    <c:legend>
      <c:legendPos val="r"/>
      <c:layout>
        <c:manualLayout>
          <c:xMode val="edge"/>
          <c:yMode val="edge"/>
          <c:x val="0.244915229704297"/>
          <c:y val="0.166000910349314"/>
          <c:w val="0.276444255740309"/>
          <c:h val="0.204351890964022"/>
        </c:manualLayout>
      </c:layout>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554143915229497"/>
          <c:y val="0.070534005914072"/>
          <c:w val="0.793966589176623"/>
          <c:h val="0.809619064185076"/>
        </c:manualLayout>
      </c:layout>
      <c:scatterChart>
        <c:scatterStyle val="line"/>
        <c:varyColors val="0"/>
        <c:ser>
          <c:idx val="0"/>
          <c:order val="0"/>
          <c:tx>
            <c:strRef>
              <c:f>'PV-curve'!$Q$2</c:f>
              <c:strCache>
                <c:ptCount val="1"/>
                <c:pt idx="0">
                  <c:v>C_tot</c:v>
                </c:pt>
              </c:strCache>
            </c:strRef>
          </c:tx>
          <c:spPr>
            <a:solidFill>
              <a:srgbClr val="be4b48"/>
            </a:solidFill>
            <a:ln w="47520">
              <a:solidFill>
                <a:srgbClr val="be4b48"/>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'PV-curve'!$Q$3:$Q$103</c:f>
              <c:numCache>
                <c:formatCode>General</c:formatCode>
                <c:ptCount val="101"/>
                <c:pt idx="0">
                  <c:v>0.0718857118483781</c:v>
                </c:pt>
                <c:pt idx="1">
                  <c:v>0.0667000555088175</c:v>
                </c:pt>
                <c:pt idx="2">
                  <c:v>0.0669706617911623</c:v>
                </c:pt>
                <c:pt idx="3">
                  <c:v>0.0673530733544088</c:v>
                </c:pt>
                <c:pt idx="4">
                  <c:v>0.0678770182752938</c:v>
                </c:pt>
                <c:pt idx="5">
                  <c:v>0.0685795823073038</c:v>
                </c:pt>
                <c:pt idx="6">
                  <c:v>0.069506791673293</c:v>
                </c:pt>
                <c:pt idx="7">
                  <c:v>0.0707153770431925</c:v>
                </c:pt>
                <c:pt idx="8">
                  <c:v>0.0722746232089028</c:v>
                </c:pt>
                <c:pt idx="9">
                  <c:v>0.074268106298428</c:v>
                </c:pt>
                <c:pt idx="10">
                  <c:v>0.0767949572191574</c:v>
                </c:pt>
                <c:pt idx="11">
                  <c:v>0.0799700448654662</c:v>
                </c:pt>
                <c:pt idx="12">
                  <c:v>0.0839221281574567</c:v>
                </c:pt>
                <c:pt idx="13">
                  <c:v>0.0887885853984743</c:v>
                </c:pt>
                <c:pt idx="14">
                  <c:v>0.0947048487701817</c:v>
                </c:pt>
                <c:pt idx="15">
                  <c:v>0.393578466635523</c:v>
                </c:pt>
                <c:pt idx="16">
                  <c:v>0.386505306914906</c:v>
                </c:pt>
                <c:pt idx="17">
                  <c:v>0.379603045992614</c:v>
                </c:pt>
                <c:pt idx="18">
                  <c:v>0.372875937098529</c:v>
                </c:pt>
                <c:pt idx="19">
                  <c:v>0.366328438716422</c:v>
                </c:pt>
                <c:pt idx="20">
                  <c:v>0.359965205002929</c:v>
                </c:pt>
                <c:pt idx="21">
                  <c:v>0.353791069557071</c:v>
                </c:pt>
                <c:pt idx="22">
                  <c:v>0.347811020702508</c:v>
                </c:pt>
                <c:pt idx="23">
                  <c:v>0.342030166028574</c:v>
                </c:pt>
                <c:pt idx="24">
                  <c:v>0.336453683441869</c:v>
                </c:pt>
                <c:pt idx="25">
                  <c:v>0.331086755396121</c:v>
                </c:pt>
                <c:pt idx="26">
                  <c:v>0.325934482287791</c:v>
                </c:pt>
                <c:pt idx="27">
                  <c:v>0.32100177022231</c:v>
                </c:pt>
                <c:pt idx="28">
                  <c:v>0.31629318747363</c:v>
                </c:pt>
                <c:pt idx="29">
                  <c:v>0.31181278298755</c:v>
                </c:pt>
                <c:pt idx="30">
                  <c:v>0.307563859247595</c:v>
                </c:pt>
                <c:pt idx="31">
                  <c:v>0.303548690780619</c:v>
                </c:pt>
                <c:pt idx="32">
                  <c:v>0.299768178617914</c:v>
                </c:pt>
                <c:pt idx="33">
                  <c:v>0.296221430284345</c:v>
                </c:pt>
                <c:pt idx="34">
                  <c:v>0.292905254570662</c:v>
                </c:pt>
                <c:pt idx="35">
                  <c:v>0.289813560754876</c:v>
                </c:pt>
                <c:pt idx="36">
                  <c:v>0.286936653494055</c:v>
                </c:pt>
                <c:pt idx="37">
                  <c:v>0.284260417873306</c:v>
                </c:pt>
                <c:pt idx="38">
                  <c:v>0.281765394798184</c:v>
                </c:pt>
                <c:pt idx="39">
                  <c:v>0.279425755944965</c:v>
                </c:pt>
                <c:pt idx="40">
                  <c:v>0.277208200868102</c:v>
                </c:pt>
                <c:pt idx="41">
                  <c:v>0.275070817678938</c:v>
                </c:pt>
                <c:pt idx="42">
                  <c:v>0.272961973886431</c:v>
                </c:pt>
                <c:pt idx="43">
                  <c:v>0.270819335994888</c:v>
                </c:pt>
                <c:pt idx="44">
                  <c:v>0.268569154784357</c:v>
                </c:pt>
                <c:pt idx="45">
                  <c:v>0.266125995685795</c:v>
                </c:pt>
                <c:pt idx="46">
                  <c:v>0.263393135598837</c:v>
                </c:pt>
                <c:pt idx="47">
                  <c:v>0.260263880748454</c:v>
                </c:pt>
                <c:pt idx="48">
                  <c:v>0.256624072555471</c:v>
                </c:pt>
                <c:pt idx="49">
                  <c:v>0.252356023954332</c:v>
                </c:pt>
                <c:pt idx="50">
                  <c:v>0.247344048902097</c:v>
                </c:pt>
                <c:pt idx="51">
                  <c:v>0.241481596526317</c:v>
                </c:pt>
                <c:pt idx="52">
                  <c:v>0.234679770386815</c:v>
                </c:pt>
                <c:pt idx="53">
                  <c:v>0.226876711734578</c:v>
                </c:pt>
                <c:pt idx="54">
                  <c:v>0.218046988313993</c:v>
                </c:pt>
                <c:pt idx="55">
                  <c:v>0.208209822363872</c:v>
                </c:pt>
                <c:pt idx="56">
                  <c:v>0.197434803518092</c:v>
                </c:pt>
                <c:pt idx="57">
                  <c:v>0.185843761251238</c:v>
                </c:pt>
                <c:pt idx="58">
                  <c:v>0.173607788565822</c:v>
                </c:pt>
                <c:pt idx="59">
                  <c:v>0.160939021827811</c:v>
                </c:pt>
                <c:pt idx="60">
                  <c:v>0.148077609290097</c:v>
                </c:pt>
                <c:pt idx="61">
                  <c:v>0.135275173343905</c:v>
                </c:pt>
                <c:pt idx="62">
                  <c:v>0.122776771444886</c:v>
                </c:pt>
                <c:pt idx="63">
                  <c:v>0.110803692002133</c:v>
                </c:pt>
                <c:pt idx="64">
                  <c:v>0.099539281918144</c:v>
                </c:pt>
                <c:pt idx="65">
                  <c:v>0.0891194246901337</c:v>
                </c:pt>
                <c:pt idx="66">
                  <c:v>0.0796284297035426</c:v>
                </c:pt>
                <c:pt idx="67">
                  <c:v>0.0711001791860353</c:v>
                </c:pt>
                <c:pt idx="68">
                  <c:v>0.0635236224313542</c:v>
                </c:pt>
                <c:pt idx="69">
                  <c:v>0.0568512450318541</c:v>
                </c:pt>
                <c:pt idx="70">
                  <c:v>0.0510090096779206</c:v>
                </c:pt>
                <c:pt idx="71">
                  <c:v>0.0459064117161389</c:v>
                </c:pt>
                <c:pt idx="72">
                  <c:v>0.041445613914523</c:v>
                </c:pt>
                <c:pt idx="73">
                  <c:v>0.0375290096101658</c:v>
                </c:pt>
                <c:pt idx="74">
                  <c:v>0.0340649233122922</c:v>
                </c:pt>
                <c:pt idx="75">
                  <c:v>0.0309714408998978</c:v>
                </c:pt>
                <c:pt idx="76">
                  <c:v>0.0281785506563328</c:v>
                </c:pt>
                <c:pt idx="77">
                  <c:v>0.0256288793525507</c:v>
                </c:pt>
                <c:pt idx="78">
                  <c:v>0.0232773451047924</c:v>
                </c:pt>
                <c:pt idx="79">
                  <c:v>0.0210900441058451</c:v>
                </c:pt>
                <c:pt idx="80">
                  <c:v>0.0190426609107183</c:v>
                </c:pt>
                <c:pt idx="81">
                  <c:v>0.0171186542106959</c:v>
                </c:pt>
                <c:pt idx="82">
                  <c:v>0.0153074275889632</c:v>
                </c:pt>
                <c:pt idx="83">
                  <c:v>0.0136026485301541</c:v>
                </c:pt>
                <c:pt idx="84">
                  <c:v>0.0120008283135829</c:v>
                </c:pt>
                <c:pt idx="85">
                  <c:v>0.0105002212879717</c:v>
                </c:pt>
                <c:pt idx="86">
                  <c:v>0.00910004881921554</c:v>
                </c:pt>
                <c:pt idx="87">
                  <c:v>0.00780000851016762</c:v>
                </c:pt>
                <c:pt idx="88">
                  <c:v>0.00660000110561781</c:v>
                </c:pt>
                <c:pt idx="89">
                  <c:v>0.00550000009890997</c:v>
                </c:pt>
                <c:pt idx="90">
                  <c:v>0.00450000000546065</c:v>
                </c:pt>
                <c:pt idx="91">
                  <c:v>0.00360000000015905</c:v>
                </c:pt>
                <c:pt idx="92">
                  <c:v>0.00280000000000191</c:v>
                </c:pt>
                <c:pt idx="93">
                  <c:v>0.00209999999999996</c:v>
                </c:pt>
                <c:pt idx="94">
                  <c:v>0.00149999999999997</c:v>
                </c:pt>
                <c:pt idx="95">
                  <c:v>0.000999999999999972</c:v>
                </c:pt>
                <c:pt idx="96">
                  <c:v>0.000599999999999978</c:v>
                </c:pt>
                <c:pt idx="97">
                  <c:v>0.000299999999999984</c:v>
                </c:pt>
                <c:pt idx="98">
                  <c:v>9.99999999999902E-005</c:v>
                </c:pt>
                <c:pt idx="99">
                  <c:v>-4.99999999999934E-005</c:v>
                </c:pt>
                <c:pt idx="100">
                  <c:v>0</c:v>
                </c:pt>
              </c:numCache>
            </c:numRef>
          </c:yVal>
          <c:smooth val="0"/>
        </c:ser>
        <c:ser>
          <c:idx val="1"/>
          <c:order val="1"/>
          <c:tx>
            <c:strRef>
              <c:f>'PV-curve'!$S$2</c:f>
              <c:strCache>
                <c:ptCount val="1"/>
                <c:pt idx="0">
                  <c:v>C_apo</c:v>
                </c:pt>
              </c:strCache>
            </c:strRef>
          </c:tx>
          <c:spPr>
            <a:solidFill>
              <a:srgbClr val="4a7ebb"/>
            </a:solidFill>
            <a:ln w="47520">
              <a:solidFill>
                <a:srgbClr val="4a7ebb"/>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'PV-curve'!$S$3:$S$103</c:f>
              <c:numCache>
                <c:formatCode>General</c:formatCode>
                <c:ptCount val="101"/>
                <c:pt idx="0">
                  <c:v>0.00675413290101039</c:v>
                </c:pt>
                <c:pt idx="1">
                  <c:v>0.00174290499997844</c:v>
                </c:pt>
                <c:pt idx="2">
                  <c:v>0.00219235904720546</c:v>
                </c:pt>
                <c:pt idx="3">
                  <c:v>0.00275817879280991</c:v>
                </c:pt>
                <c:pt idx="4">
                  <c:v>0.00347023861427754</c:v>
                </c:pt>
                <c:pt idx="5">
                  <c:v>0.00436577597940307</c:v>
                </c:pt>
                <c:pt idx="6">
                  <c:v>0.00549097445009458</c:v>
                </c:pt>
                <c:pt idx="7">
                  <c:v>0.00690272787851447</c:v>
                </c:pt>
                <c:pt idx="8">
                  <c:v>0.00867049030776811</c:v>
                </c:pt>
                <c:pt idx="9">
                  <c:v>0.0108780134191715</c:v>
                </c:pt>
                <c:pt idx="10">
                  <c:v>0.0136246102160022</c:v>
                </c:pt>
                <c:pt idx="11">
                  <c:v>0.01702533847884</c:v>
                </c:pt>
                <c:pt idx="12">
                  <c:v>0.0212091530591599</c:v>
                </c:pt>
                <c:pt idx="13">
                  <c:v>0.0263136354986753</c:v>
                </c:pt>
                <c:pt idx="14">
                  <c:v>0.0324744287928829</c:v>
                </c:pt>
                <c:pt idx="15">
                  <c:v>0.0365784666355279</c:v>
                </c:pt>
                <c:pt idx="16">
                  <c:v>0.0379053069149037</c:v>
                </c:pt>
                <c:pt idx="17">
                  <c:v>0.0393030459926153</c:v>
                </c:pt>
                <c:pt idx="18">
                  <c:v>0.04077593709853</c:v>
                </c:pt>
                <c:pt idx="19">
                  <c:v>0.0423284387164215</c:v>
                </c:pt>
                <c:pt idx="20">
                  <c:v>0.0439652050029225</c:v>
                </c:pt>
                <c:pt idx="21">
                  <c:v>0.0456910695570737</c:v>
                </c:pt>
                <c:pt idx="22">
                  <c:v>0.0475110207025085</c:v>
                </c:pt>
                <c:pt idx="23">
                  <c:v>0.0494301660285747</c:v>
                </c:pt>
                <c:pt idx="24">
                  <c:v>0.0514536834418684</c:v>
                </c:pt>
                <c:pt idx="25">
                  <c:v>0.0535867553961274</c:v>
                </c:pt>
                <c:pt idx="26">
                  <c:v>0.0558344822877884</c:v>
                </c:pt>
                <c:pt idx="27">
                  <c:v>0.0582017702223119</c:v>
                </c:pt>
                <c:pt idx="28">
                  <c:v>0.060693187473628</c:v>
                </c:pt>
                <c:pt idx="29">
                  <c:v>0.0633127829875489</c:v>
                </c:pt>
                <c:pt idx="30">
                  <c:v>0.0660638592475974</c:v>
                </c:pt>
                <c:pt idx="31">
                  <c:v>0.0689486907806166</c:v>
                </c:pt>
                <c:pt idx="32">
                  <c:v>0.0719681786179156</c:v>
                </c:pt>
                <c:pt idx="33">
                  <c:v>0.0751214302843396</c:v>
                </c:pt>
                <c:pt idx="34">
                  <c:v>0.0784052545706649</c:v>
                </c:pt>
                <c:pt idx="35">
                  <c:v>0.081813560754877</c:v>
                </c:pt>
                <c:pt idx="36">
                  <c:v>0.0853366534940551</c:v>
                </c:pt>
                <c:pt idx="37">
                  <c:v>0.0889604178733062</c:v>
                </c:pt>
                <c:pt idx="38">
                  <c:v>0.0926653947981833</c:v>
                </c:pt>
                <c:pt idx="39">
                  <c:v>0.0964257559449642</c:v>
                </c:pt>
                <c:pt idx="40">
                  <c:v>0.100208200868102</c:v>
                </c:pt>
                <c:pt idx="41">
                  <c:v>0.103970817678937</c:v>
                </c:pt>
                <c:pt idx="42">
                  <c:v>0.107661973886433</c:v>
                </c:pt>
                <c:pt idx="43">
                  <c:v>0.111219335994889</c:v>
                </c:pt>
                <c:pt idx="44">
                  <c:v>0.114569154784355</c:v>
                </c:pt>
                <c:pt idx="45">
                  <c:v>0.117625995685796</c:v>
                </c:pt>
                <c:pt idx="46">
                  <c:v>0.120293135598837</c:v>
                </c:pt>
                <c:pt idx="47">
                  <c:v>0.122463880748456</c:v>
                </c:pt>
                <c:pt idx="48">
                  <c:v>0.12402407255547</c:v>
                </c:pt>
                <c:pt idx="49">
                  <c:v>0.124856023954332</c:v>
                </c:pt>
                <c:pt idx="50">
                  <c:v>0.124844048902099</c:v>
                </c:pt>
                <c:pt idx="51">
                  <c:v>0.123881596526316</c:v>
                </c:pt>
                <c:pt idx="52">
                  <c:v>0.121879770386814</c:v>
                </c:pt>
                <c:pt idx="53">
                  <c:v>0.118776711734579</c:v>
                </c:pt>
                <c:pt idx="54">
                  <c:v>0.114546988313993</c:v>
                </c:pt>
                <c:pt idx="55">
                  <c:v>0.109209822363872</c:v>
                </c:pt>
                <c:pt idx="56">
                  <c:v>0.102834803518092</c:v>
                </c:pt>
                <c:pt idx="57">
                  <c:v>0.0955437612512384</c:v>
                </c:pt>
                <c:pt idx="58">
                  <c:v>0.0875077885658226</c:v>
                </c:pt>
                <c:pt idx="59">
                  <c:v>0.0789390218278111</c:v>
                </c:pt>
                <c:pt idx="60">
                  <c:v>0.0700776092900974</c:v>
                </c:pt>
                <c:pt idx="61">
                  <c:v>0.0611751733439046</c:v>
                </c:pt>
                <c:pt idx="62">
                  <c:v>0.0524767714448864</c:v>
                </c:pt>
                <c:pt idx="63">
                  <c:v>0.0442036920021332</c:v>
                </c:pt>
                <c:pt idx="64">
                  <c:v>0.0365392819181444</c:v>
                </c:pt>
                <c:pt idx="65">
                  <c:v>0.0296194246901337</c:v>
                </c:pt>
                <c:pt idx="66">
                  <c:v>0.0235284297035424</c:v>
                </c:pt>
                <c:pt idx="67">
                  <c:v>0.0183001791860356</c:v>
                </c:pt>
                <c:pt idx="68">
                  <c:v>0.0139236224313545</c:v>
                </c:pt>
                <c:pt idx="69">
                  <c:v>0.0103512450318543</c:v>
                </c:pt>
                <c:pt idx="70">
                  <c:v>0.0075090096779204</c:v>
                </c:pt>
                <c:pt idx="71">
                  <c:v>0.00530641171613901</c:v>
                </c:pt>
                <c:pt idx="72">
                  <c:v>0.00364561391452318</c:v>
                </c:pt>
                <c:pt idx="73">
                  <c:v>0.00242900961016586</c:v>
                </c:pt>
                <c:pt idx="74">
                  <c:v>0.00156492331229236</c:v>
                </c:pt>
                <c:pt idx="75">
                  <c:v>0.000971440899897683</c:v>
                </c:pt>
                <c:pt idx="76">
                  <c:v>0.000578550656333104</c:v>
                </c:pt>
                <c:pt idx="77">
                  <c:v>0.00032887935255081</c:v>
                </c:pt>
                <c:pt idx="78">
                  <c:v>0.000177345104792574</c:v>
                </c:pt>
                <c:pt idx="79">
                  <c:v>9.00441058452793E-005</c:v>
                </c:pt>
                <c:pt idx="80">
                  <c:v>4.26609107184198E-005</c:v>
                </c:pt>
                <c:pt idx="81">
                  <c:v>1.86542106959378E-005</c:v>
                </c:pt>
                <c:pt idx="82">
                  <c:v>7.42758896333408E-006</c:v>
                </c:pt>
                <c:pt idx="83">
                  <c:v>2.64853015412426E-006</c:v>
                </c:pt>
                <c:pt idx="84">
                  <c:v>8.28313582985622E-007</c:v>
                </c:pt>
                <c:pt idx="85">
                  <c:v>2.21287971832849E-007</c:v>
                </c:pt>
                <c:pt idx="86">
                  <c:v>4.88192156036381E-008</c:v>
                </c:pt>
                <c:pt idx="87">
                  <c:v>8.51016768308447E-009</c:v>
                </c:pt>
                <c:pt idx="88">
                  <c:v>1.10561786641482E-009</c:v>
                </c:pt>
                <c:pt idx="89">
                  <c:v>9.89100333489041E-011</c:v>
                </c:pt>
                <c:pt idx="90">
                  <c:v>5.46069856000024E-012</c:v>
                </c:pt>
                <c:pt idx="91">
                  <c:v>1.59104729391399E-013</c:v>
                </c:pt>
                <c:pt idx="92">
                  <c:v>1.94972926692568E-015</c:v>
                </c:pt>
                <c:pt idx="93">
                  <c:v>0</c:v>
                </c:pt>
                <c:pt idx="94">
                  <c:v>0</c:v>
                </c:pt>
                <c:pt idx="95">
                  <c:v>0</c:v>
                </c:pt>
                <c:pt idx="96">
                  <c:v>0</c:v>
                </c:pt>
                <c:pt idx="97">
                  <c:v>0</c:v>
                </c:pt>
                <c:pt idx="98">
                  <c:v>0</c:v>
                </c:pt>
                <c:pt idx="99">
                  <c:v>-0</c:v>
                </c:pt>
                <c:pt idx="100">
                  <c:v>0</c:v>
                </c:pt>
              </c:numCache>
            </c:numRef>
          </c:yVal>
          <c:smooth val="0"/>
        </c:ser>
        <c:ser>
          <c:idx val="2"/>
          <c:order val="2"/>
          <c:tx>
            <c:strRef>
              <c:f>'PV-curve'!$R$2</c:f>
              <c:strCache>
                <c:ptCount val="1"/>
                <c:pt idx="0">
                  <c:v>C_symp</c:v>
                </c:pt>
              </c:strCache>
            </c:strRef>
          </c:tx>
          <c:spPr>
            <a:solidFill>
              <a:srgbClr val="98b855"/>
            </a:solidFill>
            <a:ln w="47520">
              <a:solidFill>
                <a:srgbClr val="98b855"/>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'PV-curve'!$N$3:$N$103</c:f>
              <c:numCache>
                <c:formatCode>General</c:formatCode>
                <c:ptCount val="101"/>
                <c:pt idx="0">
                  <c:v>0</c:v>
                </c:pt>
                <c:pt idx="1">
                  <c:v>-0.115151515151515</c:v>
                </c:pt>
                <c:pt idx="2">
                  <c:v>-0.230612244897959</c:v>
                </c:pt>
                <c:pt idx="3">
                  <c:v>-0.34639175257732</c:v>
                </c:pt>
                <c:pt idx="4">
                  <c:v>-0.4625</c:v>
                </c:pt>
                <c:pt idx="5">
                  <c:v>-0.578947368421053</c:v>
                </c:pt>
                <c:pt idx="6">
                  <c:v>-0.695744680851064</c:v>
                </c:pt>
                <c:pt idx="7">
                  <c:v>-0.812903225806452</c:v>
                </c:pt>
                <c:pt idx="8">
                  <c:v>-0.930434782608696</c:v>
                </c:pt>
                <c:pt idx="9">
                  <c:v>-1.04835164835165</c:v>
                </c:pt>
                <c:pt idx="10">
                  <c:v>-1.16666666666667</c:v>
                </c:pt>
                <c:pt idx="11">
                  <c:v>-1.28539325842697</c:v>
                </c:pt>
                <c:pt idx="12">
                  <c:v>-1.40454545454545</c:v>
                </c:pt>
                <c:pt idx="13">
                  <c:v>-1.52413793103448</c:v>
                </c:pt>
                <c:pt idx="14">
                  <c:v>-1.64418604651163</c:v>
                </c:pt>
                <c:pt idx="15">
                  <c:v>-1.76470588235294</c:v>
                </c:pt>
                <c:pt idx="16">
                  <c:v>-1.78571428571429</c:v>
                </c:pt>
                <c:pt idx="17">
                  <c:v>-1.80722891566265</c:v>
                </c:pt>
                <c:pt idx="18">
                  <c:v>-1.82926829268293</c:v>
                </c:pt>
                <c:pt idx="19">
                  <c:v>-1.85185185185185</c:v>
                </c:pt>
                <c:pt idx="20">
                  <c:v>-1.875</c:v>
                </c:pt>
                <c:pt idx="21">
                  <c:v>-1.89873417721519</c:v>
                </c:pt>
                <c:pt idx="22">
                  <c:v>-1.92307692307692</c:v>
                </c:pt>
                <c:pt idx="23">
                  <c:v>-1.94805194805195</c:v>
                </c:pt>
                <c:pt idx="24">
                  <c:v>-1.97368421052632</c:v>
                </c:pt>
                <c:pt idx="25">
                  <c:v>-2</c:v>
                </c:pt>
                <c:pt idx="26">
                  <c:v>-2.02702702702703</c:v>
                </c:pt>
                <c:pt idx="27">
                  <c:v>-2.05479452054795</c:v>
                </c:pt>
                <c:pt idx="28">
                  <c:v>-2.08333333333333</c:v>
                </c:pt>
                <c:pt idx="29">
                  <c:v>-2.11267605633803</c:v>
                </c:pt>
                <c:pt idx="30">
                  <c:v>-2.14285714285714</c:v>
                </c:pt>
                <c:pt idx="31">
                  <c:v>-2.17391304347826</c:v>
                </c:pt>
                <c:pt idx="32">
                  <c:v>-2.20588235294118</c:v>
                </c:pt>
                <c:pt idx="33">
                  <c:v>-2.23880597014925</c:v>
                </c:pt>
                <c:pt idx="34">
                  <c:v>-2.27272727272727</c:v>
                </c:pt>
                <c:pt idx="35">
                  <c:v>-2.30769230769231</c:v>
                </c:pt>
                <c:pt idx="36">
                  <c:v>-2.34375</c:v>
                </c:pt>
                <c:pt idx="37">
                  <c:v>-2.38095238095238</c:v>
                </c:pt>
                <c:pt idx="38">
                  <c:v>-2.41935483870968</c:v>
                </c:pt>
                <c:pt idx="39">
                  <c:v>-2.45901639344262</c:v>
                </c:pt>
                <c:pt idx="40">
                  <c:v>-2.5</c:v>
                </c:pt>
                <c:pt idx="41">
                  <c:v>-2.54237288135593</c:v>
                </c:pt>
                <c:pt idx="42">
                  <c:v>-2.58620689655172</c:v>
                </c:pt>
                <c:pt idx="43">
                  <c:v>-2.63157894736842</c:v>
                </c:pt>
                <c:pt idx="44">
                  <c:v>-2.67857142857143</c:v>
                </c:pt>
                <c:pt idx="45">
                  <c:v>-2.72727272727273</c:v>
                </c:pt>
                <c:pt idx="46">
                  <c:v>-2.77777777777778</c:v>
                </c:pt>
                <c:pt idx="47">
                  <c:v>-2.83018867924528</c:v>
                </c:pt>
                <c:pt idx="48">
                  <c:v>-2.88461538461539</c:v>
                </c:pt>
                <c:pt idx="49">
                  <c:v>-2.94117647058824</c:v>
                </c:pt>
                <c:pt idx="50">
                  <c:v>-3</c:v>
                </c:pt>
                <c:pt idx="51">
                  <c:v>-3.06122448979592</c:v>
                </c:pt>
                <c:pt idx="52">
                  <c:v>-3.125</c:v>
                </c:pt>
                <c:pt idx="53">
                  <c:v>-3.19148936170213</c:v>
                </c:pt>
                <c:pt idx="54">
                  <c:v>-3.26086956521739</c:v>
                </c:pt>
                <c:pt idx="55">
                  <c:v>-3.33333333333334</c:v>
                </c:pt>
                <c:pt idx="56">
                  <c:v>-3.40909090909091</c:v>
                </c:pt>
                <c:pt idx="57">
                  <c:v>-3.48837209302326</c:v>
                </c:pt>
                <c:pt idx="58">
                  <c:v>-3.57142857142857</c:v>
                </c:pt>
                <c:pt idx="59">
                  <c:v>-3.65853658536586</c:v>
                </c:pt>
                <c:pt idx="60">
                  <c:v>-3.75</c:v>
                </c:pt>
                <c:pt idx="61">
                  <c:v>-3.84615384615385</c:v>
                </c:pt>
                <c:pt idx="62">
                  <c:v>-3.94736842105263</c:v>
                </c:pt>
                <c:pt idx="63">
                  <c:v>-4.05405405405406</c:v>
                </c:pt>
                <c:pt idx="64">
                  <c:v>-4.16666666666667</c:v>
                </c:pt>
                <c:pt idx="65">
                  <c:v>-4.28571428571429</c:v>
                </c:pt>
                <c:pt idx="66">
                  <c:v>-4.41176470588236</c:v>
                </c:pt>
                <c:pt idx="67">
                  <c:v>-4.54545454545455</c:v>
                </c:pt>
                <c:pt idx="68">
                  <c:v>-4.68750000000001</c:v>
                </c:pt>
                <c:pt idx="69">
                  <c:v>-4.83870967741936</c:v>
                </c:pt>
                <c:pt idx="70">
                  <c:v>-5.00000000000001</c:v>
                </c:pt>
                <c:pt idx="71">
                  <c:v>-5.17241379310346</c:v>
                </c:pt>
                <c:pt idx="72">
                  <c:v>-5.35714285714287</c:v>
                </c:pt>
                <c:pt idx="73">
                  <c:v>-5.55555555555556</c:v>
                </c:pt>
                <c:pt idx="74">
                  <c:v>-5.76923076923078</c:v>
                </c:pt>
                <c:pt idx="75">
                  <c:v>-6.00000000000001</c:v>
                </c:pt>
                <c:pt idx="76">
                  <c:v>-6.25000000000001</c:v>
                </c:pt>
                <c:pt idx="77">
                  <c:v>-6.5217391304348</c:v>
                </c:pt>
                <c:pt idx="78">
                  <c:v>-6.81818181818183</c:v>
                </c:pt>
                <c:pt idx="79">
                  <c:v>-7.14285714285716</c:v>
                </c:pt>
                <c:pt idx="80">
                  <c:v>-7.50000000000002</c:v>
                </c:pt>
                <c:pt idx="81">
                  <c:v>-7.89473684210528</c:v>
                </c:pt>
                <c:pt idx="82">
                  <c:v>-8.33333333333336</c:v>
                </c:pt>
                <c:pt idx="83">
                  <c:v>-8.82352941176473</c:v>
                </c:pt>
                <c:pt idx="84">
                  <c:v>-9.37500000000003</c:v>
                </c:pt>
                <c:pt idx="85">
                  <c:v>-10</c:v>
                </c:pt>
                <c:pt idx="86">
                  <c:v>-10.7142857142858</c:v>
                </c:pt>
                <c:pt idx="87">
                  <c:v>-11.5384615384616</c:v>
                </c:pt>
                <c:pt idx="88">
                  <c:v>-12.5000000000001</c:v>
                </c:pt>
                <c:pt idx="89">
                  <c:v>-13.6363636363637</c:v>
                </c:pt>
                <c:pt idx="90">
                  <c:v>-15.0000000000001</c:v>
                </c:pt>
                <c:pt idx="91">
                  <c:v>-16.6666666666668</c:v>
                </c:pt>
                <c:pt idx="92">
                  <c:v>-18.7500000000001</c:v>
                </c:pt>
                <c:pt idx="93">
                  <c:v>-21.4285714285716</c:v>
                </c:pt>
                <c:pt idx="94">
                  <c:v>-25.0000000000003</c:v>
                </c:pt>
                <c:pt idx="95">
                  <c:v>-30.0000000000004</c:v>
                </c:pt>
                <c:pt idx="96">
                  <c:v>-37.5000000000006</c:v>
                </c:pt>
                <c:pt idx="97">
                  <c:v>-50.0000000000011</c:v>
                </c:pt>
                <c:pt idx="98">
                  <c:v>-75.0000000000024</c:v>
                </c:pt>
                <c:pt idx="99">
                  <c:v>-150.00000000001</c:v>
                </c:pt>
              </c:numCache>
            </c:numRef>
          </c:xVal>
          <c:yVal>
            <c:numRef>
              <c:f>'PV-curve'!$R$3:$R$103</c:f>
              <c:numCache>
                <c:formatCode>General</c:formatCode>
                <c:ptCount val="101"/>
                <c:pt idx="0">
                  <c:v>0.065131578947368</c:v>
                </c:pt>
                <c:pt idx="1">
                  <c:v>0.0649571505088383</c:v>
                </c:pt>
                <c:pt idx="2">
                  <c:v>0.0647783027439573</c:v>
                </c:pt>
                <c:pt idx="3">
                  <c:v>0.0645948945615989</c:v>
                </c:pt>
                <c:pt idx="4">
                  <c:v>0.0644067796610165</c:v>
                </c:pt>
                <c:pt idx="5">
                  <c:v>0.0642138063279007</c:v>
                </c:pt>
                <c:pt idx="6">
                  <c:v>0.0640158172231982</c:v>
                </c:pt>
                <c:pt idx="7">
                  <c:v>0.0638126491646785</c:v>
                </c:pt>
                <c:pt idx="8">
                  <c:v>0.0636041329011342</c:v>
                </c:pt>
                <c:pt idx="9">
                  <c:v>0.0633900928792565</c:v>
                </c:pt>
                <c:pt idx="10">
                  <c:v>0.0631703470031551</c:v>
                </c:pt>
                <c:pt idx="11">
                  <c:v>0.0629447063866262</c:v>
                </c:pt>
                <c:pt idx="12">
                  <c:v>0.0627129750982966</c:v>
                </c:pt>
                <c:pt idx="13">
                  <c:v>0.0624749498997992</c:v>
                </c:pt>
                <c:pt idx="14">
                  <c:v>0.062230419977299</c:v>
                </c:pt>
                <c:pt idx="15">
                  <c:v>0.356999999999995</c:v>
                </c:pt>
                <c:pt idx="16">
                  <c:v>0.348599999999998</c:v>
                </c:pt>
                <c:pt idx="17">
                  <c:v>0.340300000000002</c:v>
                </c:pt>
                <c:pt idx="18">
                  <c:v>0.332099999999995</c:v>
                </c:pt>
                <c:pt idx="19">
                  <c:v>0.324000000000003</c:v>
                </c:pt>
                <c:pt idx="20">
                  <c:v>0.316000000000009</c:v>
                </c:pt>
                <c:pt idx="21">
                  <c:v>0.308099999999996</c:v>
                </c:pt>
                <c:pt idx="22">
                  <c:v>0.300299999999999</c:v>
                </c:pt>
                <c:pt idx="23">
                  <c:v>0.292600000000001</c:v>
                </c:pt>
                <c:pt idx="24">
                  <c:v>0.284999999999998</c:v>
                </c:pt>
                <c:pt idx="25">
                  <c:v>0.277499999999996</c:v>
                </c:pt>
                <c:pt idx="26">
                  <c:v>0.270100000000002</c:v>
                </c:pt>
                <c:pt idx="27">
                  <c:v>0.262799999999999</c:v>
                </c:pt>
                <c:pt idx="28">
                  <c:v>0.255600000000001</c:v>
                </c:pt>
                <c:pt idx="29">
                  <c:v>0.248500000000001</c:v>
                </c:pt>
                <c:pt idx="30">
                  <c:v>0.241499999999999</c:v>
                </c:pt>
                <c:pt idx="31">
                  <c:v>0.2346</c:v>
                </c:pt>
                <c:pt idx="32">
                  <c:v>0.227800000000001</c:v>
                </c:pt>
                <c:pt idx="33">
                  <c:v>0.221100000000002</c:v>
                </c:pt>
                <c:pt idx="34">
                  <c:v>0.2145</c:v>
                </c:pt>
                <c:pt idx="35">
                  <c:v>0.207999999999997</c:v>
                </c:pt>
                <c:pt idx="36">
                  <c:v>0.201600000000002</c:v>
                </c:pt>
                <c:pt idx="37">
                  <c:v>0.1953</c:v>
                </c:pt>
                <c:pt idx="38">
                  <c:v>0.1891</c:v>
                </c:pt>
                <c:pt idx="39">
                  <c:v>0.183</c:v>
                </c:pt>
                <c:pt idx="40">
                  <c:v>0.176999999999999</c:v>
                </c:pt>
                <c:pt idx="41">
                  <c:v>0.171100000000001</c:v>
                </c:pt>
                <c:pt idx="42">
                  <c:v>0.165299999999998</c:v>
                </c:pt>
                <c:pt idx="43">
                  <c:v>0.1596</c:v>
                </c:pt>
                <c:pt idx="44">
                  <c:v>0.154</c:v>
                </c:pt>
                <c:pt idx="45">
                  <c:v>0.1485</c:v>
                </c:pt>
                <c:pt idx="46">
                  <c:v>0.143099999999999</c:v>
                </c:pt>
                <c:pt idx="47">
                  <c:v>0.1378</c:v>
                </c:pt>
                <c:pt idx="48">
                  <c:v>0.132600000000001</c:v>
                </c:pt>
                <c:pt idx="49">
                  <c:v>0.1275</c:v>
                </c:pt>
                <c:pt idx="50">
                  <c:v>0.122499999999999</c:v>
                </c:pt>
                <c:pt idx="51">
                  <c:v>0.1176</c:v>
                </c:pt>
                <c:pt idx="52">
                  <c:v>0.112800000000001</c:v>
                </c:pt>
                <c:pt idx="53">
                  <c:v>0.1081</c:v>
                </c:pt>
                <c:pt idx="54">
                  <c:v>0.1035</c:v>
                </c:pt>
                <c:pt idx="55">
                  <c:v>0.0989999999999996</c:v>
                </c:pt>
                <c:pt idx="56">
                  <c:v>0.0946000000000002</c:v>
                </c:pt>
                <c:pt idx="57">
                  <c:v>0.0902999999999999</c:v>
                </c:pt>
                <c:pt idx="58">
                  <c:v>0.0860999999999997</c:v>
                </c:pt>
                <c:pt idx="59">
                  <c:v>0.0819999999999998</c:v>
                </c:pt>
                <c:pt idx="60">
                  <c:v>0.078</c:v>
                </c:pt>
                <c:pt idx="61">
                  <c:v>0.0741000000000005</c:v>
                </c:pt>
                <c:pt idx="62">
                  <c:v>0.0702999999999997</c:v>
                </c:pt>
                <c:pt idx="63">
                  <c:v>0.0665999999999996</c:v>
                </c:pt>
                <c:pt idx="64">
                  <c:v>0.0629999999999998</c:v>
                </c:pt>
                <c:pt idx="65">
                  <c:v>0.0594999999999998</c:v>
                </c:pt>
                <c:pt idx="66">
                  <c:v>0.0561</c:v>
                </c:pt>
                <c:pt idx="67">
                  <c:v>0.0527999999999999</c:v>
                </c:pt>
                <c:pt idx="68">
                  <c:v>0.0495999999999997</c:v>
                </c:pt>
                <c:pt idx="69">
                  <c:v>0.0464999999999997</c:v>
                </c:pt>
                <c:pt idx="70">
                  <c:v>0.0435000000000002</c:v>
                </c:pt>
                <c:pt idx="71">
                  <c:v>0.0406</c:v>
                </c:pt>
                <c:pt idx="72">
                  <c:v>0.0377999999999998</c:v>
                </c:pt>
                <c:pt idx="73">
                  <c:v>0.0350999999999999</c:v>
                </c:pt>
                <c:pt idx="74">
                  <c:v>0.0324999999999999</c:v>
                </c:pt>
                <c:pt idx="75">
                  <c:v>0.03</c:v>
                </c:pt>
                <c:pt idx="76">
                  <c:v>0.0275999999999998</c:v>
                </c:pt>
                <c:pt idx="77">
                  <c:v>0.0252999999999999</c:v>
                </c:pt>
                <c:pt idx="78">
                  <c:v>0.0230999999999999</c:v>
                </c:pt>
                <c:pt idx="79">
                  <c:v>0.0209999999999999</c:v>
                </c:pt>
                <c:pt idx="80">
                  <c:v>0.0189999999999999</c:v>
                </c:pt>
                <c:pt idx="81">
                  <c:v>0.0170999999999999</c:v>
                </c:pt>
                <c:pt idx="82">
                  <c:v>0.0152999999999999</c:v>
                </c:pt>
                <c:pt idx="83">
                  <c:v>0.0135999999999999</c:v>
                </c:pt>
                <c:pt idx="84">
                  <c:v>0.0119999999999999</c:v>
                </c:pt>
                <c:pt idx="85">
                  <c:v>0.0104999999999999</c:v>
                </c:pt>
                <c:pt idx="86">
                  <c:v>0.00909999999999994</c:v>
                </c:pt>
                <c:pt idx="87">
                  <c:v>0.00779999999999993</c:v>
                </c:pt>
                <c:pt idx="88">
                  <c:v>0.00659999999999994</c:v>
                </c:pt>
                <c:pt idx="89">
                  <c:v>0.00549999999999993</c:v>
                </c:pt>
                <c:pt idx="90">
                  <c:v>0.00449999999999995</c:v>
                </c:pt>
                <c:pt idx="91">
                  <c:v>0.00359999999999995</c:v>
                </c:pt>
                <c:pt idx="92">
                  <c:v>0.00279999999999996</c:v>
                </c:pt>
                <c:pt idx="93">
                  <c:v>0.00209999999999996</c:v>
                </c:pt>
                <c:pt idx="94">
                  <c:v>0.00149999999999997</c:v>
                </c:pt>
                <c:pt idx="95">
                  <c:v>0.000999999999999972</c:v>
                </c:pt>
                <c:pt idx="96">
                  <c:v>0.000599999999999978</c:v>
                </c:pt>
                <c:pt idx="97">
                  <c:v>0.000299999999999984</c:v>
                </c:pt>
                <c:pt idx="98">
                  <c:v>9.99999999999902E-005</c:v>
                </c:pt>
                <c:pt idx="99">
                  <c:v>-4.99999999999934E-005</c:v>
                </c:pt>
                <c:pt idx="100">
                  <c:v>0</c:v>
                </c:pt>
              </c:numCache>
            </c:numRef>
          </c:yVal>
          <c:smooth val="0"/>
        </c:ser>
        <c:axId val="19650992"/>
        <c:axId val="95713631"/>
      </c:scatterChart>
      <c:valAx>
        <c:axId val="19650992"/>
        <c:scaling>
          <c:orientation val="minMax"/>
          <c:max val="0"/>
          <c:min val="-10"/>
        </c:scaling>
        <c:delete val="0"/>
        <c:axPos val="b"/>
        <c:title>
          <c:tx>
            <c:rich>
              <a:bodyPr rot="0"/>
              <a:lstStyle/>
              <a:p>
                <a:pPr>
                  <a:defRPr b="1" lang="fr-FR" sz="1400" spc="-1" strike="noStrike">
                    <a:solidFill>
                      <a:srgbClr val="000000"/>
                    </a:solidFill>
                    <a:latin typeface="Calibri"/>
                  </a:defRPr>
                </a:pPr>
                <a:r>
                  <a:rPr b="1" lang="fr-FR" sz="1400" spc="-1" strike="noStrike">
                    <a:solidFill>
                      <a:srgbClr val="000000"/>
                    </a:solidFill>
                    <a:latin typeface="Calibri"/>
                  </a:rPr>
                  <a:t>Water potential, MPa</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400" spc="-1" strike="noStrike">
                <a:solidFill>
                  <a:srgbClr val="000000"/>
                </a:solidFill>
                <a:latin typeface="Calibri"/>
              </a:defRPr>
            </a:pPr>
          </a:p>
        </c:txPr>
        <c:crossAx val="95713631"/>
        <c:crosses val="autoZero"/>
        <c:crossBetween val="midCat"/>
      </c:valAx>
      <c:valAx>
        <c:axId val="95713631"/>
        <c:scaling>
          <c:orientation val="minMax"/>
          <c:min val="0"/>
        </c:scaling>
        <c:delete val="0"/>
        <c:axPos val="l"/>
        <c:title>
          <c:tx>
            <c:rich>
              <a:bodyPr rot="-5400000"/>
              <a:lstStyle/>
              <a:p>
                <a:pPr>
                  <a:defRPr b="1" lang="fr-FR" sz="1400" spc="-1" strike="noStrike">
                    <a:solidFill>
                      <a:srgbClr val="000000"/>
                    </a:solidFill>
                    <a:latin typeface="Calibri"/>
                  </a:defRPr>
                </a:pPr>
                <a:r>
                  <a:rPr b="1" lang="fr-FR" sz="1400" spc="-1" strike="noStrike">
                    <a:solidFill>
                      <a:srgbClr val="000000"/>
                    </a:solidFill>
                    <a:latin typeface="Calibri"/>
                  </a:rPr>
                  <a:t>Capacitance,  g/MPa</a:t>
                </a:r>
              </a:p>
            </c:rich>
          </c:tx>
          <c:layout>
            <c:manualLayout>
              <c:xMode val="edge"/>
              <c:yMode val="edge"/>
              <c:x val="0.950316267502838"/>
              <c:y val="0.309793007479562"/>
            </c:manualLayout>
          </c:layout>
          <c:overlay val="0"/>
          <c:spPr>
            <a:noFill/>
            <a:ln w="0">
              <a:noFill/>
            </a:ln>
          </c:spPr>
        </c:title>
        <c:numFmt formatCode="General" sourceLinked="0"/>
        <c:majorTickMark val="out"/>
        <c:minorTickMark val="none"/>
        <c:tickLblPos val="high"/>
        <c:spPr>
          <a:ln w="9360">
            <a:solidFill>
              <a:srgbClr val="878787"/>
            </a:solidFill>
            <a:round/>
          </a:ln>
        </c:spPr>
        <c:txPr>
          <a:bodyPr/>
          <a:lstStyle/>
          <a:p>
            <a:pPr>
              <a:defRPr b="0" sz="1400" spc="-1" strike="noStrike">
                <a:solidFill>
                  <a:srgbClr val="000000"/>
                </a:solidFill>
                <a:latin typeface="Calibri"/>
              </a:defRPr>
            </a:pPr>
          </a:p>
        </c:txPr>
        <c:crossAx val="19650992"/>
        <c:crosses val="autoZero"/>
        <c:crossBetween val="midCat"/>
      </c:valAx>
      <c:spPr>
        <a:noFill/>
        <a:ln w="0">
          <a:noFill/>
        </a:ln>
      </c:spPr>
    </c:plotArea>
    <c:legend>
      <c:legendPos val="r"/>
      <c:layout>
        <c:manualLayout>
          <c:xMode val="edge"/>
          <c:yMode val="edge"/>
          <c:x val="0.244915229704297"/>
          <c:y val="0.166000910349314"/>
          <c:w val="0.276444255740309"/>
          <c:h val="0.204351890964022"/>
        </c:manualLayout>
      </c:layout>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7127129750983"/>
          <c:y val="0.0551880222841226"/>
          <c:w val="0.800471821756225"/>
          <c:h val="0.775678969359331"/>
        </c:manualLayout>
      </c:layout>
      <c:scatterChart>
        <c:scatterStyle val="line"/>
        <c:varyColors val="0"/>
        <c:ser>
          <c:idx val="0"/>
          <c:order val="0"/>
          <c:tx>
            <c:strRef>
              <c:f>'PV-curve'!$P$2</c:f>
              <c:strCache>
                <c:ptCount val="1"/>
                <c:pt idx="0">
                  <c:v> -1/Psi</c:v>
                </c:pt>
              </c:strCache>
            </c:strRef>
          </c:tx>
          <c:spPr>
            <a:solidFill>
              <a:srgbClr val="00b050"/>
            </a:solidFill>
            <a:ln w="47520">
              <a:solidFill>
                <a:srgbClr val="00b050"/>
              </a:solidFill>
              <a:round/>
            </a:ln>
          </c:spPr>
          <c:marker>
            <c:symbol val="none"/>
          </c:marker>
          <c:dPt>
            <c:idx val="34"/>
            <c:marker>
              <c:symbol val="none"/>
            </c:marker>
          </c:dPt>
          <c:dLbls>
            <c:dLbl>
              <c:idx val="34"/>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'PV-curve'!$H$3:$H$103</c:f>
              <c:numCache>
                <c:formatCode>General</c:formatCode>
                <c:ptCount val="101"/>
                <c:pt idx="0">
                  <c:v>100</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27">
                  <c:v>73</c:v>
                </c:pt>
                <c:pt idx="28">
                  <c:v>72</c:v>
                </c:pt>
                <c:pt idx="29">
                  <c:v>71</c:v>
                </c:pt>
                <c:pt idx="30">
                  <c:v>70</c:v>
                </c:pt>
                <c:pt idx="31">
                  <c:v>69</c:v>
                </c:pt>
                <c:pt idx="32">
                  <c:v>68</c:v>
                </c:pt>
                <c:pt idx="33">
                  <c:v>67</c:v>
                </c:pt>
                <c:pt idx="34">
                  <c:v>66</c:v>
                </c:pt>
                <c:pt idx="35">
                  <c:v>65</c:v>
                </c:pt>
                <c:pt idx="36">
                  <c:v>64</c:v>
                </c:pt>
                <c:pt idx="37">
                  <c:v>63</c:v>
                </c:pt>
                <c:pt idx="38">
                  <c:v>62</c:v>
                </c:pt>
                <c:pt idx="39">
                  <c:v>61</c:v>
                </c:pt>
                <c:pt idx="40">
                  <c:v>60</c:v>
                </c:pt>
                <c:pt idx="41">
                  <c:v>59</c:v>
                </c:pt>
                <c:pt idx="42">
                  <c:v>58</c:v>
                </c:pt>
                <c:pt idx="43">
                  <c:v>57</c:v>
                </c:pt>
                <c:pt idx="44">
                  <c:v>56</c:v>
                </c:pt>
                <c:pt idx="45">
                  <c:v>55</c:v>
                </c:pt>
                <c:pt idx="46">
                  <c:v>54</c:v>
                </c:pt>
                <c:pt idx="47">
                  <c:v>53</c:v>
                </c:pt>
                <c:pt idx="48">
                  <c:v>52</c:v>
                </c:pt>
                <c:pt idx="49">
                  <c:v>51</c:v>
                </c:pt>
                <c:pt idx="50">
                  <c:v>50</c:v>
                </c:pt>
                <c:pt idx="51">
                  <c:v>49</c:v>
                </c:pt>
                <c:pt idx="52">
                  <c:v>48</c:v>
                </c:pt>
                <c:pt idx="53">
                  <c:v>47</c:v>
                </c:pt>
                <c:pt idx="54">
                  <c:v>46</c:v>
                </c:pt>
                <c:pt idx="55">
                  <c:v>45</c:v>
                </c:pt>
                <c:pt idx="56">
                  <c:v>44</c:v>
                </c:pt>
                <c:pt idx="57">
                  <c:v>43</c:v>
                </c:pt>
                <c:pt idx="58">
                  <c:v>42</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15.9999999999999</c:v>
                </c:pt>
                <c:pt idx="85">
                  <c:v>14.9999999999999</c:v>
                </c:pt>
                <c:pt idx="86">
                  <c:v>13.9999999999999</c:v>
                </c:pt>
                <c:pt idx="87">
                  <c:v>12.9999999999999</c:v>
                </c:pt>
                <c:pt idx="88">
                  <c:v>11.9999999999999</c:v>
                </c:pt>
                <c:pt idx="89">
                  <c:v>10.9999999999999</c:v>
                </c:pt>
                <c:pt idx="90">
                  <c:v>9.99999999999994</c:v>
                </c:pt>
                <c:pt idx="91">
                  <c:v>8.99999999999994</c:v>
                </c:pt>
                <c:pt idx="92">
                  <c:v>7.99999999999994</c:v>
                </c:pt>
                <c:pt idx="93">
                  <c:v>6.99999999999994</c:v>
                </c:pt>
                <c:pt idx="94">
                  <c:v>5.99999999999994</c:v>
                </c:pt>
                <c:pt idx="95">
                  <c:v>4.99999999999994</c:v>
                </c:pt>
                <c:pt idx="96">
                  <c:v>3.99999999999994</c:v>
                </c:pt>
                <c:pt idx="97">
                  <c:v>2.99999999999994</c:v>
                </c:pt>
                <c:pt idx="98">
                  <c:v>1.99999999999994</c:v>
                </c:pt>
                <c:pt idx="99">
                  <c:v>0.999999999999934</c:v>
                </c:pt>
                <c:pt idx="100">
                  <c:v>0</c:v>
                </c:pt>
              </c:numCache>
            </c:numRef>
          </c:xVal>
          <c:yVal>
            <c:numRef>
              <c:f>'PV-curve'!$P$3:$P$103</c:f>
              <c:numCache>
                <c:formatCode>General</c:formatCode>
                <c:ptCount val="101"/>
                <c:pt idx="1">
                  <c:v>8.68421052631578</c:v>
                </c:pt>
                <c:pt idx="2">
                  <c:v>4.33628318584071</c:v>
                </c:pt>
                <c:pt idx="3">
                  <c:v>2.88690476190476</c:v>
                </c:pt>
                <c:pt idx="4">
                  <c:v>2.16216216216216</c:v>
                </c:pt>
                <c:pt idx="5">
                  <c:v>1.72727272727273</c:v>
                </c:pt>
                <c:pt idx="6">
                  <c:v>1.43730886850153</c:v>
                </c:pt>
                <c:pt idx="7">
                  <c:v>1.23015873015873</c:v>
                </c:pt>
                <c:pt idx="8">
                  <c:v>1.07476635514019</c:v>
                </c:pt>
                <c:pt idx="9">
                  <c:v>0.953878406708596</c:v>
                </c:pt>
                <c:pt idx="10">
                  <c:v>0.857142857142857</c:v>
                </c:pt>
                <c:pt idx="11">
                  <c:v>0.777972027972028</c:v>
                </c:pt>
                <c:pt idx="12">
                  <c:v>0.711974110032363</c:v>
                </c:pt>
                <c:pt idx="13">
                  <c:v>0.656108597285068</c:v>
                </c:pt>
                <c:pt idx="14">
                  <c:v>0.608203677510608</c:v>
                </c:pt>
                <c:pt idx="15">
                  <c:v>0.566666666666667</c:v>
                </c:pt>
                <c:pt idx="16">
                  <c:v>0.56</c:v>
                </c:pt>
                <c:pt idx="17">
                  <c:v>0.553333333333333</c:v>
                </c:pt>
                <c:pt idx="18">
                  <c:v>0.546666666666667</c:v>
                </c:pt>
                <c:pt idx="19">
                  <c:v>0.54</c:v>
                </c:pt>
                <c:pt idx="20">
                  <c:v>0.533333333333333</c:v>
                </c:pt>
                <c:pt idx="21">
                  <c:v>0.526666666666667</c:v>
                </c:pt>
                <c:pt idx="22">
                  <c:v>0.52</c:v>
                </c:pt>
                <c:pt idx="23">
                  <c:v>0.513333333333333</c:v>
                </c:pt>
                <c:pt idx="24">
                  <c:v>0.506666666666667</c:v>
                </c:pt>
                <c:pt idx="25">
                  <c:v>0.5</c:v>
                </c:pt>
                <c:pt idx="26">
                  <c:v>0.493333333333333</c:v>
                </c:pt>
                <c:pt idx="27">
                  <c:v>0.486666666666667</c:v>
                </c:pt>
                <c:pt idx="28">
                  <c:v>0.48</c:v>
                </c:pt>
                <c:pt idx="29">
                  <c:v>0.473333333333333</c:v>
                </c:pt>
                <c:pt idx="30">
                  <c:v>0.466666666666667</c:v>
                </c:pt>
                <c:pt idx="31">
                  <c:v>0.46</c:v>
                </c:pt>
                <c:pt idx="32">
                  <c:v>0.453333333333333</c:v>
                </c:pt>
                <c:pt idx="33">
                  <c:v>0.446666666666667</c:v>
                </c:pt>
                <c:pt idx="34">
                  <c:v>0.44</c:v>
                </c:pt>
                <c:pt idx="35">
                  <c:v>0.433333333333333</c:v>
                </c:pt>
                <c:pt idx="36">
                  <c:v>0.426666666666667</c:v>
                </c:pt>
                <c:pt idx="37">
                  <c:v>0.42</c:v>
                </c:pt>
                <c:pt idx="38">
                  <c:v>0.413333333333333</c:v>
                </c:pt>
                <c:pt idx="39">
                  <c:v>0.406666666666667</c:v>
                </c:pt>
                <c:pt idx="40">
                  <c:v>0.4</c:v>
                </c:pt>
                <c:pt idx="41">
                  <c:v>0.393333333333333</c:v>
                </c:pt>
                <c:pt idx="42">
                  <c:v>0.386666666666667</c:v>
                </c:pt>
                <c:pt idx="43">
                  <c:v>0.38</c:v>
                </c:pt>
                <c:pt idx="44">
                  <c:v>0.373333333333333</c:v>
                </c:pt>
                <c:pt idx="45">
                  <c:v>0.366666666666667</c:v>
                </c:pt>
                <c:pt idx="46">
                  <c:v>0.36</c:v>
                </c:pt>
                <c:pt idx="47">
                  <c:v>0.353333333333333</c:v>
                </c:pt>
                <c:pt idx="48">
                  <c:v>0.346666666666666</c:v>
                </c:pt>
                <c:pt idx="49">
                  <c:v>0.34</c:v>
                </c:pt>
                <c:pt idx="50">
                  <c:v>0.333333333333333</c:v>
                </c:pt>
                <c:pt idx="51">
                  <c:v>0.326666666666666</c:v>
                </c:pt>
                <c:pt idx="52">
                  <c:v>0.32</c:v>
                </c:pt>
                <c:pt idx="53">
                  <c:v>0.313333333333333</c:v>
                </c:pt>
                <c:pt idx="54">
                  <c:v>0.306666666666666</c:v>
                </c:pt>
                <c:pt idx="55">
                  <c:v>0.3</c:v>
                </c:pt>
                <c:pt idx="56">
                  <c:v>0.293333333333333</c:v>
                </c:pt>
                <c:pt idx="57">
                  <c:v>0.286666666666666</c:v>
                </c:pt>
                <c:pt idx="58">
                  <c:v>0.28</c:v>
                </c:pt>
                <c:pt idx="59">
                  <c:v>0.273333333333333</c:v>
                </c:pt>
                <c:pt idx="60">
                  <c:v>0.266666666666666</c:v>
                </c:pt>
                <c:pt idx="61">
                  <c:v>0.26</c:v>
                </c:pt>
                <c:pt idx="62">
                  <c:v>0.253333333333333</c:v>
                </c:pt>
                <c:pt idx="63">
                  <c:v>0.246666666666666</c:v>
                </c:pt>
                <c:pt idx="64">
                  <c:v>0.24</c:v>
                </c:pt>
                <c:pt idx="65">
                  <c:v>0.233333333333333</c:v>
                </c:pt>
                <c:pt idx="66">
                  <c:v>0.226666666666666</c:v>
                </c:pt>
                <c:pt idx="67">
                  <c:v>0.22</c:v>
                </c:pt>
                <c:pt idx="68">
                  <c:v>0.213333333333333</c:v>
                </c:pt>
                <c:pt idx="69">
                  <c:v>0.206666666666666</c:v>
                </c:pt>
                <c:pt idx="70">
                  <c:v>0.2</c:v>
                </c:pt>
                <c:pt idx="71">
                  <c:v>0.193333333333333</c:v>
                </c:pt>
                <c:pt idx="72">
                  <c:v>0.186666666666666</c:v>
                </c:pt>
                <c:pt idx="73">
                  <c:v>0.18</c:v>
                </c:pt>
                <c:pt idx="74">
                  <c:v>0.173333333333333</c:v>
                </c:pt>
                <c:pt idx="75">
                  <c:v>0.166666666666666</c:v>
                </c:pt>
                <c:pt idx="76">
                  <c:v>0.16</c:v>
                </c:pt>
                <c:pt idx="77">
                  <c:v>0.153333333333333</c:v>
                </c:pt>
                <c:pt idx="78">
                  <c:v>0.146666666666666</c:v>
                </c:pt>
                <c:pt idx="79">
                  <c:v>0.14</c:v>
                </c:pt>
                <c:pt idx="80">
                  <c:v>0.133333333333333</c:v>
                </c:pt>
                <c:pt idx="81">
                  <c:v>0.126666666666666</c:v>
                </c:pt>
                <c:pt idx="82">
                  <c:v>0.12</c:v>
                </c:pt>
                <c:pt idx="83">
                  <c:v>0.113333333333333</c:v>
                </c:pt>
                <c:pt idx="84">
                  <c:v>0.106666666666666</c:v>
                </c:pt>
                <c:pt idx="85">
                  <c:v>0.0999999999999996</c:v>
                </c:pt>
                <c:pt idx="86">
                  <c:v>0.093333333333333</c:v>
                </c:pt>
                <c:pt idx="87">
                  <c:v>0.0866666666666663</c:v>
                </c:pt>
                <c:pt idx="88">
                  <c:v>0.0799999999999996</c:v>
                </c:pt>
                <c:pt idx="89">
                  <c:v>0.073333333333333</c:v>
                </c:pt>
                <c:pt idx="90">
                  <c:v>0.0666666666666663</c:v>
                </c:pt>
                <c:pt idx="91">
                  <c:v>0.0599999999999996</c:v>
                </c:pt>
                <c:pt idx="92">
                  <c:v>0.0533333333333329</c:v>
                </c:pt>
                <c:pt idx="93">
                  <c:v>0.0466666666666663</c:v>
                </c:pt>
                <c:pt idx="94">
                  <c:v>0.0399999999999996</c:v>
                </c:pt>
                <c:pt idx="95">
                  <c:v>0.0333333333333329</c:v>
                </c:pt>
                <c:pt idx="96">
                  <c:v>0.0266666666666662</c:v>
                </c:pt>
                <c:pt idx="97">
                  <c:v>0.0199999999999996</c:v>
                </c:pt>
                <c:pt idx="98">
                  <c:v>0.0133333333333329</c:v>
                </c:pt>
                <c:pt idx="99">
                  <c:v>0.00666666666666623</c:v>
                </c:pt>
                <c:pt idx="100">
                  <c:v>0</c:v>
                </c:pt>
              </c:numCache>
            </c:numRef>
          </c:yVal>
          <c:smooth val="1"/>
        </c:ser>
        <c:ser>
          <c:idx val="1"/>
          <c:order val="1"/>
          <c:tx>
            <c:strRef>
              <c:f>'PV-curve'!$O$2</c:f>
              <c:strCache>
                <c:ptCount val="1"/>
                <c:pt idx="0">
                  <c:v>  1/pi</c:v>
                </c:pt>
              </c:strCache>
            </c:strRef>
          </c:tx>
          <c:spPr>
            <a:solidFill>
              <a:srgbClr val="be4b48"/>
            </a:solidFill>
            <a:ln w="47520">
              <a:solidFill>
                <a:srgbClr val="be4b48"/>
              </a:solidFill>
              <a:round/>
            </a:ln>
          </c:spPr>
          <c:marker>
            <c:symbol val="none"/>
          </c:marker>
          <c:dPt>
            <c:idx val="34"/>
            <c:marker>
              <c:symbol val="none"/>
            </c:marker>
          </c:dPt>
          <c:dLbls>
            <c:dLbl>
              <c:idx val="34"/>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'PV-curve'!$H$3:$H$103</c:f>
              <c:numCache>
                <c:formatCode>General</c:formatCode>
                <c:ptCount val="101"/>
                <c:pt idx="0">
                  <c:v>100</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27">
                  <c:v>73</c:v>
                </c:pt>
                <c:pt idx="28">
                  <c:v>72</c:v>
                </c:pt>
                <c:pt idx="29">
                  <c:v>71</c:v>
                </c:pt>
                <c:pt idx="30">
                  <c:v>70</c:v>
                </c:pt>
                <c:pt idx="31">
                  <c:v>69</c:v>
                </c:pt>
                <c:pt idx="32">
                  <c:v>68</c:v>
                </c:pt>
                <c:pt idx="33">
                  <c:v>67</c:v>
                </c:pt>
                <c:pt idx="34">
                  <c:v>66</c:v>
                </c:pt>
                <c:pt idx="35">
                  <c:v>65</c:v>
                </c:pt>
                <c:pt idx="36">
                  <c:v>64</c:v>
                </c:pt>
                <c:pt idx="37">
                  <c:v>63</c:v>
                </c:pt>
                <c:pt idx="38">
                  <c:v>62</c:v>
                </c:pt>
                <c:pt idx="39">
                  <c:v>61</c:v>
                </c:pt>
                <c:pt idx="40">
                  <c:v>60</c:v>
                </c:pt>
                <c:pt idx="41">
                  <c:v>59</c:v>
                </c:pt>
                <c:pt idx="42">
                  <c:v>58</c:v>
                </c:pt>
                <c:pt idx="43">
                  <c:v>57</c:v>
                </c:pt>
                <c:pt idx="44">
                  <c:v>56</c:v>
                </c:pt>
                <c:pt idx="45">
                  <c:v>55</c:v>
                </c:pt>
                <c:pt idx="46">
                  <c:v>54</c:v>
                </c:pt>
                <c:pt idx="47">
                  <c:v>53</c:v>
                </c:pt>
                <c:pt idx="48">
                  <c:v>52</c:v>
                </c:pt>
                <c:pt idx="49">
                  <c:v>51</c:v>
                </c:pt>
                <c:pt idx="50">
                  <c:v>50</c:v>
                </c:pt>
                <c:pt idx="51">
                  <c:v>49</c:v>
                </c:pt>
                <c:pt idx="52">
                  <c:v>48</c:v>
                </c:pt>
                <c:pt idx="53">
                  <c:v>47</c:v>
                </c:pt>
                <c:pt idx="54">
                  <c:v>46</c:v>
                </c:pt>
                <c:pt idx="55">
                  <c:v>45</c:v>
                </c:pt>
                <c:pt idx="56">
                  <c:v>44</c:v>
                </c:pt>
                <c:pt idx="57">
                  <c:v>43</c:v>
                </c:pt>
                <c:pt idx="58">
                  <c:v>42</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15.9999999999999</c:v>
                </c:pt>
                <c:pt idx="85">
                  <c:v>14.9999999999999</c:v>
                </c:pt>
                <c:pt idx="86">
                  <c:v>13.9999999999999</c:v>
                </c:pt>
                <c:pt idx="87">
                  <c:v>12.9999999999999</c:v>
                </c:pt>
                <c:pt idx="88">
                  <c:v>11.9999999999999</c:v>
                </c:pt>
                <c:pt idx="89">
                  <c:v>10.9999999999999</c:v>
                </c:pt>
                <c:pt idx="90">
                  <c:v>9.99999999999994</c:v>
                </c:pt>
                <c:pt idx="91">
                  <c:v>8.99999999999994</c:v>
                </c:pt>
                <c:pt idx="92">
                  <c:v>7.99999999999994</c:v>
                </c:pt>
                <c:pt idx="93">
                  <c:v>6.99999999999994</c:v>
                </c:pt>
                <c:pt idx="94">
                  <c:v>5.99999999999994</c:v>
                </c:pt>
                <c:pt idx="95">
                  <c:v>4.99999999999994</c:v>
                </c:pt>
                <c:pt idx="96">
                  <c:v>3.99999999999994</c:v>
                </c:pt>
                <c:pt idx="97">
                  <c:v>2.99999999999994</c:v>
                </c:pt>
                <c:pt idx="98">
                  <c:v>1.99999999999994</c:v>
                </c:pt>
                <c:pt idx="99">
                  <c:v>0.999999999999934</c:v>
                </c:pt>
                <c:pt idx="100">
                  <c:v>0</c:v>
                </c:pt>
              </c:numCache>
            </c:numRef>
          </c:xVal>
          <c:yVal>
            <c:numRef>
              <c:f>'PV-curve'!$O$3:$O$103</c:f>
              <c:numCache>
                <c:formatCode>General</c:formatCode>
                <c:ptCount val="101"/>
                <c:pt idx="0">
                  <c:v>0.666666666666667</c:v>
                </c:pt>
                <c:pt idx="1">
                  <c:v>0.66</c:v>
                </c:pt>
                <c:pt idx="2">
                  <c:v>0.653333333333333</c:v>
                </c:pt>
                <c:pt idx="3">
                  <c:v>0.646666666666667</c:v>
                </c:pt>
                <c:pt idx="4">
                  <c:v>0.64</c:v>
                </c:pt>
                <c:pt idx="5">
                  <c:v>0.633333333333333</c:v>
                </c:pt>
                <c:pt idx="6">
                  <c:v>0.626666666666667</c:v>
                </c:pt>
                <c:pt idx="7">
                  <c:v>0.62</c:v>
                </c:pt>
                <c:pt idx="8">
                  <c:v>0.613333333333333</c:v>
                </c:pt>
                <c:pt idx="9">
                  <c:v>0.606666666666667</c:v>
                </c:pt>
                <c:pt idx="10">
                  <c:v>0.6</c:v>
                </c:pt>
                <c:pt idx="11">
                  <c:v>0.593333333333333</c:v>
                </c:pt>
                <c:pt idx="12">
                  <c:v>0.586666666666667</c:v>
                </c:pt>
                <c:pt idx="13">
                  <c:v>0.58</c:v>
                </c:pt>
                <c:pt idx="14">
                  <c:v>0.573333333333333</c:v>
                </c:pt>
                <c:pt idx="15">
                  <c:v>0.566666666666667</c:v>
                </c:pt>
                <c:pt idx="16">
                  <c:v>0.56</c:v>
                </c:pt>
                <c:pt idx="17">
                  <c:v>0.553333333333333</c:v>
                </c:pt>
                <c:pt idx="18">
                  <c:v>0.546666666666667</c:v>
                </c:pt>
                <c:pt idx="19">
                  <c:v>0.54</c:v>
                </c:pt>
                <c:pt idx="20">
                  <c:v>0.533333333333333</c:v>
                </c:pt>
                <c:pt idx="21">
                  <c:v>0.526666666666667</c:v>
                </c:pt>
                <c:pt idx="22">
                  <c:v>0.52</c:v>
                </c:pt>
                <c:pt idx="23">
                  <c:v>0.513333333333333</c:v>
                </c:pt>
                <c:pt idx="24">
                  <c:v>0.506666666666667</c:v>
                </c:pt>
                <c:pt idx="25">
                  <c:v>0.5</c:v>
                </c:pt>
                <c:pt idx="26">
                  <c:v>0.493333333333333</c:v>
                </c:pt>
                <c:pt idx="27">
                  <c:v>0.486666666666667</c:v>
                </c:pt>
                <c:pt idx="28">
                  <c:v>0.48</c:v>
                </c:pt>
                <c:pt idx="29">
                  <c:v>0.473333333333333</c:v>
                </c:pt>
                <c:pt idx="30">
                  <c:v>0.466666666666667</c:v>
                </c:pt>
                <c:pt idx="31">
                  <c:v>0.46</c:v>
                </c:pt>
                <c:pt idx="32">
                  <c:v>0.453333333333333</c:v>
                </c:pt>
                <c:pt idx="33">
                  <c:v>0.446666666666667</c:v>
                </c:pt>
                <c:pt idx="34">
                  <c:v>0.44</c:v>
                </c:pt>
                <c:pt idx="35">
                  <c:v>0.433333333333333</c:v>
                </c:pt>
                <c:pt idx="36">
                  <c:v>0.426666666666667</c:v>
                </c:pt>
                <c:pt idx="37">
                  <c:v>0.42</c:v>
                </c:pt>
                <c:pt idx="38">
                  <c:v>0.413333333333333</c:v>
                </c:pt>
                <c:pt idx="39">
                  <c:v>0.406666666666667</c:v>
                </c:pt>
                <c:pt idx="40">
                  <c:v>0.4</c:v>
                </c:pt>
                <c:pt idx="41">
                  <c:v>0.393333333333333</c:v>
                </c:pt>
                <c:pt idx="42">
                  <c:v>0.386666666666667</c:v>
                </c:pt>
                <c:pt idx="43">
                  <c:v>0.38</c:v>
                </c:pt>
                <c:pt idx="44">
                  <c:v>0.373333333333333</c:v>
                </c:pt>
                <c:pt idx="45">
                  <c:v>0.366666666666667</c:v>
                </c:pt>
                <c:pt idx="46">
                  <c:v>0.36</c:v>
                </c:pt>
                <c:pt idx="47">
                  <c:v>0.353333333333333</c:v>
                </c:pt>
                <c:pt idx="48">
                  <c:v>0.346666666666666</c:v>
                </c:pt>
                <c:pt idx="49">
                  <c:v>0.34</c:v>
                </c:pt>
                <c:pt idx="50">
                  <c:v>0.333333333333333</c:v>
                </c:pt>
                <c:pt idx="51">
                  <c:v>0.326666666666666</c:v>
                </c:pt>
                <c:pt idx="52">
                  <c:v>0.32</c:v>
                </c:pt>
                <c:pt idx="53">
                  <c:v>0.313333333333333</c:v>
                </c:pt>
                <c:pt idx="54">
                  <c:v>0.306666666666666</c:v>
                </c:pt>
                <c:pt idx="55">
                  <c:v>0.3</c:v>
                </c:pt>
                <c:pt idx="56">
                  <c:v>0.293333333333333</c:v>
                </c:pt>
                <c:pt idx="57">
                  <c:v>0.286666666666666</c:v>
                </c:pt>
                <c:pt idx="58">
                  <c:v>0.28</c:v>
                </c:pt>
                <c:pt idx="59">
                  <c:v>0.273333333333333</c:v>
                </c:pt>
                <c:pt idx="60">
                  <c:v>0.266666666666666</c:v>
                </c:pt>
                <c:pt idx="61">
                  <c:v>0.26</c:v>
                </c:pt>
                <c:pt idx="62">
                  <c:v>0.253333333333333</c:v>
                </c:pt>
                <c:pt idx="63">
                  <c:v>0.246666666666666</c:v>
                </c:pt>
                <c:pt idx="64">
                  <c:v>0.24</c:v>
                </c:pt>
                <c:pt idx="65">
                  <c:v>0.233333333333333</c:v>
                </c:pt>
                <c:pt idx="66">
                  <c:v>0.226666666666666</c:v>
                </c:pt>
                <c:pt idx="67">
                  <c:v>0.22</c:v>
                </c:pt>
                <c:pt idx="68">
                  <c:v>0.213333333333333</c:v>
                </c:pt>
                <c:pt idx="69">
                  <c:v>0.206666666666666</c:v>
                </c:pt>
                <c:pt idx="70">
                  <c:v>0.2</c:v>
                </c:pt>
                <c:pt idx="71">
                  <c:v>0.193333333333333</c:v>
                </c:pt>
                <c:pt idx="72">
                  <c:v>0.186666666666666</c:v>
                </c:pt>
                <c:pt idx="73">
                  <c:v>0.18</c:v>
                </c:pt>
                <c:pt idx="74">
                  <c:v>0.173333333333333</c:v>
                </c:pt>
                <c:pt idx="75">
                  <c:v>0.166666666666666</c:v>
                </c:pt>
                <c:pt idx="76">
                  <c:v>0.16</c:v>
                </c:pt>
                <c:pt idx="77">
                  <c:v>0.153333333333333</c:v>
                </c:pt>
                <c:pt idx="78">
                  <c:v>0.146666666666666</c:v>
                </c:pt>
                <c:pt idx="79">
                  <c:v>0.14</c:v>
                </c:pt>
                <c:pt idx="80">
                  <c:v>0.133333333333333</c:v>
                </c:pt>
                <c:pt idx="81">
                  <c:v>0.126666666666666</c:v>
                </c:pt>
                <c:pt idx="82">
                  <c:v>0.12</c:v>
                </c:pt>
                <c:pt idx="83">
                  <c:v>0.113333333333333</c:v>
                </c:pt>
                <c:pt idx="84">
                  <c:v>0.106666666666666</c:v>
                </c:pt>
                <c:pt idx="85">
                  <c:v>0.0999999999999996</c:v>
                </c:pt>
                <c:pt idx="86">
                  <c:v>0.093333333333333</c:v>
                </c:pt>
                <c:pt idx="87">
                  <c:v>0.0866666666666663</c:v>
                </c:pt>
                <c:pt idx="88">
                  <c:v>0.0799999999999996</c:v>
                </c:pt>
                <c:pt idx="89">
                  <c:v>0.073333333333333</c:v>
                </c:pt>
                <c:pt idx="90">
                  <c:v>0.0666666666666663</c:v>
                </c:pt>
                <c:pt idx="91">
                  <c:v>0.0599999999999996</c:v>
                </c:pt>
                <c:pt idx="92">
                  <c:v>0.0533333333333329</c:v>
                </c:pt>
                <c:pt idx="93">
                  <c:v>0.0466666666666663</c:v>
                </c:pt>
                <c:pt idx="94">
                  <c:v>0.0399999999999996</c:v>
                </c:pt>
                <c:pt idx="95">
                  <c:v>0.0333333333333329</c:v>
                </c:pt>
                <c:pt idx="96">
                  <c:v>0.0266666666666662</c:v>
                </c:pt>
                <c:pt idx="97">
                  <c:v>0.0199999999999996</c:v>
                </c:pt>
                <c:pt idx="98">
                  <c:v>0.0133333333333329</c:v>
                </c:pt>
                <c:pt idx="99">
                  <c:v>0.00666666666666623</c:v>
                </c:pt>
                <c:pt idx="100">
                  <c:v>0</c:v>
                </c:pt>
              </c:numCache>
            </c:numRef>
          </c:yVal>
          <c:smooth val="1"/>
        </c:ser>
        <c:axId val="17925855"/>
        <c:axId val="12792168"/>
      </c:scatterChart>
      <c:valAx>
        <c:axId val="17925855"/>
        <c:scaling>
          <c:orientation val="minMax"/>
          <c:max val="100"/>
          <c:min val="0"/>
        </c:scaling>
        <c:delete val="0"/>
        <c:axPos val="b"/>
        <c:title>
          <c:tx>
            <c:rich>
              <a:bodyPr rot="0"/>
              <a:lstStyle/>
              <a:p>
                <a:pPr>
                  <a:defRPr b="1" lang="fr-FR" sz="1600" spc="-1" strike="noStrike">
                    <a:solidFill>
                      <a:srgbClr val="000000"/>
                    </a:solidFill>
                    <a:latin typeface="Calibri"/>
                  </a:defRPr>
                </a:pPr>
                <a:r>
                  <a:rPr b="1" lang="fr-FR" sz="1600" spc="-1" strike="noStrike">
                    <a:solidFill>
                      <a:srgbClr val="000000"/>
                    </a:solidFill>
                    <a:latin typeface="Calibri"/>
                  </a:rPr>
                  <a:t>RWC_symp</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12792168"/>
        <c:crosses val="autoZero"/>
        <c:crossBetween val="midCat"/>
      </c:valAx>
      <c:valAx>
        <c:axId val="12792168"/>
        <c:scaling>
          <c:orientation val="minMax"/>
          <c:max val="5"/>
        </c:scaling>
        <c:delete val="0"/>
        <c:axPos val="l"/>
        <c:title>
          <c:tx>
            <c:rich>
              <a:bodyPr rot="-5400000"/>
              <a:lstStyle/>
              <a:p>
                <a:pPr>
                  <a:defRPr b="1" lang="fr-FR" sz="1600" spc="-1" strike="noStrike">
                    <a:solidFill>
                      <a:srgbClr val="000000"/>
                    </a:solidFill>
                    <a:latin typeface="Calibri"/>
                  </a:defRPr>
                </a:pPr>
                <a:r>
                  <a:rPr b="1" lang="fr-FR" sz="1600" spc="-1" strike="noStrike">
                    <a:solidFill>
                      <a:srgbClr val="000000"/>
                    </a:solidFill>
                    <a:latin typeface="Calibri"/>
                  </a:rPr>
                  <a:t>-1/Psi</a:t>
                </a:r>
              </a:p>
            </c:rich>
          </c:tx>
          <c:layout>
            <c:manualLayout>
              <c:xMode val="edge"/>
              <c:yMode val="edge"/>
              <c:x val="0.018348623853211"/>
              <c:y val="0.386403203342618"/>
            </c:manualLayout>
          </c:layout>
          <c:overlay val="0"/>
          <c:spPr>
            <a:noFill/>
            <a:ln w="0">
              <a:noFill/>
            </a:ln>
          </c:spPr>
        </c:title>
        <c:numFmt formatCode="General" sourceLinked="0"/>
        <c:majorTickMark val="in"/>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17925855"/>
        <c:crosses val="autoZero"/>
        <c:crossBetween val="midCat"/>
      </c:valAx>
      <c:spPr>
        <a:noFill/>
        <a:ln w="0">
          <a:noFill/>
        </a:ln>
      </c:spPr>
    </c:plotArea>
    <c:legend>
      <c:legendPos val="r"/>
      <c:layout>
        <c:manualLayout>
          <c:xMode val="edge"/>
          <c:yMode val="edge"/>
          <c:x val="0.264117671482972"/>
          <c:y val="0.131486867646227"/>
          <c:w val="0.163077913610579"/>
          <c:h val="0.15230109559751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4486761999151"/>
          <c:y val="0.0551146768989274"/>
          <c:w val="0.846594931332295"/>
          <c:h val="0.775704194645504"/>
        </c:manualLayout>
      </c:layout>
      <c:scatterChart>
        <c:scatterStyle val="line"/>
        <c:varyColors val="0"/>
        <c:ser>
          <c:idx val="0"/>
          <c:order val="0"/>
          <c:tx>
            <c:strRef>
              <c:f>'PV-curve'!$V$2</c:f>
              <c:strCache>
                <c:ptCount val="1"/>
                <c:pt idx="0">
                  <c:v>exponential</c:v>
                </c:pt>
              </c:strCache>
            </c:strRef>
          </c:tx>
          <c:spPr>
            <a:solidFill>
              <a:srgbClr val="00b050"/>
            </a:solidFill>
            <a:ln w="47520">
              <a:solidFill>
                <a:srgbClr val="00b050"/>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'PV-curve'!$H$3:$H$103</c:f>
              <c:numCache>
                <c:formatCode>General</c:formatCode>
                <c:ptCount val="101"/>
                <c:pt idx="0">
                  <c:v>100</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27">
                  <c:v>73</c:v>
                </c:pt>
                <c:pt idx="28">
                  <c:v>72</c:v>
                </c:pt>
                <c:pt idx="29">
                  <c:v>71</c:v>
                </c:pt>
                <c:pt idx="30">
                  <c:v>70</c:v>
                </c:pt>
                <c:pt idx="31">
                  <c:v>69</c:v>
                </c:pt>
                <c:pt idx="32">
                  <c:v>68</c:v>
                </c:pt>
                <c:pt idx="33">
                  <c:v>67</c:v>
                </c:pt>
                <c:pt idx="34">
                  <c:v>66</c:v>
                </c:pt>
                <c:pt idx="35">
                  <c:v>65</c:v>
                </c:pt>
                <c:pt idx="36">
                  <c:v>64</c:v>
                </c:pt>
                <c:pt idx="37">
                  <c:v>63</c:v>
                </c:pt>
                <c:pt idx="38">
                  <c:v>62</c:v>
                </c:pt>
                <c:pt idx="39">
                  <c:v>61</c:v>
                </c:pt>
                <c:pt idx="40">
                  <c:v>60</c:v>
                </c:pt>
                <c:pt idx="41">
                  <c:v>59</c:v>
                </c:pt>
                <c:pt idx="42">
                  <c:v>58</c:v>
                </c:pt>
                <c:pt idx="43">
                  <c:v>57</c:v>
                </c:pt>
                <c:pt idx="44">
                  <c:v>56</c:v>
                </c:pt>
                <c:pt idx="45">
                  <c:v>55</c:v>
                </c:pt>
                <c:pt idx="46">
                  <c:v>54</c:v>
                </c:pt>
                <c:pt idx="47">
                  <c:v>53</c:v>
                </c:pt>
                <c:pt idx="48">
                  <c:v>52</c:v>
                </c:pt>
                <c:pt idx="49">
                  <c:v>51</c:v>
                </c:pt>
                <c:pt idx="50">
                  <c:v>50</c:v>
                </c:pt>
                <c:pt idx="51">
                  <c:v>49</c:v>
                </c:pt>
                <c:pt idx="52">
                  <c:v>48</c:v>
                </c:pt>
                <c:pt idx="53">
                  <c:v>47</c:v>
                </c:pt>
                <c:pt idx="54">
                  <c:v>46</c:v>
                </c:pt>
                <c:pt idx="55">
                  <c:v>45</c:v>
                </c:pt>
                <c:pt idx="56">
                  <c:v>44</c:v>
                </c:pt>
                <c:pt idx="57">
                  <c:v>43</c:v>
                </c:pt>
                <c:pt idx="58">
                  <c:v>42</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15.9999999999999</c:v>
                </c:pt>
                <c:pt idx="85">
                  <c:v>14.9999999999999</c:v>
                </c:pt>
                <c:pt idx="86">
                  <c:v>13.9999999999999</c:v>
                </c:pt>
                <c:pt idx="87">
                  <c:v>12.9999999999999</c:v>
                </c:pt>
                <c:pt idx="88">
                  <c:v>11.9999999999999</c:v>
                </c:pt>
                <c:pt idx="89">
                  <c:v>10.9999999999999</c:v>
                </c:pt>
                <c:pt idx="90">
                  <c:v>9.99999999999994</c:v>
                </c:pt>
                <c:pt idx="91">
                  <c:v>8.99999999999994</c:v>
                </c:pt>
                <c:pt idx="92">
                  <c:v>7.99999999999994</c:v>
                </c:pt>
                <c:pt idx="93">
                  <c:v>6.99999999999994</c:v>
                </c:pt>
                <c:pt idx="94">
                  <c:v>5.99999999999994</c:v>
                </c:pt>
                <c:pt idx="95">
                  <c:v>4.99999999999994</c:v>
                </c:pt>
                <c:pt idx="96">
                  <c:v>3.99999999999994</c:v>
                </c:pt>
                <c:pt idx="97">
                  <c:v>2.99999999999994</c:v>
                </c:pt>
                <c:pt idx="98">
                  <c:v>1.99999999999994</c:v>
                </c:pt>
                <c:pt idx="99">
                  <c:v>0.999999999999934</c:v>
                </c:pt>
                <c:pt idx="100">
                  <c:v>0</c:v>
                </c:pt>
              </c:numCache>
            </c:numRef>
          </c:xVal>
          <c:yVal>
            <c:numRef>
              <c:f>'PV-curve'!$V$3:$V$103</c:f>
              <c:numCache>
                <c:formatCode>General</c:formatCode>
                <c:ptCount val="10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2.96718083632611</c:v>
                </c:pt>
                <c:pt idx="17">
                  <c:v>2.93472070515363</c:v>
                </c:pt>
                <c:pt idx="18">
                  <c:v>2.9026156787671</c:v>
                </c:pt>
                <c:pt idx="19">
                  <c:v>2.87086187241914</c:v>
                </c:pt>
                <c:pt idx="20">
                  <c:v>2.83945544386045</c:v>
                </c:pt>
                <c:pt idx="21">
                  <c:v>2.80839259287486</c:v>
                </c:pt>
                <c:pt idx="22">
                  <c:v>2.77766956081949</c:v>
                </c:pt>
                <c:pt idx="23">
                  <c:v>2.74728263016998</c:v>
                </c:pt>
                <c:pt idx="24">
                  <c:v>2.71722812407065</c:v>
                </c:pt>
                <c:pt idx="25">
                  <c:v>2.68750240588958</c:v>
                </c:pt>
                <c:pt idx="26">
                  <c:v>2.65810187877863</c:v>
                </c:pt>
                <c:pt idx="27">
                  <c:v>2.62902298523812</c:v>
                </c:pt>
                <c:pt idx="28">
                  <c:v>2.60026220668647</c:v>
                </c:pt>
                <c:pt idx="29">
                  <c:v>2.57181606303437</c:v>
                </c:pt>
                <c:pt idx="30">
                  <c:v>2.54368111226375</c:v>
                </c:pt>
                <c:pt idx="31">
                  <c:v>2.51585395001122</c:v>
                </c:pt>
                <c:pt idx="32">
                  <c:v>2.48833120915621</c:v>
                </c:pt>
                <c:pt idx="33">
                  <c:v>2.46110955941349</c:v>
                </c:pt>
                <c:pt idx="34">
                  <c:v>2.43418570693023</c:v>
                </c:pt>
                <c:pt idx="35">
                  <c:v>2.40755639388744</c:v>
                </c:pt>
                <c:pt idx="36">
                  <c:v>2.38121839810573</c:v>
                </c:pt>
                <c:pt idx="37">
                  <c:v>2.35516853265549</c:v>
                </c:pt>
                <c:pt idx="38">
                  <c:v>2.32940364547121</c:v>
                </c:pt>
                <c:pt idx="39">
                  <c:v>2.30392061897012</c:v>
                </c:pt>
                <c:pt idx="40">
                  <c:v>2.2787163696749</c:v>
                </c:pt>
                <c:pt idx="41">
                  <c:v>2.25378784784066</c:v>
                </c:pt>
                <c:pt idx="42">
                  <c:v>2.22913203708582</c:v>
                </c:pt>
                <c:pt idx="43">
                  <c:v>2.20474595402721</c:v>
                </c:pt>
                <c:pt idx="44">
                  <c:v>2.18062664791901</c:v>
                </c:pt>
                <c:pt idx="45">
                  <c:v>2.15677120029578</c:v>
                </c:pt>
                <c:pt idx="46">
                  <c:v>2.13317672461923</c:v>
                </c:pt>
                <c:pt idx="47">
                  <c:v>2.10984036592902</c:v>
                </c:pt>
                <c:pt idx="48">
                  <c:v>2.08675930049728</c:v>
                </c:pt>
                <c:pt idx="49">
                  <c:v>2.06393073548694</c:v>
                </c:pt>
                <c:pt idx="50">
                  <c:v>2.04135190861376</c:v>
                </c:pt>
                <c:pt idx="51">
                  <c:v>2.01902008781216</c:v>
                </c:pt>
                <c:pt idx="52">
                  <c:v>1.99693257090456</c:v>
                </c:pt>
                <c:pt idx="53">
                  <c:v>1.97508668527448</c:v>
                </c:pt>
                <c:pt idx="54">
                  <c:v>1.9534797875431</c:v>
                </c:pt>
                <c:pt idx="55">
                  <c:v>1.93210926324942</c:v>
                </c:pt>
                <c:pt idx="56">
                  <c:v>1.91097252653395</c:v>
                </c:pt>
                <c:pt idx="57">
                  <c:v>1.89006701982574</c:v>
                </c:pt>
                <c:pt idx="58">
                  <c:v>1.86939021353297</c:v>
                </c:pt>
                <c:pt idx="59">
                  <c:v>1.84893960573687</c:v>
                </c:pt>
                <c:pt idx="60">
                  <c:v>1.82871272188893</c:v>
                </c:pt>
                <c:pt idx="61">
                  <c:v>1.80870711451153</c:v>
                </c:pt>
                <c:pt idx="62">
                  <c:v>1.78892036290176</c:v>
                </c:pt>
                <c:pt idx="63">
                  <c:v>1.76935007283855</c:v>
                </c:pt>
                <c:pt idx="64">
                  <c:v>1.74999387629292</c:v>
                </c:pt>
                <c:pt idx="65">
                  <c:v>1.73084943114146</c:v>
                </c:pt>
                <c:pt idx="66">
                  <c:v>1.71191442088296</c:v>
                </c:pt>
                <c:pt idx="67">
                  <c:v>1.69318655435807</c:v>
                </c:pt>
                <c:pt idx="68">
                  <c:v>1.6746635654721</c:v>
                </c:pt>
                <c:pt idx="69">
                  <c:v>1.65634321292079</c:v>
                </c:pt>
                <c:pt idx="70">
                  <c:v>1.63822327991913</c:v>
                </c:pt>
                <c:pt idx="71">
                  <c:v>1.62030157393311</c:v>
                </c:pt>
                <c:pt idx="72">
                  <c:v>1.60257592641445</c:v>
                </c:pt>
                <c:pt idx="73">
                  <c:v>1.58504419253817</c:v>
                </c:pt>
                <c:pt idx="74">
                  <c:v>1.56770425094308</c:v>
                </c:pt>
                <c:pt idx="75">
                  <c:v>1.5505540034751</c:v>
                </c:pt>
                <c:pt idx="76">
                  <c:v>1.53359137493334</c:v>
                </c:pt>
                <c:pt idx="77">
                  <c:v>1.51681431281907</c:v>
                </c:pt>
                <c:pt idx="78">
                  <c:v>1.5002207870873</c:v>
                </c:pt>
                <c:pt idx="79">
                  <c:v>1.48380878990117</c:v>
                </c:pt>
                <c:pt idx="80">
                  <c:v>1.46757633538899</c:v>
                </c:pt>
                <c:pt idx="81">
                  <c:v>1.45152145940397</c:v>
                </c:pt>
                <c:pt idx="82">
                  <c:v>1.43564221928652</c:v>
                </c:pt>
                <c:pt idx="83">
                  <c:v>1.41993669362922</c:v>
                </c:pt>
                <c:pt idx="84">
                  <c:v>1.40440298204429</c:v>
                </c:pt>
                <c:pt idx="85">
                  <c:v>1.38903920493368</c:v>
                </c:pt>
                <c:pt idx="86">
                  <c:v>1.37384350326163</c:v>
                </c:pt>
                <c:pt idx="87">
                  <c:v>1.35881403832967</c:v>
                </c:pt>
                <c:pt idx="88">
                  <c:v>1.34394899155423</c:v>
                </c:pt>
                <c:pt idx="89">
                  <c:v>1.3292465642465</c:v>
                </c:pt>
                <c:pt idx="90">
                  <c:v>1.31470497739485</c:v>
                </c:pt>
                <c:pt idx="91">
                  <c:v>1.30032247144951</c:v>
                </c:pt>
                <c:pt idx="92">
                  <c:v>1.28609730610973</c:v>
                </c:pt>
                <c:pt idx="93">
                  <c:v>1.27202776011314</c:v>
                </c:pt>
                <c:pt idx="94">
                  <c:v>1.25811213102751</c:v>
                </c:pt>
                <c:pt idx="95">
                  <c:v>1.24434873504474</c:v>
                </c:pt>
                <c:pt idx="96">
                  <c:v>1.23073590677713</c:v>
                </c:pt>
                <c:pt idx="97">
                  <c:v>1.21727199905585</c:v>
                </c:pt>
                <c:pt idx="98">
                  <c:v>1.20395538273162</c:v>
                </c:pt>
                <c:pt idx="99">
                  <c:v>1.19078444647765</c:v>
                </c:pt>
                <c:pt idx="100">
                  <c:v>1.17775759659456</c:v>
                </c:pt>
              </c:numCache>
            </c:numRef>
          </c:yVal>
          <c:smooth val="0"/>
        </c:ser>
        <c:ser>
          <c:idx val="1"/>
          <c:order val="1"/>
          <c:tx>
            <c:strRef>
              <c:f>'PV-curve'!$U$2</c:f>
              <c:strCache>
                <c:ptCount val="1"/>
                <c:pt idx="0">
                  <c:v>linear</c:v>
                </c:pt>
              </c:strCache>
            </c:strRef>
          </c:tx>
          <c:spPr>
            <a:solidFill>
              <a:srgbClr val="c00000"/>
            </a:solidFill>
            <a:ln w="47520">
              <a:solidFill>
                <a:srgbClr val="c00000"/>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'PV-curve'!$H$3:$H$103</c:f>
              <c:numCache>
                <c:formatCode>General</c:formatCode>
                <c:ptCount val="101"/>
                <c:pt idx="0">
                  <c:v>100</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27">
                  <c:v>73</c:v>
                </c:pt>
                <c:pt idx="28">
                  <c:v>72</c:v>
                </c:pt>
                <c:pt idx="29">
                  <c:v>71</c:v>
                </c:pt>
                <c:pt idx="30">
                  <c:v>70</c:v>
                </c:pt>
                <c:pt idx="31">
                  <c:v>69</c:v>
                </c:pt>
                <c:pt idx="32">
                  <c:v>68</c:v>
                </c:pt>
                <c:pt idx="33">
                  <c:v>67</c:v>
                </c:pt>
                <c:pt idx="34">
                  <c:v>66</c:v>
                </c:pt>
                <c:pt idx="35">
                  <c:v>65</c:v>
                </c:pt>
                <c:pt idx="36">
                  <c:v>64</c:v>
                </c:pt>
                <c:pt idx="37">
                  <c:v>63</c:v>
                </c:pt>
                <c:pt idx="38">
                  <c:v>62</c:v>
                </c:pt>
                <c:pt idx="39">
                  <c:v>61</c:v>
                </c:pt>
                <c:pt idx="40">
                  <c:v>60</c:v>
                </c:pt>
                <c:pt idx="41">
                  <c:v>59</c:v>
                </c:pt>
                <c:pt idx="42">
                  <c:v>58</c:v>
                </c:pt>
                <c:pt idx="43">
                  <c:v>57</c:v>
                </c:pt>
                <c:pt idx="44">
                  <c:v>56</c:v>
                </c:pt>
                <c:pt idx="45">
                  <c:v>55</c:v>
                </c:pt>
                <c:pt idx="46">
                  <c:v>54</c:v>
                </c:pt>
                <c:pt idx="47">
                  <c:v>53</c:v>
                </c:pt>
                <c:pt idx="48">
                  <c:v>52</c:v>
                </c:pt>
                <c:pt idx="49">
                  <c:v>51</c:v>
                </c:pt>
                <c:pt idx="50">
                  <c:v>50</c:v>
                </c:pt>
                <c:pt idx="51">
                  <c:v>49</c:v>
                </c:pt>
                <c:pt idx="52">
                  <c:v>48</c:v>
                </c:pt>
                <c:pt idx="53">
                  <c:v>47</c:v>
                </c:pt>
                <c:pt idx="54">
                  <c:v>46</c:v>
                </c:pt>
                <c:pt idx="55">
                  <c:v>45</c:v>
                </c:pt>
                <c:pt idx="56">
                  <c:v>44</c:v>
                </c:pt>
                <c:pt idx="57">
                  <c:v>43</c:v>
                </c:pt>
                <c:pt idx="58">
                  <c:v>42</c:v>
                </c:pt>
                <c:pt idx="59">
                  <c:v>41</c:v>
                </c:pt>
                <c:pt idx="60">
                  <c:v>40</c:v>
                </c:pt>
                <c:pt idx="61">
                  <c:v>39</c:v>
                </c:pt>
                <c:pt idx="62">
                  <c:v>38</c:v>
                </c:pt>
                <c:pt idx="63">
                  <c:v>37</c:v>
                </c:pt>
                <c:pt idx="64">
                  <c:v>36</c:v>
                </c:pt>
                <c:pt idx="65">
                  <c:v>35</c:v>
                </c:pt>
                <c:pt idx="66">
                  <c:v>34</c:v>
                </c:pt>
                <c:pt idx="67">
                  <c:v>33</c:v>
                </c:pt>
                <c:pt idx="68">
                  <c:v>32</c:v>
                </c:pt>
                <c:pt idx="69">
                  <c:v>31</c:v>
                </c:pt>
                <c:pt idx="70">
                  <c:v>30</c:v>
                </c:pt>
                <c:pt idx="71">
                  <c:v>29</c:v>
                </c:pt>
                <c:pt idx="72">
                  <c:v>28</c:v>
                </c:pt>
                <c:pt idx="73">
                  <c:v>27</c:v>
                </c:pt>
                <c:pt idx="74">
                  <c:v>26</c:v>
                </c:pt>
                <c:pt idx="75">
                  <c:v>25</c:v>
                </c:pt>
                <c:pt idx="76">
                  <c:v>24</c:v>
                </c:pt>
                <c:pt idx="77">
                  <c:v>23</c:v>
                </c:pt>
                <c:pt idx="78">
                  <c:v>22</c:v>
                </c:pt>
                <c:pt idx="79">
                  <c:v>21</c:v>
                </c:pt>
                <c:pt idx="80">
                  <c:v>20</c:v>
                </c:pt>
                <c:pt idx="81">
                  <c:v>19</c:v>
                </c:pt>
                <c:pt idx="82">
                  <c:v>18</c:v>
                </c:pt>
                <c:pt idx="83">
                  <c:v>17</c:v>
                </c:pt>
                <c:pt idx="84">
                  <c:v>15.9999999999999</c:v>
                </c:pt>
                <c:pt idx="85">
                  <c:v>14.9999999999999</c:v>
                </c:pt>
                <c:pt idx="86">
                  <c:v>13.9999999999999</c:v>
                </c:pt>
                <c:pt idx="87">
                  <c:v>12.9999999999999</c:v>
                </c:pt>
                <c:pt idx="88">
                  <c:v>11.9999999999999</c:v>
                </c:pt>
                <c:pt idx="89">
                  <c:v>10.9999999999999</c:v>
                </c:pt>
                <c:pt idx="90">
                  <c:v>9.99999999999994</c:v>
                </c:pt>
                <c:pt idx="91">
                  <c:v>8.99999999999994</c:v>
                </c:pt>
                <c:pt idx="92">
                  <c:v>7.99999999999994</c:v>
                </c:pt>
                <c:pt idx="93">
                  <c:v>6.99999999999994</c:v>
                </c:pt>
                <c:pt idx="94">
                  <c:v>5.99999999999994</c:v>
                </c:pt>
                <c:pt idx="95">
                  <c:v>4.99999999999994</c:v>
                </c:pt>
                <c:pt idx="96">
                  <c:v>3.99999999999994</c:v>
                </c:pt>
                <c:pt idx="97">
                  <c:v>2.99999999999994</c:v>
                </c:pt>
                <c:pt idx="98">
                  <c:v>1.99999999999994</c:v>
                </c:pt>
                <c:pt idx="99">
                  <c:v>0.999999999999934</c:v>
                </c:pt>
                <c:pt idx="100">
                  <c:v>0</c:v>
                </c:pt>
              </c:numCache>
            </c:numRef>
          </c:xVal>
          <c:yVal>
            <c:numRef>
              <c:f>'PV-curve'!$U$3:$U$103</c:f>
              <c:numCache>
                <c:formatCode>General</c:formatCode>
                <c:ptCount val="10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2.967</c:v>
                </c:pt>
                <c:pt idx="17">
                  <c:v>2.934</c:v>
                </c:pt>
                <c:pt idx="18">
                  <c:v>2.901</c:v>
                </c:pt>
                <c:pt idx="19">
                  <c:v>2.868</c:v>
                </c:pt>
                <c:pt idx="20">
                  <c:v>2.835</c:v>
                </c:pt>
                <c:pt idx="21">
                  <c:v>2.802</c:v>
                </c:pt>
                <c:pt idx="22">
                  <c:v>2.769</c:v>
                </c:pt>
                <c:pt idx="23">
                  <c:v>2.736</c:v>
                </c:pt>
                <c:pt idx="24">
                  <c:v>2.703</c:v>
                </c:pt>
                <c:pt idx="25">
                  <c:v>2.67</c:v>
                </c:pt>
                <c:pt idx="26">
                  <c:v>2.637</c:v>
                </c:pt>
                <c:pt idx="27">
                  <c:v>2.604</c:v>
                </c:pt>
                <c:pt idx="28">
                  <c:v>2.571</c:v>
                </c:pt>
                <c:pt idx="29">
                  <c:v>2.538</c:v>
                </c:pt>
                <c:pt idx="30">
                  <c:v>2.505</c:v>
                </c:pt>
                <c:pt idx="31">
                  <c:v>2.472</c:v>
                </c:pt>
                <c:pt idx="32">
                  <c:v>2.439</c:v>
                </c:pt>
                <c:pt idx="33">
                  <c:v>2.406</c:v>
                </c:pt>
                <c:pt idx="34">
                  <c:v>2.373</c:v>
                </c:pt>
                <c:pt idx="35">
                  <c:v>2.34</c:v>
                </c:pt>
                <c:pt idx="36">
                  <c:v>2.307</c:v>
                </c:pt>
                <c:pt idx="37">
                  <c:v>2.274</c:v>
                </c:pt>
                <c:pt idx="38">
                  <c:v>2.241</c:v>
                </c:pt>
                <c:pt idx="39">
                  <c:v>2.208</c:v>
                </c:pt>
                <c:pt idx="40">
                  <c:v>2.175</c:v>
                </c:pt>
                <c:pt idx="41">
                  <c:v>2.142</c:v>
                </c:pt>
                <c:pt idx="42">
                  <c:v>2.109</c:v>
                </c:pt>
                <c:pt idx="43">
                  <c:v>2.076</c:v>
                </c:pt>
                <c:pt idx="44">
                  <c:v>2.043</c:v>
                </c:pt>
                <c:pt idx="45">
                  <c:v>2.01</c:v>
                </c:pt>
                <c:pt idx="46">
                  <c:v>1.977</c:v>
                </c:pt>
                <c:pt idx="47">
                  <c:v>1.944</c:v>
                </c:pt>
                <c:pt idx="48">
                  <c:v>1.911</c:v>
                </c:pt>
                <c:pt idx="49">
                  <c:v>1.878</c:v>
                </c:pt>
                <c:pt idx="50">
                  <c:v>1.845</c:v>
                </c:pt>
                <c:pt idx="51">
                  <c:v>1.812</c:v>
                </c:pt>
                <c:pt idx="52">
                  <c:v>1.779</c:v>
                </c:pt>
                <c:pt idx="53">
                  <c:v>1.746</c:v>
                </c:pt>
                <c:pt idx="54">
                  <c:v>1.713</c:v>
                </c:pt>
                <c:pt idx="55">
                  <c:v>1.68</c:v>
                </c:pt>
                <c:pt idx="56">
                  <c:v>1.647</c:v>
                </c:pt>
                <c:pt idx="57">
                  <c:v>1.614</c:v>
                </c:pt>
                <c:pt idx="58">
                  <c:v>1.581</c:v>
                </c:pt>
                <c:pt idx="59">
                  <c:v>1.548</c:v>
                </c:pt>
                <c:pt idx="60">
                  <c:v>1.515</c:v>
                </c:pt>
                <c:pt idx="61">
                  <c:v>1.482</c:v>
                </c:pt>
                <c:pt idx="62">
                  <c:v>1.449</c:v>
                </c:pt>
                <c:pt idx="63">
                  <c:v>1.416</c:v>
                </c:pt>
                <c:pt idx="64">
                  <c:v>1.383</c:v>
                </c:pt>
                <c:pt idx="65">
                  <c:v>1.35</c:v>
                </c:pt>
                <c:pt idx="66">
                  <c:v>1.317</c:v>
                </c:pt>
                <c:pt idx="67">
                  <c:v>1.284</c:v>
                </c:pt>
                <c:pt idx="68">
                  <c:v>1.251</c:v>
                </c:pt>
                <c:pt idx="69">
                  <c:v>1.218</c:v>
                </c:pt>
                <c:pt idx="70">
                  <c:v>1.185</c:v>
                </c:pt>
                <c:pt idx="71">
                  <c:v>1.152</c:v>
                </c:pt>
                <c:pt idx="72">
                  <c:v>1.119</c:v>
                </c:pt>
                <c:pt idx="73">
                  <c:v>1.086</c:v>
                </c:pt>
                <c:pt idx="74">
                  <c:v>1.053</c:v>
                </c:pt>
                <c:pt idx="75">
                  <c:v>1.02</c:v>
                </c:pt>
                <c:pt idx="76">
                  <c:v>0.986999999999999</c:v>
                </c:pt>
                <c:pt idx="77">
                  <c:v>0.953999999999999</c:v>
                </c:pt>
                <c:pt idx="78">
                  <c:v>0.920999999999999</c:v>
                </c:pt>
                <c:pt idx="79">
                  <c:v>0.887999999999999</c:v>
                </c:pt>
                <c:pt idx="80">
                  <c:v>0.854999999999998</c:v>
                </c:pt>
                <c:pt idx="81">
                  <c:v>0.821999999999998</c:v>
                </c:pt>
                <c:pt idx="82">
                  <c:v>0.788999999999998</c:v>
                </c:pt>
                <c:pt idx="83">
                  <c:v>0.755999999999998</c:v>
                </c:pt>
                <c:pt idx="84">
                  <c:v>0.722999999999998</c:v>
                </c:pt>
                <c:pt idx="85">
                  <c:v>0.689999999999998</c:v>
                </c:pt>
                <c:pt idx="86">
                  <c:v>0.656999999999998</c:v>
                </c:pt>
                <c:pt idx="87">
                  <c:v>0.623999999999998</c:v>
                </c:pt>
                <c:pt idx="88">
                  <c:v>0.590999999999998</c:v>
                </c:pt>
                <c:pt idx="89">
                  <c:v>0.557999999999998</c:v>
                </c:pt>
                <c:pt idx="90">
                  <c:v>0.524999999999998</c:v>
                </c:pt>
                <c:pt idx="91">
                  <c:v>0.491999999999998</c:v>
                </c:pt>
                <c:pt idx="92">
                  <c:v>0.458999999999998</c:v>
                </c:pt>
                <c:pt idx="93">
                  <c:v>0.425999999999998</c:v>
                </c:pt>
                <c:pt idx="94">
                  <c:v>0.392999999999998</c:v>
                </c:pt>
                <c:pt idx="95">
                  <c:v>0.359999999999998</c:v>
                </c:pt>
                <c:pt idx="96">
                  <c:v>0.326999999999998</c:v>
                </c:pt>
                <c:pt idx="97">
                  <c:v>0.293999999999998</c:v>
                </c:pt>
                <c:pt idx="98">
                  <c:v>0.260999999999998</c:v>
                </c:pt>
                <c:pt idx="99">
                  <c:v>0.227999999999998</c:v>
                </c:pt>
                <c:pt idx="100">
                  <c:v>0.195</c:v>
                </c:pt>
              </c:numCache>
            </c:numRef>
          </c:yVal>
          <c:smooth val="0"/>
        </c:ser>
        <c:axId val="88815361"/>
        <c:axId val="14068734"/>
      </c:scatterChart>
      <c:valAx>
        <c:axId val="88815361"/>
        <c:scaling>
          <c:orientation val="minMax"/>
          <c:max val="100"/>
          <c:min val="0"/>
        </c:scaling>
        <c:delete val="0"/>
        <c:axPos val="b"/>
        <c:title>
          <c:tx>
            <c:rich>
              <a:bodyPr rot="0"/>
              <a:lstStyle/>
              <a:p>
                <a:pPr>
                  <a:defRPr b="1" lang="fr-FR" sz="1600" spc="-1" strike="noStrike">
                    <a:solidFill>
                      <a:srgbClr val="000000"/>
                    </a:solidFill>
                    <a:latin typeface="Calibri"/>
                  </a:defRPr>
                </a:pPr>
                <a:r>
                  <a:rPr b="1" lang="fr-FR" sz="1600" spc="-1" strike="noStrike">
                    <a:solidFill>
                      <a:srgbClr val="000000"/>
                    </a:solidFill>
                    <a:latin typeface="Calibri"/>
                  </a:rPr>
                  <a:t>RWC_leaf</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14068734"/>
        <c:crosses val="autoZero"/>
        <c:crossBetween val="midCat"/>
      </c:valAx>
      <c:valAx>
        <c:axId val="14068734"/>
        <c:scaling>
          <c:orientation val="minMax"/>
        </c:scaling>
        <c:delete val="0"/>
        <c:axPos val="l"/>
        <c:title>
          <c:tx>
            <c:rich>
              <a:bodyPr rot="-5400000"/>
              <a:lstStyle/>
              <a:p>
                <a:pPr>
                  <a:defRPr b="1" lang="fr-FR" sz="1600" spc="-1" strike="noStrike">
                    <a:solidFill>
                      <a:srgbClr val="000000"/>
                    </a:solidFill>
                    <a:latin typeface="Calibri"/>
                  </a:defRPr>
                </a:pPr>
                <a:r>
                  <a:rPr b="1" lang="fr-FR" sz="1600" spc="-1" strike="noStrike">
                    <a:solidFill>
                      <a:srgbClr val="000000"/>
                    </a:solidFill>
                    <a:latin typeface="Calibri"/>
                  </a:rPr>
                  <a:t>gmin</a:t>
                </a:r>
              </a:p>
            </c:rich>
          </c:tx>
          <c:layout>
            <c:manualLayout>
              <c:xMode val="edge"/>
              <c:yMode val="edge"/>
              <c:x val="0.0208834772759451"/>
              <c:y val="0.377692508938694"/>
            </c:manualLayout>
          </c:layout>
          <c:overlay val="0"/>
          <c:spPr>
            <a:noFill/>
            <a:ln w="0">
              <a:noFill/>
            </a:ln>
          </c:spPr>
        </c:title>
        <c:numFmt formatCode="General" sourceLinked="0"/>
        <c:majorTickMark val="in"/>
        <c:minorTickMark val="none"/>
        <c:tickLblPos val="nextTo"/>
        <c:spPr>
          <a:ln w="9360">
            <a:solidFill>
              <a:srgbClr val="878787"/>
            </a:solidFill>
            <a:round/>
          </a:ln>
        </c:spPr>
        <c:txPr>
          <a:bodyPr/>
          <a:lstStyle/>
          <a:p>
            <a:pPr>
              <a:defRPr b="0" sz="1600" spc="-1" strike="noStrike">
                <a:solidFill>
                  <a:srgbClr val="000000"/>
                </a:solidFill>
                <a:latin typeface="Calibri"/>
              </a:defRPr>
            </a:pPr>
          </a:p>
        </c:txPr>
        <c:crossAx val="88815361"/>
        <c:crosses val="autoZero"/>
        <c:crossBetween val="midCat"/>
      </c:valAx>
      <c:spPr>
        <a:noFill/>
        <a:ln w="0">
          <a:noFill/>
        </a:ln>
      </c:spPr>
    </c:plotArea>
    <c:legend>
      <c:legendPos val="r"/>
      <c:layout>
        <c:manualLayout>
          <c:xMode val="edge"/>
          <c:yMode val="edge"/>
          <c:x val="0.20634044584595"/>
          <c:y val="0.0755892813938913"/>
          <c:w val="0.170014233710181"/>
          <c:h val="0.153237928137484"/>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47038272193108"/>
          <c:y val="0.0915162711382691"/>
          <c:w val="0.837621089407655"/>
          <c:h val="0.843825493818389"/>
        </c:manualLayout>
      </c:layout>
      <c:scatterChart>
        <c:scatterStyle val="lineMarker"/>
        <c:varyColors val="0"/>
        <c:ser>
          <c:idx val="0"/>
          <c:order val="0"/>
          <c:tx>
            <c:strRef>
              <c:f>'sureau_ini.txt'!$A$1</c:f>
              <c:strCache>
                <c:ptCount val="1"/>
                <c:pt idx="0">
                  <c:v>SUREAU</c:v>
                </c:pt>
              </c:strCache>
            </c:strRef>
          </c:tx>
          <c:spPr>
            <a:solidFill>
              <a:srgbClr val="be4b48"/>
            </a:solidFill>
            <a:ln w="28440">
              <a:solidFill>
                <a:srgbClr val="be4b48"/>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Genutchen'!$C$10:$C$111</c:f>
              <c:numCache>
                <c:formatCode>General</c:formatCode>
                <c:ptCount val="102"/>
                <c:pt idx="0">
                  <c:v>-0.0001</c:v>
                </c:pt>
                <c:pt idx="1">
                  <c:v>-7.34853358367702E-007</c:v>
                </c:pt>
                <c:pt idx="2">
                  <c:v>-4.99881498939219E-005</c:v>
                </c:pt>
                <c:pt idx="3">
                  <c:v>-6.90953161560967E-005</c:v>
                </c:pt>
                <c:pt idx="4">
                  <c:v>-8.37355227255506E-005</c:v>
                </c:pt>
                <c:pt idx="5">
                  <c:v>-9.61623729717349E-005</c:v>
                </c:pt>
                <c:pt idx="6">
                  <c:v>-0.000107229384450742</c:v>
                </c:pt>
                <c:pt idx="7">
                  <c:v>-0.000117367601747614</c:v>
                </c:pt>
                <c:pt idx="8">
                  <c:v>-0.000126830191206103</c:v>
                </c:pt>
                <c:pt idx="9">
                  <c:v>-0.000135780744537705</c:v>
                </c:pt>
                <c:pt idx="10">
                  <c:v>-0.000144332265377308</c:v>
                </c:pt>
                <c:pt idx="11">
                  <c:v>-0.000152566794357139</c:v>
                </c:pt>
                <c:pt idx="12">
                  <c:v>-0.000160546255036187</c:v>
                </c:pt>
                <c:pt idx="13">
                  <c:v>-0.000168318884764093</c:v>
                </c:pt>
                <c:pt idx="14">
                  <c:v>-0.000175923263772012</c:v>
                </c:pt>
                <c:pt idx="15">
                  <c:v>-0.000183390954360498</c:v>
                </c:pt>
                <c:pt idx="16">
                  <c:v>-0.000190748294464232</c:v>
                </c:pt>
                <c:pt idx="17">
                  <c:v>-0.000198017654996211</c:v>
                </c:pt>
                <c:pt idx="18">
                  <c:v>-0.000205218345129835</c:v>
                </c:pt>
                <c:pt idx="19">
                  <c:v>-0.000212367279479259</c:v>
                </c:pt>
                <c:pt idx="20">
                  <c:v>-0.000219479480093568</c:v>
                </c:pt>
                <c:pt idx="21">
                  <c:v>-0.00022656846129269</c:v>
                </c:pt>
                <c:pt idx="22">
                  <c:v>-0.000233646529797688</c:v>
                </c:pt>
                <c:pt idx="23">
                  <c:v>-0.000240725022586707</c:v>
                </c:pt>
                <c:pt idx="24">
                  <c:v>-0.000247814498299913</c:v>
                </c:pt>
                <c:pt idx="25">
                  <c:v>-0.000254924893563687</c:v>
                </c:pt>
                <c:pt idx="26">
                  <c:v>-0.000262065652544517</c:v>
                </c:pt>
                <c:pt idx="27">
                  <c:v>-0.000269245835903682</c:v>
                </c:pt>
                <c:pt idx="28">
                  <c:v>-0.000276474213804715</c:v>
                </c:pt>
                <c:pt idx="29">
                  <c:v>-0.000283759346531971</c:v>
                </c:pt>
                <c:pt idx="30">
                  <c:v>-0.000291109655481796</c:v>
                </c:pt>
                <c:pt idx="31">
                  <c:v>-0.000298533486701225</c:v>
                </c:pt>
                <c:pt idx="32">
                  <c:v>-0.00030603916871382</c:v>
                </c:pt>
                <c:pt idx="33">
                  <c:v>-0.000313635066047309</c:v>
                </c:pt>
                <c:pt idx="34">
                  <c:v>-0.000321329629634407</c:v>
                </c:pt>
                <c:pt idx="35">
                  <c:v>-0.000329131445076416</c:v>
                </c:pt>
                <c:pt idx="36">
                  <c:v>-0.000337049279624274</c:v>
                </c:pt>
                <c:pt idx="37">
                  <c:v>-0.000345092128633372</c:v>
                </c:pt>
                <c:pt idx="38">
                  <c:v>-0.000353269262179136</c:v>
                </c:pt>
                <c:pt idx="39">
                  <c:v>-0.000361590272474733</c:v>
                </c:pt>
                <c:pt idx="40">
                  <c:v>-0.000370065122706469</c:v>
                </c:pt>
                <c:pt idx="41">
                  <c:v>-0.000378704197894012</c:v>
                </c:pt>
                <c:pt idx="42">
                  <c:v>-0.000387518358389717</c:v>
                </c:pt>
                <c:pt idx="43">
                  <c:v>-0.000396518996653177</c:v>
                </c:pt>
                <c:pt idx="44">
                  <c:v>-0.00040571809797351</c:v>
                </c:pt>
                <c:pt idx="45">
                  <c:v>-0.000415128305862962</c:v>
                </c:pt>
                <c:pt idx="46">
                  <c:v>-0.000424762992912169</c:v>
                </c:pt>
                <c:pt idx="47">
                  <c:v>-0.000434636337981255</c:v>
                </c:pt>
                <c:pt idx="48">
                  <c:v>-0.000444763410703797</c:v>
                </c:pt>
                <c:pt idx="49">
                  <c:v>-0.000456858798657415</c:v>
                </c:pt>
                <c:pt idx="50">
                  <c:v>-0.000467590399797797</c:v>
                </c:pt>
                <c:pt idx="51">
                  <c:v>-0.000478630331109001</c:v>
                </c:pt>
                <c:pt idx="52">
                  <c:v>-0.000489998484620968</c:v>
                </c:pt>
                <c:pt idx="53">
                  <c:v>-0.000501716244007572</c:v>
                </c:pt>
                <c:pt idx="54">
                  <c:v>-0.000513806645438615</c:v>
                </c:pt>
                <c:pt idx="55">
                  <c:v>-0.000526294558304147</c:v>
                </c:pt>
                <c:pt idx="56">
                  <c:v>-0.000539206888900315</c:v>
                </c:pt>
                <c:pt idx="57">
                  <c:v>-0.000552572810710283</c:v>
                </c:pt>
                <c:pt idx="58">
                  <c:v>-0.000566424025571223</c:v>
                </c:pt>
                <c:pt idx="59">
                  <c:v>-0.000580795060815495</c:v>
                </c:pt>
                <c:pt idx="60">
                  <c:v>-0.000595723608444216</c:v>
                </c:pt>
                <c:pt idx="61">
                  <c:v>-0.000611250913577225</c:v>
                </c:pt>
                <c:pt idx="62">
                  <c:v>-0.000627422220879173</c:v>
                </c:pt>
                <c:pt idx="63">
                  <c:v>-0.000644287289457383</c:v>
                </c:pt>
                <c:pt idx="64">
                  <c:v>-0.000661900988953656</c:v>
                </c:pt>
                <c:pt idx="65">
                  <c:v>-0.000680323992327393</c:v>
                </c:pt>
                <c:pt idx="66">
                  <c:v>-0.000699623584305906</c:v>
                </c:pt>
                <c:pt idx="67">
                  <c:v>-0.000719874608863601</c:v>
                </c:pt>
                <c:pt idx="68">
                  <c:v>-0.000741160584656227</c:v>
                </c:pt>
                <c:pt idx="69">
                  <c:v>-0.000763575024443001</c:v>
                </c:pt>
                <c:pt idx="70">
                  <c:v>-0.000787223003669226</c:v>
                </c:pt>
                <c:pt idx="71">
                  <c:v>-0.000812223035223931</c:v>
                </c:pt>
                <c:pt idx="72">
                  <c:v>-0.000838709322851028</c:v>
                </c:pt>
                <c:pt idx="73">
                  <c:v>-0.000866834486055607</c:v>
                </c:pt>
                <c:pt idx="74">
                  <c:v>-0.000896772876401297</c:v>
                </c:pt>
                <c:pt idx="75">
                  <c:v>-0.000928724641381459</c:v>
                </c:pt>
                <c:pt idx="76">
                  <c:v>-0.000962920741214451</c:v>
                </c:pt>
                <c:pt idx="77">
                  <c:v>-0.000999629191263127</c:v>
                </c:pt>
                <c:pt idx="78">
                  <c:v>-0.00103916289612244</c:v>
                </c:pt>
                <c:pt idx="79">
                  <c:v>-0.00108188957243293</c:v>
                </c:pt>
                <c:pt idx="80">
                  <c:v>-0.00112824444389339</c:v>
                </c:pt>
                <c:pt idx="81">
                  <c:v>-0.00117874666114991</c:v>
                </c:pt>
                <c:pt idx="82">
                  <c:v>-0.00123402079432117</c:v>
                </c:pt>
                <c:pt idx="83">
                  <c:v>-0.00129482533605792</c:v>
                </c:pt>
                <c:pt idx="84">
                  <c:v>-0.00136209105176171</c:v>
                </c:pt>
                <c:pt idx="85">
                  <c:v>-0.00143697341181317</c:v>
                </c:pt>
                <c:pt idx="86">
                  <c:v>-0.00152092556813236</c:v>
                </c:pt>
                <c:pt idx="87">
                  <c:v>-0.00161580198091903</c:v>
                </c:pt>
                <c:pt idx="88">
                  <c:v>-0.00172400894070968</c:v>
                </c:pt>
                <c:pt idx="89">
                  <c:v>-0.00184872892878038</c:v>
                </c:pt>
                <c:pt idx="90">
                  <c:v>-0.00199426512888434</c:v>
                </c:pt>
                <c:pt idx="91">
                  <c:v>-0.00216658906093723</c:v>
                </c:pt>
                <c:pt idx="92">
                  <c:v>-0.00237424735742439</c:v>
                </c:pt>
                <c:pt idx="93">
                  <c:v>-0.00262993845563015</c:v>
                </c:pt>
                <c:pt idx="94">
                  <c:v>-0.00295342290237573</c:v>
                </c:pt>
                <c:pt idx="95">
                  <c:v>-0.00337731247874607</c:v>
                </c:pt>
                <c:pt idx="96">
                  <c:v>-0.00395975487336453</c:v>
                </c:pt>
                <c:pt idx="97">
                  <c:v>-0.00481610550245506</c:v>
                </c:pt>
                <c:pt idx="98">
                  <c:v>-0.00621439729193357</c:v>
                </c:pt>
                <c:pt idx="99">
                  <c:v>-0.00896499785684241</c:v>
                </c:pt>
                <c:pt idx="100">
                  <c:v>-0.0173770933862381</c:v>
                </c:pt>
                <c:pt idx="101">
                  <c:v>-0.104463690372841</c:v>
                </c:pt>
              </c:numCache>
            </c:numRef>
          </c:xVal>
          <c:yVal>
            <c:numRef>
              <c:f>'van Genutchen'!$B$10:$B$111</c:f>
              <c:numCache>
                <c:formatCode>General</c:formatCode>
                <c:ptCount val="102"/>
                <c:pt idx="0">
                  <c:v>1</c:v>
                </c:pt>
                <c:pt idx="1">
                  <c:v>0.999999</c:v>
                </c:pt>
                <c:pt idx="2">
                  <c:v>0.99</c:v>
                </c:pt>
                <c:pt idx="3">
                  <c:v>0.98</c:v>
                </c:pt>
                <c:pt idx="4">
                  <c:v>0.97</c:v>
                </c:pt>
                <c:pt idx="5">
                  <c:v>0.96</c:v>
                </c:pt>
                <c:pt idx="6">
                  <c:v>0.95</c:v>
                </c:pt>
                <c:pt idx="7">
                  <c:v>0.94</c:v>
                </c:pt>
                <c:pt idx="8">
                  <c:v>0.93</c:v>
                </c:pt>
                <c:pt idx="9">
                  <c:v>0.92</c:v>
                </c:pt>
                <c:pt idx="10">
                  <c:v>0.91</c:v>
                </c:pt>
                <c:pt idx="11">
                  <c:v>0.9</c:v>
                </c:pt>
                <c:pt idx="12">
                  <c:v>0.89</c:v>
                </c:pt>
                <c:pt idx="13">
                  <c:v>0.88</c:v>
                </c:pt>
                <c:pt idx="14">
                  <c:v>0.87</c:v>
                </c:pt>
                <c:pt idx="15">
                  <c:v>0.86</c:v>
                </c:pt>
                <c:pt idx="16">
                  <c:v>0.85</c:v>
                </c:pt>
                <c:pt idx="17">
                  <c:v>0.84</c:v>
                </c:pt>
                <c:pt idx="18">
                  <c:v>0.83</c:v>
                </c:pt>
                <c:pt idx="19">
                  <c:v>0.82</c:v>
                </c:pt>
                <c:pt idx="20">
                  <c:v>0.81</c:v>
                </c:pt>
                <c:pt idx="21">
                  <c:v>0.8</c:v>
                </c:pt>
                <c:pt idx="22">
                  <c:v>0.79</c:v>
                </c:pt>
                <c:pt idx="23">
                  <c:v>0.78</c:v>
                </c:pt>
                <c:pt idx="24">
                  <c:v>0.77</c:v>
                </c:pt>
                <c:pt idx="25">
                  <c:v>0.76</c:v>
                </c:pt>
                <c:pt idx="26">
                  <c:v>0.75</c:v>
                </c:pt>
                <c:pt idx="27">
                  <c:v>0.74</c:v>
                </c:pt>
                <c:pt idx="28">
                  <c:v>0.73</c:v>
                </c:pt>
                <c:pt idx="29">
                  <c:v>0.72</c:v>
                </c:pt>
                <c:pt idx="30">
                  <c:v>0.71</c:v>
                </c:pt>
                <c:pt idx="31">
                  <c:v>0.7</c:v>
                </c:pt>
                <c:pt idx="32">
                  <c:v>0.69</c:v>
                </c:pt>
                <c:pt idx="33">
                  <c:v>0.68</c:v>
                </c:pt>
                <c:pt idx="34">
                  <c:v>0.67</c:v>
                </c:pt>
                <c:pt idx="35">
                  <c:v>0.66</c:v>
                </c:pt>
                <c:pt idx="36">
                  <c:v>0.65</c:v>
                </c:pt>
                <c:pt idx="37">
                  <c:v>0.64</c:v>
                </c:pt>
                <c:pt idx="38">
                  <c:v>0.63</c:v>
                </c:pt>
                <c:pt idx="39">
                  <c:v>0.62</c:v>
                </c:pt>
                <c:pt idx="40">
                  <c:v>0.61</c:v>
                </c:pt>
                <c:pt idx="41">
                  <c:v>0.6</c:v>
                </c:pt>
                <c:pt idx="42">
                  <c:v>0.59</c:v>
                </c:pt>
                <c:pt idx="43">
                  <c:v>0.58</c:v>
                </c:pt>
                <c:pt idx="44">
                  <c:v>0.57</c:v>
                </c:pt>
                <c:pt idx="45">
                  <c:v>0.56</c:v>
                </c:pt>
                <c:pt idx="46">
                  <c:v>0.55</c:v>
                </c:pt>
                <c:pt idx="47">
                  <c:v>0.54</c:v>
                </c:pt>
                <c:pt idx="48">
                  <c:v>0.53</c:v>
                </c:pt>
                <c:pt idx="49">
                  <c:v>0.518391616272993</c:v>
                </c:pt>
                <c:pt idx="50">
                  <c:v>0.508391616272993</c:v>
                </c:pt>
                <c:pt idx="51">
                  <c:v>0.498391616272993</c:v>
                </c:pt>
                <c:pt idx="52">
                  <c:v>0.488391616272993</c:v>
                </c:pt>
                <c:pt idx="53">
                  <c:v>0.478391616272993</c:v>
                </c:pt>
                <c:pt idx="54">
                  <c:v>0.468391616272993</c:v>
                </c:pt>
                <c:pt idx="55">
                  <c:v>0.458391616272993</c:v>
                </c:pt>
                <c:pt idx="56">
                  <c:v>0.448391616272993</c:v>
                </c:pt>
                <c:pt idx="57">
                  <c:v>0.438391616272993</c:v>
                </c:pt>
                <c:pt idx="58">
                  <c:v>0.428391616272993</c:v>
                </c:pt>
                <c:pt idx="59">
                  <c:v>0.418391616272993</c:v>
                </c:pt>
                <c:pt idx="60">
                  <c:v>0.408391616272993</c:v>
                </c:pt>
                <c:pt idx="61">
                  <c:v>0.398391616272993</c:v>
                </c:pt>
                <c:pt idx="62">
                  <c:v>0.388391616272993</c:v>
                </c:pt>
                <c:pt idx="63">
                  <c:v>0.378391616272993</c:v>
                </c:pt>
                <c:pt idx="64">
                  <c:v>0.368391616272993</c:v>
                </c:pt>
                <c:pt idx="65">
                  <c:v>0.358391616272993</c:v>
                </c:pt>
                <c:pt idx="66">
                  <c:v>0.348391616272993</c:v>
                </c:pt>
                <c:pt idx="67">
                  <c:v>0.338391616272993</c:v>
                </c:pt>
                <c:pt idx="68">
                  <c:v>0.328391616272993</c:v>
                </c:pt>
                <c:pt idx="69">
                  <c:v>0.318391616272993</c:v>
                </c:pt>
                <c:pt idx="70">
                  <c:v>0.308391616272993</c:v>
                </c:pt>
                <c:pt idx="71">
                  <c:v>0.298391616272993</c:v>
                </c:pt>
                <c:pt idx="72">
                  <c:v>0.288391616272993</c:v>
                </c:pt>
                <c:pt idx="73">
                  <c:v>0.278391616272993</c:v>
                </c:pt>
                <c:pt idx="74">
                  <c:v>0.268391616272993</c:v>
                </c:pt>
                <c:pt idx="75">
                  <c:v>0.258391616272993</c:v>
                </c:pt>
                <c:pt idx="76">
                  <c:v>0.248391616272993</c:v>
                </c:pt>
                <c:pt idx="77">
                  <c:v>0.238391616272993</c:v>
                </c:pt>
                <c:pt idx="78">
                  <c:v>0.228391616272993</c:v>
                </c:pt>
                <c:pt idx="79">
                  <c:v>0.218391616272992</c:v>
                </c:pt>
                <c:pt idx="80">
                  <c:v>0.208391616272992</c:v>
                </c:pt>
                <c:pt idx="81">
                  <c:v>0.198391616272993</c:v>
                </c:pt>
                <c:pt idx="82">
                  <c:v>0.188391616272993</c:v>
                </c:pt>
                <c:pt idx="83">
                  <c:v>0.178391616272993</c:v>
                </c:pt>
                <c:pt idx="84">
                  <c:v>0.168391616272992</c:v>
                </c:pt>
                <c:pt idx="85">
                  <c:v>0.158391616272992</c:v>
                </c:pt>
                <c:pt idx="86">
                  <c:v>0.148391616272992</c:v>
                </c:pt>
                <c:pt idx="87">
                  <c:v>0.138391616272992</c:v>
                </c:pt>
                <c:pt idx="88">
                  <c:v>0.128391616272992</c:v>
                </c:pt>
                <c:pt idx="89">
                  <c:v>0.118391616272992</c:v>
                </c:pt>
                <c:pt idx="90">
                  <c:v>0.108391616272992</c:v>
                </c:pt>
                <c:pt idx="91">
                  <c:v>0.0983916162729925</c:v>
                </c:pt>
                <c:pt idx="92">
                  <c:v>0.0883916162729925</c:v>
                </c:pt>
                <c:pt idx="93">
                  <c:v>0.0783916162729925</c:v>
                </c:pt>
                <c:pt idx="94">
                  <c:v>0.0683916162729925</c:v>
                </c:pt>
                <c:pt idx="95">
                  <c:v>0.0583916162729925</c:v>
                </c:pt>
                <c:pt idx="96">
                  <c:v>0.0483916162729925</c:v>
                </c:pt>
                <c:pt idx="97">
                  <c:v>0.0383916162729925</c:v>
                </c:pt>
                <c:pt idx="98">
                  <c:v>0.0283916162729925</c:v>
                </c:pt>
                <c:pt idx="99">
                  <c:v>0.0183916162729925</c:v>
                </c:pt>
                <c:pt idx="100">
                  <c:v>0.00839161627299247</c:v>
                </c:pt>
                <c:pt idx="101">
                  <c:v>0.001</c:v>
                </c:pt>
              </c:numCache>
            </c:numRef>
          </c:yVal>
          <c:smooth val="0"/>
        </c:ser>
        <c:ser>
          <c:idx val="1"/>
          <c:order val="1"/>
          <c:tx>
            <c:strRef>
              <c:f>'sureau_ini.txt'!$A$1</c:f>
              <c:strCache>
                <c:ptCount val="1"/>
                <c:pt idx="0">
                  <c:v>SUREAU</c:v>
                </c:pt>
              </c:strCache>
            </c:strRef>
          </c:tx>
          <c:spPr>
            <a:solidFill>
              <a:srgbClr val="99ccff"/>
            </a:solidFill>
            <a:ln w="25560">
              <a:noFill/>
            </a:ln>
          </c:spP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Genutchen'!$T$3:$T$104</c:f>
              <c:numCache>
                <c:formatCode>General</c:formatCode>
                <c:ptCount val="102"/>
                <c:pt idx="0">
                  <c:v>-1.9395</c:v>
                </c:pt>
                <c:pt idx="1">
                  <c:v>-1.781</c:v>
                </c:pt>
                <c:pt idx="2">
                  <c:v>-1.7486</c:v>
                </c:pt>
                <c:pt idx="3">
                  <c:v>-1.7305</c:v>
                </c:pt>
                <c:pt idx="4">
                  <c:v>-1.6981</c:v>
                </c:pt>
                <c:pt idx="5">
                  <c:v>-1.6801</c:v>
                </c:pt>
                <c:pt idx="6">
                  <c:v>-1.6296</c:v>
                </c:pt>
                <c:pt idx="7">
                  <c:v>-1.6043</c:v>
                </c:pt>
                <c:pt idx="8">
                  <c:v>-1.4999</c:v>
                </c:pt>
                <c:pt idx="9">
                  <c:v>-1.4675</c:v>
                </c:pt>
                <c:pt idx="10">
                  <c:v>-1.4385</c:v>
                </c:pt>
                <c:pt idx="11">
                  <c:v>-1.4927</c:v>
                </c:pt>
                <c:pt idx="12">
                  <c:v>-1.489</c:v>
                </c:pt>
                <c:pt idx="13">
                  <c:v>-1.5504</c:v>
                </c:pt>
                <c:pt idx="14">
                  <c:v>-1.4242</c:v>
                </c:pt>
                <c:pt idx="15">
                  <c:v>-1.345</c:v>
                </c:pt>
                <c:pt idx="16">
                  <c:v>-1.3594</c:v>
                </c:pt>
                <c:pt idx="17">
                  <c:v>-1.2765</c:v>
                </c:pt>
                <c:pt idx="18">
                  <c:v>-1.172</c:v>
                </c:pt>
                <c:pt idx="19">
                  <c:v>-1.1648</c:v>
                </c:pt>
                <c:pt idx="20">
                  <c:v>-1.1648</c:v>
                </c:pt>
                <c:pt idx="21">
                  <c:v>-1.1936</c:v>
                </c:pt>
                <c:pt idx="22">
                  <c:v>-0.9017</c:v>
                </c:pt>
                <c:pt idx="23">
                  <c:v>-0.9666</c:v>
                </c:pt>
                <c:pt idx="24">
                  <c:v>-1.0531</c:v>
                </c:pt>
                <c:pt idx="25">
                  <c:v>-1.017</c:v>
                </c:pt>
                <c:pt idx="26">
                  <c:v>-0.9486</c:v>
                </c:pt>
                <c:pt idx="27">
                  <c:v>-0.8513</c:v>
                </c:pt>
                <c:pt idx="28">
                  <c:v>-0.79</c:v>
                </c:pt>
                <c:pt idx="29">
                  <c:v>-0.79</c:v>
                </c:pt>
                <c:pt idx="30">
                  <c:v>-0.7287</c:v>
                </c:pt>
                <c:pt idx="31">
                  <c:v>-0.7395</c:v>
                </c:pt>
                <c:pt idx="32">
                  <c:v>-0.754</c:v>
                </c:pt>
                <c:pt idx="33">
                  <c:v>-0.8224</c:v>
                </c:pt>
                <c:pt idx="34">
                  <c:v>-0.6783</c:v>
                </c:pt>
                <c:pt idx="35">
                  <c:v>-0.599</c:v>
                </c:pt>
                <c:pt idx="36">
                  <c:v>-0.5522</c:v>
                </c:pt>
                <c:pt idx="37">
                  <c:v>-0.581</c:v>
                </c:pt>
                <c:pt idx="38">
                  <c:v>-0.545</c:v>
                </c:pt>
                <c:pt idx="39">
                  <c:v>-0.4728</c:v>
                </c:pt>
                <c:pt idx="40">
                  <c:v>-0.5161</c:v>
                </c:pt>
                <c:pt idx="41">
                  <c:v>-0.4441</c:v>
                </c:pt>
                <c:pt idx="42">
                  <c:v>-0.4837</c:v>
                </c:pt>
                <c:pt idx="43">
                  <c:v>-0.3972</c:v>
                </c:pt>
                <c:pt idx="44">
                  <c:v>-0.2747</c:v>
                </c:pt>
                <c:pt idx="45">
                  <c:v>-0.2711</c:v>
                </c:pt>
                <c:pt idx="46">
                  <c:v>-0.3792</c:v>
                </c:pt>
                <c:pt idx="47">
                  <c:v>-0.4801</c:v>
                </c:pt>
                <c:pt idx="48">
                  <c:v>-0.617</c:v>
                </c:pt>
                <c:pt idx="49">
                  <c:v>-0.5557</c:v>
                </c:pt>
                <c:pt idx="50">
                  <c:v>-0.4728</c:v>
                </c:pt>
                <c:pt idx="51">
                  <c:v>-0.3756</c:v>
                </c:pt>
                <c:pt idx="52">
                  <c:v>-0.3035</c:v>
                </c:pt>
                <c:pt idx="53">
                  <c:v>-0.2206</c:v>
                </c:pt>
                <c:pt idx="54">
                  <c:v>-0.199</c:v>
                </c:pt>
                <c:pt idx="55">
                  <c:v>-0.1414</c:v>
                </c:pt>
                <c:pt idx="56">
                  <c:v>-0.1414</c:v>
                </c:pt>
                <c:pt idx="57">
                  <c:v>-0.0945</c:v>
                </c:pt>
                <c:pt idx="58">
                  <c:v>-0.1486</c:v>
                </c:pt>
                <c:pt idx="59">
                  <c:v>-0.163</c:v>
                </c:pt>
                <c:pt idx="60">
                  <c:v>-0.2134</c:v>
                </c:pt>
                <c:pt idx="61">
                  <c:v>-0.4152</c:v>
                </c:pt>
                <c:pt idx="62">
                  <c:v>-0.3612</c:v>
                </c:pt>
                <c:pt idx="63">
                  <c:v>-0.3179</c:v>
                </c:pt>
                <c:pt idx="64">
                  <c:v>-0.3432</c:v>
                </c:pt>
                <c:pt idx="65">
                  <c:v>-0.3539</c:v>
                </c:pt>
                <c:pt idx="66">
                  <c:v>-0.4477</c:v>
                </c:pt>
                <c:pt idx="67">
                  <c:v>-0.2675</c:v>
                </c:pt>
                <c:pt idx="68">
                  <c:v>-0.2495</c:v>
                </c:pt>
                <c:pt idx="69">
                  <c:v>-0.2026</c:v>
                </c:pt>
                <c:pt idx="70">
                  <c:v>-0.163</c:v>
                </c:pt>
                <c:pt idx="71">
                  <c:v>-0.1233</c:v>
                </c:pt>
                <c:pt idx="72">
                  <c:v>-0.1486</c:v>
                </c:pt>
                <c:pt idx="73">
                  <c:v>-0.3432</c:v>
                </c:pt>
                <c:pt idx="74">
                  <c:v>-0.3251</c:v>
                </c:pt>
                <c:pt idx="75">
                  <c:v>-0.2891</c:v>
                </c:pt>
                <c:pt idx="76">
                  <c:v>-0.4152</c:v>
                </c:pt>
                <c:pt idx="77">
                  <c:v>-0.3648</c:v>
                </c:pt>
                <c:pt idx="78">
                  <c:v>-0.4188</c:v>
                </c:pt>
                <c:pt idx="79">
                  <c:v>-0.2855</c:v>
                </c:pt>
                <c:pt idx="80">
                  <c:v>-0.2459</c:v>
                </c:pt>
                <c:pt idx="81">
                  <c:v>-0.1954</c:v>
                </c:pt>
                <c:pt idx="82">
                  <c:v>-0.2459</c:v>
                </c:pt>
                <c:pt idx="83">
                  <c:v>-0.2026</c:v>
                </c:pt>
                <c:pt idx="84">
                  <c:v>-0.2495</c:v>
                </c:pt>
                <c:pt idx="85">
                  <c:v>-0.2603</c:v>
                </c:pt>
                <c:pt idx="86">
                  <c:v>-0.2423</c:v>
                </c:pt>
                <c:pt idx="87">
                  <c:v>-0.2098</c:v>
                </c:pt>
                <c:pt idx="88">
                  <c:v>-0.1305</c:v>
                </c:pt>
                <c:pt idx="89">
                  <c:v>-0.1738</c:v>
                </c:pt>
                <c:pt idx="90">
                  <c:v>-0.2603</c:v>
                </c:pt>
                <c:pt idx="91">
                  <c:v>-0.2567</c:v>
                </c:pt>
                <c:pt idx="92">
                  <c:v>-0.2531</c:v>
                </c:pt>
                <c:pt idx="93">
                  <c:v>-0.3035</c:v>
                </c:pt>
                <c:pt idx="94">
                  <c:v>-0.4188</c:v>
                </c:pt>
                <c:pt idx="95">
                  <c:v>-0.2747</c:v>
                </c:pt>
                <c:pt idx="96">
                  <c:v>-0.217</c:v>
                </c:pt>
                <c:pt idx="97">
                  <c:v>-0.181</c:v>
                </c:pt>
                <c:pt idx="98">
                  <c:v>-0.2134</c:v>
                </c:pt>
                <c:pt idx="99">
                  <c:v>-0.2242</c:v>
                </c:pt>
                <c:pt idx="100">
                  <c:v>-0.199</c:v>
                </c:pt>
                <c:pt idx="101">
                  <c:v>-0.1197</c:v>
                </c:pt>
              </c:numCache>
            </c:numRef>
          </c:xVal>
          <c:yVal>
            <c:numRef>
              <c:f>'van Genutchen'!$U$3:$U$104</c:f>
              <c:numCache>
                <c:formatCode>General</c:formatCode>
                <c:ptCount val="102"/>
                <c:pt idx="0">
                  <c:v>0.0405</c:v>
                </c:pt>
                <c:pt idx="1">
                  <c:v>0.1031</c:v>
                </c:pt>
                <c:pt idx="2">
                  <c:v>-0.0010173</c:v>
                </c:pt>
                <c:pt idx="3">
                  <c:v>0.0382</c:v>
                </c:pt>
                <c:pt idx="4">
                  <c:v>0.1519</c:v>
                </c:pt>
                <c:pt idx="5">
                  <c:v>0.1111</c:v>
                </c:pt>
                <c:pt idx="6">
                  <c:v>0.0799</c:v>
                </c:pt>
                <c:pt idx="7">
                  <c:v>0.0588</c:v>
                </c:pt>
                <c:pt idx="8">
                  <c:v>0.0401</c:v>
                </c:pt>
                <c:pt idx="9">
                  <c:v>0.0371</c:v>
                </c:pt>
                <c:pt idx="10">
                  <c:v>0.0553</c:v>
                </c:pt>
                <c:pt idx="11">
                  <c:v>0.0737</c:v>
                </c:pt>
                <c:pt idx="12">
                  <c:v>0.0948</c:v>
                </c:pt>
                <c:pt idx="13">
                  <c:v>0.1302</c:v>
                </c:pt>
                <c:pt idx="14">
                  <c:v>0.1802</c:v>
                </c:pt>
                <c:pt idx="15">
                  <c:v>0.1532</c:v>
                </c:pt>
                <c:pt idx="16">
                  <c:v>0.0971</c:v>
                </c:pt>
                <c:pt idx="17">
                  <c:v>0.0925</c:v>
                </c:pt>
                <c:pt idx="18">
                  <c:v>0.1117</c:v>
                </c:pt>
                <c:pt idx="19">
                  <c:v>0.1398</c:v>
                </c:pt>
                <c:pt idx="20">
                  <c:v>0.1749</c:v>
                </c:pt>
                <c:pt idx="21">
                  <c:v>0.1905</c:v>
                </c:pt>
                <c:pt idx="22">
                  <c:v>0.1597</c:v>
                </c:pt>
                <c:pt idx="23">
                  <c:v>0.2232</c:v>
                </c:pt>
                <c:pt idx="24">
                  <c:v>0.2713</c:v>
                </c:pt>
                <c:pt idx="25">
                  <c:v>0.2796</c:v>
                </c:pt>
                <c:pt idx="26">
                  <c:v>0.3678</c:v>
                </c:pt>
                <c:pt idx="27">
                  <c:v>0.3224</c:v>
                </c:pt>
                <c:pt idx="28">
                  <c:v>0.2702</c:v>
                </c:pt>
                <c:pt idx="29">
                  <c:v>0.252</c:v>
                </c:pt>
                <c:pt idx="30">
                  <c:v>0.2517</c:v>
                </c:pt>
                <c:pt idx="31">
                  <c:v>0.2911</c:v>
                </c:pt>
                <c:pt idx="32">
                  <c:v>0.2293</c:v>
                </c:pt>
                <c:pt idx="33">
                  <c:v>0.3729</c:v>
                </c:pt>
                <c:pt idx="34">
                  <c:v>0.3695</c:v>
                </c:pt>
                <c:pt idx="35">
                  <c:v>0.2974</c:v>
                </c:pt>
                <c:pt idx="36">
                  <c:v>0.3423</c:v>
                </c:pt>
                <c:pt idx="37">
                  <c:v>0.3536</c:v>
                </c:pt>
                <c:pt idx="38">
                  <c:v>0.3563</c:v>
                </c:pt>
                <c:pt idx="39">
                  <c:v>0.3616</c:v>
                </c:pt>
                <c:pt idx="40">
                  <c:v>0.3084</c:v>
                </c:pt>
                <c:pt idx="41">
                  <c:v>0.2898</c:v>
                </c:pt>
                <c:pt idx="42">
                  <c:v>0.2422</c:v>
                </c:pt>
                <c:pt idx="43">
                  <c:v>0.3304</c:v>
                </c:pt>
                <c:pt idx="44">
                  <c:v>0.32</c:v>
                </c:pt>
                <c:pt idx="45">
                  <c:v>0.3578</c:v>
                </c:pt>
                <c:pt idx="46">
                  <c:v>0.3935</c:v>
                </c:pt>
                <c:pt idx="47">
                  <c:v>0.415</c:v>
                </c:pt>
                <c:pt idx="48">
                  <c:v>0.4521</c:v>
                </c:pt>
                <c:pt idx="49">
                  <c:v>0.4954</c:v>
                </c:pt>
                <c:pt idx="50">
                  <c:v>0.4782</c:v>
                </c:pt>
                <c:pt idx="51">
                  <c:v>0.4777</c:v>
                </c:pt>
                <c:pt idx="52">
                  <c:v>0.4957</c:v>
                </c:pt>
                <c:pt idx="53">
                  <c:v>0.4982</c:v>
                </c:pt>
                <c:pt idx="54">
                  <c:v>0.4896</c:v>
                </c:pt>
                <c:pt idx="55">
                  <c:v>0.5301</c:v>
                </c:pt>
                <c:pt idx="56">
                  <c:v>0.5006</c:v>
                </c:pt>
                <c:pt idx="57">
                  <c:v>0.492</c:v>
                </c:pt>
                <c:pt idx="58">
                  <c:v>0.4684</c:v>
                </c:pt>
                <c:pt idx="59">
                  <c:v>0.4375</c:v>
                </c:pt>
                <c:pt idx="60">
                  <c:v>0.4377</c:v>
                </c:pt>
                <c:pt idx="61">
                  <c:v>0.5396</c:v>
                </c:pt>
                <c:pt idx="62">
                  <c:v>0.524</c:v>
                </c:pt>
                <c:pt idx="63">
                  <c:v>0.5393</c:v>
                </c:pt>
                <c:pt idx="64">
                  <c:v>0.5689</c:v>
                </c:pt>
                <c:pt idx="65">
                  <c:v>0.5886</c:v>
                </c:pt>
                <c:pt idx="66">
                  <c:v>0.5735</c:v>
                </c:pt>
                <c:pt idx="67">
                  <c:v>0.6009</c:v>
                </c:pt>
                <c:pt idx="68">
                  <c:v>0.5826</c:v>
                </c:pt>
                <c:pt idx="69">
                  <c:v>0.5852</c:v>
                </c:pt>
                <c:pt idx="70">
                  <c:v>0.585</c:v>
                </c:pt>
                <c:pt idx="71">
                  <c:v>0.5989</c:v>
                </c:pt>
                <c:pt idx="72">
                  <c:v>0.6257</c:v>
                </c:pt>
                <c:pt idx="73">
                  <c:v>0.6209</c:v>
                </c:pt>
                <c:pt idx="74">
                  <c:v>0.6419</c:v>
                </c:pt>
                <c:pt idx="75">
                  <c:v>0.66</c:v>
                </c:pt>
                <c:pt idx="76">
                  <c:v>0.6998</c:v>
                </c:pt>
                <c:pt idx="77">
                  <c:v>0.6996</c:v>
                </c:pt>
                <c:pt idx="78">
                  <c:v>0.7854</c:v>
                </c:pt>
                <c:pt idx="79">
                  <c:v>0.6909</c:v>
                </c:pt>
                <c:pt idx="80">
                  <c:v>0.6963</c:v>
                </c:pt>
                <c:pt idx="81">
                  <c:v>0.7115</c:v>
                </c:pt>
                <c:pt idx="82">
                  <c:v>0.7146</c:v>
                </c:pt>
                <c:pt idx="83">
                  <c:v>0.734</c:v>
                </c:pt>
                <c:pt idx="84">
                  <c:v>0.7553</c:v>
                </c:pt>
                <c:pt idx="85">
                  <c:v>0.7989</c:v>
                </c:pt>
                <c:pt idx="86">
                  <c:v>0.789</c:v>
                </c:pt>
                <c:pt idx="87">
                  <c:v>0.8085</c:v>
                </c:pt>
                <c:pt idx="88">
                  <c:v>0.7997</c:v>
                </c:pt>
                <c:pt idx="89">
                  <c:v>0.8279</c:v>
                </c:pt>
                <c:pt idx="90">
                  <c:v>0.8396</c:v>
                </c:pt>
                <c:pt idx="91">
                  <c:v>0.8662</c:v>
                </c:pt>
                <c:pt idx="92">
                  <c:v>0.8747</c:v>
                </c:pt>
                <c:pt idx="93">
                  <c:v>0.8679</c:v>
                </c:pt>
                <c:pt idx="94">
                  <c:v>0.9681</c:v>
                </c:pt>
                <c:pt idx="95">
                  <c:v>0.9211</c:v>
                </c:pt>
                <c:pt idx="96">
                  <c:v>0.9306</c:v>
                </c:pt>
                <c:pt idx="97">
                  <c:v>0.9095</c:v>
                </c:pt>
                <c:pt idx="98">
                  <c:v>0.9588</c:v>
                </c:pt>
                <c:pt idx="99">
                  <c:v>0.9785</c:v>
                </c:pt>
                <c:pt idx="100">
                  <c:v>1.0051</c:v>
                </c:pt>
                <c:pt idx="101">
                  <c:v>1.0005</c:v>
                </c:pt>
              </c:numCache>
            </c:numRef>
          </c:yVal>
          <c:smooth val="0"/>
        </c:ser>
        <c:axId val="64829314"/>
        <c:axId val="62437507"/>
      </c:scatterChart>
      <c:valAx>
        <c:axId val="64829314"/>
        <c:scaling>
          <c:orientation val="minMax"/>
          <c:max val="0"/>
          <c:min val="-4"/>
        </c:scaling>
        <c:delete val="0"/>
        <c:axPos val="b"/>
        <c:title>
          <c:tx>
            <c:rich>
              <a:bodyPr rot="0"/>
              <a:lstStyle/>
              <a:p>
                <a:pPr>
                  <a:defRPr b="1" lang="fr-FR" sz="1800" spc="-1" strike="noStrike">
                    <a:solidFill>
                      <a:srgbClr val="000000"/>
                    </a:solidFill>
                    <a:latin typeface="Calibri"/>
                  </a:defRPr>
                </a:pPr>
                <a:r>
                  <a:rPr b="1" lang="fr-FR" sz="1800" spc="-1" strike="noStrike">
                    <a:solidFill>
                      <a:srgbClr val="000000"/>
                    </a:solidFill>
                    <a:latin typeface="Calibri"/>
                  </a:rPr>
                  <a:t>Soil water potential, MPA</a:t>
                </a:r>
              </a:p>
            </c:rich>
          </c:tx>
          <c:overlay val="0"/>
          <c:spPr>
            <a:noFill/>
            <a:ln w="0">
              <a:noFill/>
            </a:ln>
          </c:spPr>
        </c:title>
        <c:numFmt formatCode="General" sourceLinked="0"/>
        <c:majorTickMark val="in"/>
        <c:minorTickMark val="none"/>
        <c:tickLblPos val="nextTo"/>
        <c:spPr>
          <a:ln w="9360">
            <a:solidFill>
              <a:srgbClr val="bfbfbf"/>
            </a:solidFill>
            <a:round/>
          </a:ln>
        </c:spPr>
        <c:txPr>
          <a:bodyPr/>
          <a:lstStyle/>
          <a:p>
            <a:pPr>
              <a:defRPr b="0" sz="1400" spc="-1" strike="noStrike">
                <a:solidFill>
                  <a:srgbClr val="000000"/>
                </a:solidFill>
                <a:latin typeface="Calibri"/>
              </a:defRPr>
            </a:pPr>
          </a:p>
        </c:txPr>
        <c:crossAx val="62437507"/>
        <c:crosses val="autoZero"/>
        <c:crossBetween val="midCat"/>
      </c:valAx>
      <c:valAx>
        <c:axId val="62437507"/>
        <c:scaling>
          <c:orientation val="minMax"/>
        </c:scaling>
        <c:delete val="0"/>
        <c:axPos val="l"/>
        <c:title>
          <c:tx>
            <c:rich>
              <a:bodyPr rot="-5400000"/>
              <a:lstStyle/>
              <a:p>
                <a:pPr>
                  <a:defRPr b="1" lang="fr-FR" sz="1400" spc="-1" strike="noStrike">
                    <a:solidFill>
                      <a:srgbClr val="000000"/>
                    </a:solidFill>
                    <a:latin typeface="Calibri"/>
                  </a:defRPr>
                </a:pPr>
                <a:r>
                  <a:rPr b="1" lang="fr-FR" sz="1400" spc="-1" strike="noStrike">
                    <a:solidFill>
                      <a:srgbClr val="000000"/>
                    </a:solidFill>
                    <a:latin typeface="Calibri"/>
                  </a:rPr>
                  <a:t>REW</a:t>
                </a:r>
              </a:p>
            </c:rich>
          </c:tx>
          <c:layout>
            <c:manualLayout>
              <c:xMode val="edge"/>
              <c:yMode val="edge"/>
              <c:x val="0.941400666984278"/>
              <c:y val="0.494031547534461"/>
            </c:manualLayout>
          </c:layout>
          <c:overlay val="0"/>
          <c:spPr>
            <a:noFill/>
            <a:ln w="0">
              <a:noFill/>
            </a:ln>
          </c:spPr>
        </c:title>
        <c:numFmt formatCode="General" sourceLinked="0"/>
        <c:majorTickMark val="in"/>
        <c:minorTickMark val="none"/>
        <c:tickLblPos val="high"/>
        <c:spPr>
          <a:ln w="9360">
            <a:solidFill>
              <a:srgbClr val="bfbfbf"/>
            </a:solidFill>
            <a:round/>
          </a:ln>
        </c:spPr>
        <c:txPr>
          <a:bodyPr/>
          <a:lstStyle/>
          <a:p>
            <a:pPr>
              <a:defRPr b="0" sz="1400" spc="-1" strike="noStrike">
                <a:solidFill>
                  <a:srgbClr val="000000"/>
                </a:solidFill>
                <a:latin typeface="Calibri"/>
              </a:defRPr>
            </a:pPr>
          </a:p>
        </c:txPr>
        <c:crossAx val="64829314"/>
        <c:crosses val="autoZero"/>
        <c:crossBetween val="midCat"/>
      </c:valAx>
      <c:spPr>
        <a:noFill/>
        <a:ln w="0">
          <a:noFill/>
        </a:ln>
      </c:spPr>
    </c:plotArea>
    <c:legend>
      <c:legendPos val="t"/>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layout>
        <c:manualLayout>
          <c:xMode val="edge"/>
          <c:yMode val="edge"/>
          <c:x val="0.138896029968049"/>
          <c:y val="0.0633464153446465"/>
        </c:manualLayout>
      </c:layout>
      <c:overlay val="0"/>
      <c:spPr>
        <a:noFill/>
        <a:ln w="0">
          <a:noFill/>
        </a:ln>
      </c:spPr>
    </c:title>
    <c:autoTitleDeleted val="0"/>
    <c:plotArea>
      <c:scatterChart>
        <c:scatterStyle val="lineMarker"/>
        <c:varyColors val="0"/>
        <c:ser>
          <c:idx val="0"/>
          <c:order val="0"/>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Genutchen'!$BM$4:$BM$55</c:f>
              <c:numCache>
                <c:formatCode>General</c:formatCode>
                <c:ptCount val="52"/>
                <c:pt idx="0">
                  <c:v>0.144373943391461</c:v>
                </c:pt>
                <c:pt idx="1">
                  <c:v>0.141274850564243</c:v>
                </c:pt>
                <c:pt idx="2">
                  <c:v>0.145769337060211</c:v>
                </c:pt>
                <c:pt idx="3">
                  <c:v>0.0517964342212488</c:v>
                </c:pt>
                <c:pt idx="4">
                  <c:v>0.00154528914915198</c:v>
                </c:pt>
                <c:pt idx="5">
                  <c:v>0.0884862844173628</c:v>
                </c:pt>
                <c:pt idx="6">
                  <c:v>0.11901232357086</c:v>
                </c:pt>
                <c:pt idx="7">
                  <c:v>0.106283037840117</c:v>
                </c:pt>
                <c:pt idx="8">
                  <c:v>0.216216617986171</c:v>
                </c:pt>
                <c:pt idx="9">
                  <c:v>0.21000225890898</c:v>
                </c:pt>
                <c:pt idx="10">
                  <c:v>0.148326225062608</c:v>
                </c:pt>
                <c:pt idx="11">
                  <c:v>0.185113000464178</c:v>
                </c:pt>
                <c:pt idx="12">
                  <c:v>0</c:v>
                </c:pt>
                <c:pt idx="13">
                  <c:v>0.000578895416966214</c:v>
                </c:pt>
                <c:pt idx="14">
                  <c:v>0.00302953778086016</c:v>
                </c:pt>
                <c:pt idx="15">
                  <c:v>0.0191857291809167</c:v>
                </c:pt>
                <c:pt idx="16">
                  <c:v>0.0773080233405656</c:v>
                </c:pt>
                <c:pt idx="17">
                  <c:v>0.169255152232123</c:v>
                </c:pt>
                <c:pt idx="18">
                  <c:v>0.13712405301168</c:v>
                </c:pt>
                <c:pt idx="19">
                  <c:v>0.0585926437036583</c:v>
                </c:pt>
                <c:pt idx="20">
                  <c:v>0.121010591359902</c:v>
                </c:pt>
                <c:pt idx="21">
                  <c:v>0.142954960034464</c:v>
                </c:pt>
                <c:pt idx="22">
                  <c:v>0.0977603267405346</c:v>
                </c:pt>
                <c:pt idx="23">
                  <c:v>0.0714371026040293</c:v>
                </c:pt>
                <c:pt idx="24">
                  <c:v>0.0772564271835877</c:v>
                </c:pt>
                <c:pt idx="25">
                  <c:v>0</c:v>
                </c:pt>
                <c:pt idx="26">
                  <c:v>0.233166961488578</c:v>
                </c:pt>
                <c:pt idx="27">
                  <c:v>0.157364413541725</c:v>
                </c:pt>
                <c:pt idx="28">
                  <c:v>0.094856973137011</c:v>
                </c:pt>
                <c:pt idx="29">
                  <c:v>0.143330047193182</c:v>
                </c:pt>
                <c:pt idx="30">
                  <c:v>0.2280401963457</c:v>
                </c:pt>
                <c:pt idx="31">
                  <c:v>0.103468959937609</c:v>
                </c:pt>
                <c:pt idx="32">
                  <c:v>0.138320245712279</c:v>
                </c:pt>
                <c:pt idx="33">
                  <c:v>0.0891809582946126</c:v>
                </c:pt>
                <c:pt idx="34">
                  <c:v>0.0881221702656653</c:v>
                </c:pt>
                <c:pt idx="36">
                  <c:v>0.00893049554980949</c:v>
                </c:pt>
                <c:pt idx="37">
                  <c:v>0.0373671831038642</c:v>
                </c:pt>
                <c:pt idx="38">
                  <c:v>0.0740116082809892</c:v>
                </c:pt>
                <c:pt idx="39">
                  <c:v>0.113996343886232</c:v>
                </c:pt>
                <c:pt idx="40">
                  <c:v>0.10383549062526</c:v>
                </c:pt>
                <c:pt idx="41">
                  <c:v>0.0448097740050715</c:v>
                </c:pt>
                <c:pt idx="42">
                  <c:v>0.0773716525392661</c:v>
                </c:pt>
                <c:pt idx="43">
                  <c:v>0.0841654688539927</c:v>
                </c:pt>
                <c:pt idx="44">
                  <c:v>0.0884767674883199</c:v>
                </c:pt>
                <c:pt idx="45">
                  <c:v>0.06650075382029</c:v>
                </c:pt>
                <c:pt idx="46">
                  <c:v>0.0589414958607216</c:v>
                </c:pt>
                <c:pt idx="48">
                  <c:v>0.16395839061373</c:v>
                </c:pt>
                <c:pt idx="49">
                  <c:v>0.0725752981928364</c:v>
                </c:pt>
                <c:pt idx="50">
                  <c:v>1.1885777362608E-005</c:v>
                </c:pt>
                <c:pt idx="51">
                  <c:v>0.0128993471634111</c:v>
                </c:pt>
              </c:numCache>
            </c:numRef>
          </c:xVal>
          <c:yVal>
            <c:numRef>
              <c:f>'van Genutchen'!$AU$4:$AU$53</c:f>
              <c:numCache>
                <c:formatCode>General</c:formatCode>
                <c:ptCount val="50"/>
                <c:pt idx="0">
                  <c:v>1.253</c:v>
                </c:pt>
                <c:pt idx="1">
                  <c:v>1.416</c:v>
                </c:pt>
                <c:pt idx="2">
                  <c:v>1.472</c:v>
                </c:pt>
                <c:pt idx="3">
                  <c:v>1.746</c:v>
                </c:pt>
                <c:pt idx="4">
                  <c:v>3.177</c:v>
                </c:pt>
                <c:pt idx="5">
                  <c:v>1.208</c:v>
                </c:pt>
                <c:pt idx="6">
                  <c:v>1.33</c:v>
                </c:pt>
                <c:pt idx="7">
                  <c:v>1.449</c:v>
                </c:pt>
                <c:pt idx="8">
                  <c:v>1.679</c:v>
                </c:pt>
                <c:pt idx="9">
                  <c:v>1.661</c:v>
                </c:pt>
                <c:pt idx="10">
                  <c:v>1.321</c:v>
                </c:pt>
                <c:pt idx="11">
                  <c:v>1.521</c:v>
                </c:pt>
                <c:pt idx="13">
                  <c:v>2.68</c:v>
                </c:pt>
                <c:pt idx="14">
                  <c:v>2.28</c:v>
                </c:pt>
                <c:pt idx="15">
                  <c:v>1.89</c:v>
                </c:pt>
                <c:pt idx="16">
                  <c:v>1.56</c:v>
                </c:pt>
                <c:pt idx="17">
                  <c:v>1.37</c:v>
                </c:pt>
                <c:pt idx="18">
                  <c:v>1.41</c:v>
                </c:pt>
                <c:pt idx="19">
                  <c:v>1.48</c:v>
                </c:pt>
                <c:pt idx="20">
                  <c:v>1.31</c:v>
                </c:pt>
                <c:pt idx="21">
                  <c:v>1.23</c:v>
                </c:pt>
                <c:pt idx="22">
                  <c:v>1.23</c:v>
                </c:pt>
                <c:pt idx="23">
                  <c:v>1.09</c:v>
                </c:pt>
                <c:pt idx="24">
                  <c:v>1.09</c:v>
                </c:pt>
                <c:pt idx="26">
                  <c:v>1.536</c:v>
                </c:pt>
                <c:pt idx="27">
                  <c:v>1.373</c:v>
                </c:pt>
                <c:pt idx="28">
                  <c:v>1.15</c:v>
                </c:pt>
                <c:pt idx="29">
                  <c:v>1.287</c:v>
                </c:pt>
                <c:pt idx="30">
                  <c:v>1.33</c:v>
                </c:pt>
                <c:pt idx="31">
                  <c:v>1.151</c:v>
                </c:pt>
                <c:pt idx="32">
                  <c:v>1.23</c:v>
                </c:pt>
                <c:pt idx="33">
                  <c:v>1.179</c:v>
                </c:pt>
                <c:pt idx="34">
                  <c:v>1.129</c:v>
                </c:pt>
                <c:pt idx="36">
                  <c:v>2.474</c:v>
                </c:pt>
                <c:pt idx="37">
                  <c:v>1.672</c:v>
                </c:pt>
                <c:pt idx="38">
                  <c:v>1.553</c:v>
                </c:pt>
                <c:pt idx="39">
                  <c:v>1.461</c:v>
                </c:pt>
                <c:pt idx="40">
                  <c:v>1.644</c:v>
                </c:pt>
                <c:pt idx="41">
                  <c:v>1.535</c:v>
                </c:pt>
                <c:pt idx="42">
                  <c:v>1.437</c:v>
                </c:pt>
                <c:pt idx="43">
                  <c:v>1.513</c:v>
                </c:pt>
                <c:pt idx="44">
                  <c:v>1.466</c:v>
                </c:pt>
                <c:pt idx="45">
                  <c:v>1.396</c:v>
                </c:pt>
                <c:pt idx="46">
                  <c:v>1.514</c:v>
                </c:pt>
                <c:pt idx="48">
                  <c:v>1.17</c:v>
                </c:pt>
                <c:pt idx="49">
                  <c:v>2.03</c:v>
                </c:pt>
              </c:numCache>
            </c:numRef>
          </c:yVal>
          <c:smooth val="0"/>
        </c:ser>
        <c:ser>
          <c:idx val="1"/>
          <c:order val="1"/>
          <c:spPr>
            <a:solidFill>
              <a:srgbClr val="99ccff"/>
            </a:solidFill>
            <a:ln w="28440">
              <a:noFill/>
            </a:ln>
          </c:spPr>
          <c:marker>
            <c:symbol val="square"/>
            <c:size val="7"/>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Genutchen'!$BM$4:$BM$55</c:f>
              <c:numCache>
                <c:formatCode>General</c:formatCode>
                <c:ptCount val="52"/>
                <c:pt idx="0">
                  <c:v>0.144373943391461</c:v>
                </c:pt>
                <c:pt idx="1">
                  <c:v>0.141274850564243</c:v>
                </c:pt>
                <c:pt idx="2">
                  <c:v>0.145769337060211</c:v>
                </c:pt>
                <c:pt idx="3">
                  <c:v>0.0517964342212488</c:v>
                </c:pt>
                <c:pt idx="4">
                  <c:v>0.00154528914915198</c:v>
                </c:pt>
                <c:pt idx="5">
                  <c:v>0.0884862844173628</c:v>
                </c:pt>
                <c:pt idx="6">
                  <c:v>0.11901232357086</c:v>
                </c:pt>
                <c:pt idx="7">
                  <c:v>0.106283037840117</c:v>
                </c:pt>
                <c:pt idx="8">
                  <c:v>0.216216617986171</c:v>
                </c:pt>
                <c:pt idx="9">
                  <c:v>0.21000225890898</c:v>
                </c:pt>
                <c:pt idx="10">
                  <c:v>0.148326225062608</c:v>
                </c:pt>
                <c:pt idx="11">
                  <c:v>0.185113000464178</c:v>
                </c:pt>
                <c:pt idx="12">
                  <c:v>0</c:v>
                </c:pt>
                <c:pt idx="13">
                  <c:v>0.000578895416966214</c:v>
                </c:pt>
                <c:pt idx="14">
                  <c:v>0.00302953778086016</c:v>
                </c:pt>
                <c:pt idx="15">
                  <c:v>0.0191857291809167</c:v>
                </c:pt>
                <c:pt idx="16">
                  <c:v>0.0773080233405656</c:v>
                </c:pt>
                <c:pt idx="17">
                  <c:v>0.169255152232123</c:v>
                </c:pt>
                <c:pt idx="18">
                  <c:v>0.13712405301168</c:v>
                </c:pt>
                <c:pt idx="19">
                  <c:v>0.0585926437036583</c:v>
                </c:pt>
                <c:pt idx="20">
                  <c:v>0.121010591359902</c:v>
                </c:pt>
                <c:pt idx="21">
                  <c:v>0.142954960034464</c:v>
                </c:pt>
                <c:pt idx="22">
                  <c:v>0.0977603267405346</c:v>
                </c:pt>
                <c:pt idx="23">
                  <c:v>0.0714371026040293</c:v>
                </c:pt>
                <c:pt idx="24">
                  <c:v>0.0772564271835877</c:v>
                </c:pt>
                <c:pt idx="25">
                  <c:v>0</c:v>
                </c:pt>
                <c:pt idx="26">
                  <c:v>0.233166961488578</c:v>
                </c:pt>
                <c:pt idx="27">
                  <c:v>0.157364413541725</c:v>
                </c:pt>
                <c:pt idx="28">
                  <c:v>0.094856973137011</c:v>
                </c:pt>
                <c:pt idx="29">
                  <c:v>0.143330047193182</c:v>
                </c:pt>
                <c:pt idx="30">
                  <c:v>0.2280401963457</c:v>
                </c:pt>
                <c:pt idx="31">
                  <c:v>0.103468959937609</c:v>
                </c:pt>
                <c:pt idx="32">
                  <c:v>0.138320245712279</c:v>
                </c:pt>
                <c:pt idx="33">
                  <c:v>0.0891809582946126</c:v>
                </c:pt>
                <c:pt idx="34">
                  <c:v>0.0881221702656653</c:v>
                </c:pt>
                <c:pt idx="36">
                  <c:v>0.00893049554980949</c:v>
                </c:pt>
                <c:pt idx="37">
                  <c:v>0.0373671831038642</c:v>
                </c:pt>
                <c:pt idx="38">
                  <c:v>0.0740116082809892</c:v>
                </c:pt>
                <c:pt idx="39">
                  <c:v>0.113996343886232</c:v>
                </c:pt>
                <c:pt idx="40">
                  <c:v>0.10383549062526</c:v>
                </c:pt>
                <c:pt idx="41">
                  <c:v>0.0448097740050715</c:v>
                </c:pt>
                <c:pt idx="42">
                  <c:v>0.0773716525392661</c:v>
                </c:pt>
                <c:pt idx="43">
                  <c:v>0.0841654688539927</c:v>
                </c:pt>
                <c:pt idx="44">
                  <c:v>0.0884767674883199</c:v>
                </c:pt>
                <c:pt idx="45">
                  <c:v>0.06650075382029</c:v>
                </c:pt>
                <c:pt idx="46">
                  <c:v>0.0589414958607216</c:v>
                </c:pt>
                <c:pt idx="48">
                  <c:v>0.16395839061373</c:v>
                </c:pt>
                <c:pt idx="49">
                  <c:v>0.0725752981928364</c:v>
                </c:pt>
                <c:pt idx="50">
                  <c:v>1.1885777362608E-005</c:v>
                </c:pt>
                <c:pt idx="51">
                  <c:v>0.0128993471634111</c:v>
                </c:pt>
              </c:numCache>
            </c:numRef>
          </c:xVal>
          <c:yVal>
            <c:numRef>
              <c:f>'van Genutchen'!$BS$4:$BS$53</c:f>
              <c:numCache>
                <c:formatCode>General</c:formatCode>
                <c:ptCount val="50"/>
                <c:pt idx="0">
                  <c:v>1.4222856264395</c:v>
                </c:pt>
                <c:pt idx="1">
                  <c:v>1.42477437954854</c:v>
                </c:pt>
                <c:pt idx="2">
                  <c:v>1.42119717003525</c:v>
                </c:pt>
                <c:pt idx="3">
                  <c:v>1.60256495031323</c:v>
                </c:pt>
                <c:pt idx="4">
                  <c:v>2.81451272060033</c:v>
                </c:pt>
                <c:pt idx="5">
                  <c:v>1.49098109966889</c:v>
                </c:pt>
                <c:pt idx="6">
                  <c:v>1.44613999256497</c:v>
                </c:pt>
                <c:pt idx="7">
                  <c:v>1.46200126079528</c:v>
                </c:pt>
                <c:pt idx="8">
                  <c:v>1.38362064433666</c:v>
                </c:pt>
                <c:pt idx="9">
                  <c:v>1.38597197193276</c:v>
                </c:pt>
                <c:pt idx="10">
                  <c:v>1.41925218207193</c:v>
                </c:pt>
                <c:pt idx="11">
                  <c:v>1.39688291931197</c:v>
                </c:pt>
                <c:pt idx="13">
                  <c:v>2.94091645323611</c:v>
                </c:pt>
                <c:pt idx="14">
                  <c:v>2.65428552934373</c:v>
                </c:pt>
                <c:pt idx="15">
                  <c:v>1.92943650909092</c:v>
                </c:pt>
                <c:pt idx="16">
                  <c:v>1.51515598788488</c:v>
                </c:pt>
                <c:pt idx="17">
                  <c:v>1.40540614104352</c:v>
                </c:pt>
                <c:pt idx="18">
                  <c:v>1.42827086225153</c:v>
                </c:pt>
                <c:pt idx="19">
                  <c:v>1.57301736202042</c:v>
                </c:pt>
                <c:pt idx="20">
                  <c:v>1.44392784551809</c:v>
                </c:pt>
                <c:pt idx="21">
                  <c:v>1.42341271756199</c:v>
                </c:pt>
                <c:pt idx="22">
                  <c:v>1.47469605479696</c:v>
                </c:pt>
                <c:pt idx="23">
                  <c:v>1.53047874561122</c:v>
                </c:pt>
                <c:pt idx="24">
                  <c:v>1.51528177160941</c:v>
                </c:pt>
                <c:pt idx="26">
                  <c:v>1.37781560569934</c:v>
                </c:pt>
                <c:pt idx="27">
                  <c:v>1.41285045099683</c:v>
                </c:pt>
                <c:pt idx="28">
                  <c:v>1.47948746725838</c:v>
                </c:pt>
                <c:pt idx="29">
                  <c:v>1.42311277256474</c:v>
                </c:pt>
                <c:pt idx="30">
                  <c:v>1.379484539799</c:v>
                </c:pt>
                <c:pt idx="31">
                  <c:v>1.46598386156698</c:v>
                </c:pt>
                <c:pt idx="32">
                  <c:v>1.42724329450013</c:v>
                </c:pt>
                <c:pt idx="33">
                  <c:v>1.48965680028858</c:v>
                </c:pt>
                <c:pt idx="34">
                  <c:v>1.49168264727333</c:v>
                </c:pt>
                <c:pt idx="36">
                  <c:v>2.25331297470833</c:v>
                </c:pt>
                <c:pt idx="37">
                  <c:v>1.69282833484843</c:v>
                </c:pt>
                <c:pt idx="38">
                  <c:v>1.52349888896584</c:v>
                </c:pt>
                <c:pt idx="39">
                  <c:v>1.45200444596438</c:v>
                </c:pt>
                <c:pt idx="40">
                  <c:v>1.46545407605739</c:v>
                </c:pt>
                <c:pt idx="41">
                  <c:v>1.64044215979576</c:v>
                </c:pt>
                <c:pt idx="42">
                  <c:v>1.51500107165652</c:v>
                </c:pt>
                <c:pt idx="43">
                  <c:v>1.49965225022062</c:v>
                </c:pt>
                <c:pt idx="44">
                  <c:v>1.49099937080516</c:v>
                </c:pt>
                <c:pt idx="45">
                  <c:v>1.54515890573216</c:v>
                </c:pt>
                <c:pt idx="46">
                  <c:v>1.57165561396965</c:v>
                </c:pt>
                <c:pt idx="48">
                  <c:v>1.40859724951373</c:v>
                </c:pt>
                <c:pt idx="49">
                  <c:v>1.52733990079414</c:v>
                </c:pt>
              </c:numCache>
            </c:numRef>
          </c:yVal>
          <c:smooth val="0"/>
        </c:ser>
        <c:axId val="96108434"/>
        <c:axId val="8434691"/>
      </c:scatterChart>
      <c:valAx>
        <c:axId val="96108434"/>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434691"/>
        <c:crosses val="autoZero"/>
        <c:crossBetween val="midCat"/>
      </c:valAx>
      <c:valAx>
        <c:axId val="8434691"/>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6108434"/>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Genutchen'!$AT$4:$AT$53</c:f>
              <c:numCache>
                <c:formatCode>General</c:formatCode>
                <c:ptCount val="50"/>
                <c:pt idx="0">
                  <c:v>0.015</c:v>
                </c:pt>
                <c:pt idx="1">
                  <c:v>0.0158</c:v>
                </c:pt>
                <c:pt idx="2">
                  <c:v>0.0111</c:v>
                </c:pt>
                <c:pt idx="3">
                  <c:v>0.0348</c:v>
                </c:pt>
                <c:pt idx="4">
                  <c:v>0.0352</c:v>
                </c:pt>
                <c:pt idx="5">
                  <c:v>0.0334</c:v>
                </c:pt>
                <c:pt idx="6">
                  <c:v>0.0211</c:v>
                </c:pt>
                <c:pt idx="7">
                  <c:v>0.0267</c:v>
                </c:pt>
                <c:pt idx="8">
                  <c:v>0.0066</c:v>
                </c:pt>
                <c:pt idx="9">
                  <c:v>0.0051</c:v>
                </c:pt>
                <c:pt idx="10">
                  <c:v>0.0162</c:v>
                </c:pt>
                <c:pt idx="11">
                  <c:v>0.0084</c:v>
                </c:pt>
                <c:pt idx="13">
                  <c:v>0.145</c:v>
                </c:pt>
                <c:pt idx="14">
                  <c:v>0.124</c:v>
                </c:pt>
                <c:pt idx="15">
                  <c:v>0.075</c:v>
                </c:pt>
                <c:pt idx="16">
                  <c:v>0.036</c:v>
                </c:pt>
                <c:pt idx="17">
                  <c:v>0.016</c:v>
                </c:pt>
                <c:pt idx="18">
                  <c:v>0.02</c:v>
                </c:pt>
                <c:pt idx="19">
                  <c:v>0.059</c:v>
                </c:pt>
                <c:pt idx="20">
                  <c:v>0.019</c:v>
                </c:pt>
                <c:pt idx="21">
                  <c:v>0.01</c:v>
                </c:pt>
                <c:pt idx="22">
                  <c:v>0.027</c:v>
                </c:pt>
                <c:pt idx="23">
                  <c:v>0.005</c:v>
                </c:pt>
                <c:pt idx="24">
                  <c:v>0.008</c:v>
                </c:pt>
                <c:pt idx="26">
                  <c:v>0.009</c:v>
                </c:pt>
                <c:pt idx="27">
                  <c:v>0.013</c:v>
                </c:pt>
                <c:pt idx="28">
                  <c:v>0.034</c:v>
                </c:pt>
                <c:pt idx="29">
                  <c:v>0.028</c:v>
                </c:pt>
                <c:pt idx="30">
                  <c:v>0.01</c:v>
                </c:pt>
                <c:pt idx="31">
                  <c:v>0.048</c:v>
                </c:pt>
                <c:pt idx="32">
                  <c:v>0.025</c:v>
                </c:pt>
                <c:pt idx="33">
                  <c:v>0.098</c:v>
                </c:pt>
                <c:pt idx="34">
                  <c:v>0.072</c:v>
                </c:pt>
                <c:pt idx="36">
                  <c:v>0.038</c:v>
                </c:pt>
                <c:pt idx="37">
                  <c:v>0.0837</c:v>
                </c:pt>
                <c:pt idx="38">
                  <c:v>0.0396</c:v>
                </c:pt>
                <c:pt idx="39">
                  <c:v>0.0246</c:v>
                </c:pt>
                <c:pt idx="40">
                  <c:v>0.0191</c:v>
                </c:pt>
                <c:pt idx="41">
                  <c:v>0.0644</c:v>
                </c:pt>
                <c:pt idx="42">
                  <c:v>0.0392</c:v>
                </c:pt>
                <c:pt idx="43">
                  <c:v>0.0298</c:v>
                </c:pt>
                <c:pt idx="44">
                  <c:v>0.0258</c:v>
                </c:pt>
                <c:pt idx="45">
                  <c:v>0.0509</c:v>
                </c:pt>
                <c:pt idx="46">
                  <c:v>0.0463</c:v>
                </c:pt>
                <c:pt idx="48">
                  <c:v>0.00152</c:v>
                </c:pt>
                <c:pt idx="49">
                  <c:v>0.0115</c:v>
                </c:pt>
              </c:numCache>
            </c:numRef>
          </c:xVal>
          <c:yVal>
            <c:numRef>
              <c:f>'van Genutchen'!$BM$4:$BM$53</c:f>
              <c:numCache>
                <c:formatCode>General</c:formatCode>
                <c:ptCount val="50"/>
                <c:pt idx="0">
                  <c:v>0.144373943391461</c:v>
                </c:pt>
                <c:pt idx="1">
                  <c:v>0.141274850564243</c:v>
                </c:pt>
                <c:pt idx="2">
                  <c:v>0.145769337060211</c:v>
                </c:pt>
                <c:pt idx="3">
                  <c:v>0.0517964342212488</c:v>
                </c:pt>
                <c:pt idx="4">
                  <c:v>0.00154528914915198</c:v>
                </c:pt>
                <c:pt idx="5">
                  <c:v>0.0884862844173628</c:v>
                </c:pt>
                <c:pt idx="6">
                  <c:v>0.11901232357086</c:v>
                </c:pt>
                <c:pt idx="7">
                  <c:v>0.106283037840117</c:v>
                </c:pt>
                <c:pt idx="8">
                  <c:v>0.216216617986171</c:v>
                </c:pt>
                <c:pt idx="9">
                  <c:v>0.21000225890898</c:v>
                </c:pt>
                <c:pt idx="10">
                  <c:v>0.148326225062608</c:v>
                </c:pt>
                <c:pt idx="11">
                  <c:v>0.185113000464178</c:v>
                </c:pt>
                <c:pt idx="12">
                  <c:v>0</c:v>
                </c:pt>
                <c:pt idx="13">
                  <c:v>0.000578895416966214</c:v>
                </c:pt>
                <c:pt idx="14">
                  <c:v>0.00302953778086016</c:v>
                </c:pt>
                <c:pt idx="15">
                  <c:v>0.0191857291809167</c:v>
                </c:pt>
                <c:pt idx="16">
                  <c:v>0.0773080233405656</c:v>
                </c:pt>
                <c:pt idx="17">
                  <c:v>0.169255152232123</c:v>
                </c:pt>
                <c:pt idx="18">
                  <c:v>0.13712405301168</c:v>
                </c:pt>
                <c:pt idx="19">
                  <c:v>0.0585926437036583</c:v>
                </c:pt>
                <c:pt idx="20">
                  <c:v>0.121010591359902</c:v>
                </c:pt>
                <c:pt idx="21">
                  <c:v>0.142954960034464</c:v>
                </c:pt>
                <c:pt idx="22">
                  <c:v>0.0977603267405346</c:v>
                </c:pt>
                <c:pt idx="23">
                  <c:v>0.0714371026040293</c:v>
                </c:pt>
                <c:pt idx="24">
                  <c:v>0.0772564271835877</c:v>
                </c:pt>
                <c:pt idx="25">
                  <c:v>0</c:v>
                </c:pt>
                <c:pt idx="26">
                  <c:v>0.233166961488578</c:v>
                </c:pt>
                <c:pt idx="27">
                  <c:v>0.157364413541725</c:v>
                </c:pt>
                <c:pt idx="28">
                  <c:v>0.094856973137011</c:v>
                </c:pt>
                <c:pt idx="29">
                  <c:v>0.143330047193182</c:v>
                </c:pt>
                <c:pt idx="30">
                  <c:v>0.2280401963457</c:v>
                </c:pt>
                <c:pt idx="31">
                  <c:v>0.103468959937609</c:v>
                </c:pt>
                <c:pt idx="32">
                  <c:v>0.138320245712279</c:v>
                </c:pt>
                <c:pt idx="33">
                  <c:v>0.0891809582946126</c:v>
                </c:pt>
                <c:pt idx="34">
                  <c:v>0.0881221702656653</c:v>
                </c:pt>
                <c:pt idx="36">
                  <c:v>0.00893049554980949</c:v>
                </c:pt>
                <c:pt idx="37">
                  <c:v>0.0373671831038642</c:v>
                </c:pt>
                <c:pt idx="38">
                  <c:v>0.0740116082809892</c:v>
                </c:pt>
                <c:pt idx="39">
                  <c:v>0.113996343886232</c:v>
                </c:pt>
                <c:pt idx="40">
                  <c:v>0.10383549062526</c:v>
                </c:pt>
                <c:pt idx="41">
                  <c:v>0.0448097740050715</c:v>
                </c:pt>
                <c:pt idx="42">
                  <c:v>0.0773716525392661</c:v>
                </c:pt>
                <c:pt idx="43">
                  <c:v>0.0841654688539927</c:v>
                </c:pt>
                <c:pt idx="44">
                  <c:v>0.0884767674883199</c:v>
                </c:pt>
                <c:pt idx="45">
                  <c:v>0.06650075382029</c:v>
                </c:pt>
                <c:pt idx="46">
                  <c:v>0.0589414958607216</c:v>
                </c:pt>
                <c:pt idx="48">
                  <c:v>0.16395839061373</c:v>
                </c:pt>
                <c:pt idx="49">
                  <c:v>0.0725752981928364</c:v>
                </c:pt>
              </c:numCache>
            </c:numRef>
          </c:yVal>
          <c:smooth val="0"/>
        </c:ser>
        <c:ser>
          <c:idx val="1"/>
          <c:order val="1"/>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Genutchen'!$BP$4:$BP$53</c:f>
              <c:numCache>
                <c:formatCode>General</c:formatCode>
                <c:ptCount val="50"/>
                <c:pt idx="0">
                  <c:v>0.0211260317467438</c:v>
                </c:pt>
                <c:pt idx="1">
                  <c:v>0.0221242075966645</c:v>
                </c:pt>
                <c:pt idx="2">
                  <c:v>0.0206835703287051</c:v>
                </c:pt>
                <c:pt idx="3">
                  <c:v>0.0682799625976317</c:v>
                </c:pt>
                <c:pt idx="4">
                  <c:v>0.229837034791067</c:v>
                </c:pt>
                <c:pt idx="5">
                  <c:v>0.0436457549964219</c:v>
                </c:pt>
                <c:pt idx="6">
                  <c:v>0.0300122986634221</c:v>
                </c:pt>
                <c:pt idx="7">
                  <c:v>0.0352158804561283</c:v>
                </c:pt>
                <c:pt idx="8">
                  <c:v>0.00254782758788341</c:v>
                </c:pt>
                <c:pt idx="9">
                  <c:v>0.00388930161420216</c:v>
                </c:pt>
                <c:pt idx="10">
                  <c:v>0.0198836955476904</c:v>
                </c:pt>
                <c:pt idx="11">
                  <c:v>0.0096922860445051</c:v>
                </c:pt>
                <c:pt idx="13">
                  <c:v>0.275001881290552</c:v>
                </c:pt>
                <c:pt idx="14">
                  <c:v>0.198869880058743</c:v>
                </c:pt>
                <c:pt idx="15">
                  <c:v>0.113965073214399</c:v>
                </c:pt>
                <c:pt idx="16">
                  <c:v>0.0498580465613503</c:v>
                </c:pt>
                <c:pt idx="17">
                  <c:v>0.0138120046008004</c:v>
                </c:pt>
                <c:pt idx="18">
                  <c:v>0.023495986255917</c:v>
                </c:pt>
                <c:pt idx="19">
                  <c:v>0.0626087217199387</c:v>
                </c:pt>
                <c:pt idx="20">
                  <c:v>0.0292463514445393</c:v>
                </c:pt>
                <c:pt idx="21">
                  <c:v>0.0215803805038888</c:v>
                </c:pt>
                <c:pt idx="22">
                  <c:v>0.0390608762994408</c:v>
                </c:pt>
                <c:pt idx="23">
                  <c:v>0.0534911434133775</c:v>
                </c:pt>
                <c:pt idx="26">
                  <c:v>-0.000923976580485847</c:v>
                </c:pt>
                <c:pt idx="27">
                  <c:v>0.0171627886623177</c:v>
                </c:pt>
                <c:pt idx="28">
                  <c:v>0.0404477131179202</c:v>
                </c:pt>
                <c:pt idx="29">
                  <c:v>0.0214598431460941</c:v>
                </c:pt>
                <c:pt idx="30">
                  <c:v>9.87348270221206E-005</c:v>
                </c:pt>
                <c:pt idx="31">
                  <c:v>0.0364502463011026</c:v>
                </c:pt>
                <c:pt idx="32">
                  <c:v>0.0230964484153893</c:v>
                </c:pt>
                <c:pt idx="33">
                  <c:v>0.0432860357740309</c:v>
                </c:pt>
                <c:pt idx="34">
                  <c:v>0.0438354319259864</c:v>
                </c:pt>
                <c:pt idx="36">
                  <c:v>0.149141036074944</c:v>
                </c:pt>
                <c:pt idx="37">
                  <c:v>0.0833002711759473</c:v>
                </c:pt>
                <c:pt idx="38">
                  <c:v>0.0518625331532534</c:v>
                </c:pt>
                <c:pt idx="39">
                  <c:v>0.0319930895046653</c:v>
                </c:pt>
                <c:pt idx="40">
                  <c:v>0.0362875828449602</c:v>
                </c:pt>
                <c:pt idx="41">
                  <c:v>0.0749451337056321</c:v>
                </c:pt>
                <c:pt idx="42">
                  <c:v>0.0498202013397507</c:v>
                </c:pt>
                <c:pt idx="43">
                  <c:v>0.0459486453217953</c:v>
                </c:pt>
                <c:pt idx="44">
                  <c:v>0.0436507026816215</c:v>
                </c:pt>
                <c:pt idx="45">
                  <c:v>0.0567849318040914</c:v>
                </c:pt>
                <c:pt idx="46">
                  <c:v>0.0623356564402232</c:v>
                </c:pt>
                <c:pt idx="48">
                  <c:v>0.0152745595594817</c:v>
                </c:pt>
                <c:pt idx="49">
                  <c:v>0.0527640103749812</c:v>
                </c:pt>
              </c:numCache>
            </c:numRef>
          </c:xVal>
          <c:yVal>
            <c:numRef>
              <c:f>'van Genutchen'!$BM$4:$BM$53</c:f>
              <c:numCache>
                <c:formatCode>General</c:formatCode>
                <c:ptCount val="50"/>
                <c:pt idx="0">
                  <c:v>0.144373943391461</c:v>
                </c:pt>
                <c:pt idx="1">
                  <c:v>0.141274850564243</c:v>
                </c:pt>
                <c:pt idx="2">
                  <c:v>0.145769337060211</c:v>
                </c:pt>
                <c:pt idx="3">
                  <c:v>0.0517964342212488</c:v>
                </c:pt>
                <c:pt idx="4">
                  <c:v>0.00154528914915198</c:v>
                </c:pt>
                <c:pt idx="5">
                  <c:v>0.0884862844173628</c:v>
                </c:pt>
                <c:pt idx="6">
                  <c:v>0.11901232357086</c:v>
                </c:pt>
                <c:pt idx="7">
                  <c:v>0.106283037840117</c:v>
                </c:pt>
                <c:pt idx="8">
                  <c:v>0.216216617986171</c:v>
                </c:pt>
                <c:pt idx="9">
                  <c:v>0.21000225890898</c:v>
                </c:pt>
                <c:pt idx="10">
                  <c:v>0.148326225062608</c:v>
                </c:pt>
                <c:pt idx="11">
                  <c:v>0.185113000464178</c:v>
                </c:pt>
                <c:pt idx="12">
                  <c:v>0</c:v>
                </c:pt>
                <c:pt idx="13">
                  <c:v>0.000578895416966214</c:v>
                </c:pt>
                <c:pt idx="14">
                  <c:v>0.00302953778086016</c:v>
                </c:pt>
                <c:pt idx="15">
                  <c:v>0.0191857291809167</c:v>
                </c:pt>
                <c:pt idx="16">
                  <c:v>0.0773080233405656</c:v>
                </c:pt>
                <c:pt idx="17">
                  <c:v>0.169255152232123</c:v>
                </c:pt>
                <c:pt idx="18">
                  <c:v>0.13712405301168</c:v>
                </c:pt>
                <c:pt idx="19">
                  <c:v>0.0585926437036583</c:v>
                </c:pt>
                <c:pt idx="20">
                  <c:v>0.121010591359902</c:v>
                </c:pt>
                <c:pt idx="21">
                  <c:v>0.142954960034464</c:v>
                </c:pt>
                <c:pt idx="22">
                  <c:v>0.0977603267405346</c:v>
                </c:pt>
                <c:pt idx="23">
                  <c:v>0.0714371026040293</c:v>
                </c:pt>
                <c:pt idx="24">
                  <c:v>0.0772564271835877</c:v>
                </c:pt>
                <c:pt idx="25">
                  <c:v>0</c:v>
                </c:pt>
                <c:pt idx="26">
                  <c:v>0.233166961488578</c:v>
                </c:pt>
                <c:pt idx="27">
                  <c:v>0.157364413541725</c:v>
                </c:pt>
                <c:pt idx="28">
                  <c:v>0.094856973137011</c:v>
                </c:pt>
                <c:pt idx="29">
                  <c:v>0.143330047193182</c:v>
                </c:pt>
                <c:pt idx="30">
                  <c:v>0.2280401963457</c:v>
                </c:pt>
                <c:pt idx="31">
                  <c:v>0.103468959937609</c:v>
                </c:pt>
                <c:pt idx="32">
                  <c:v>0.138320245712279</c:v>
                </c:pt>
                <c:pt idx="33">
                  <c:v>0.0891809582946126</c:v>
                </c:pt>
                <c:pt idx="34">
                  <c:v>0.0881221702656653</c:v>
                </c:pt>
                <c:pt idx="36">
                  <c:v>0.00893049554980949</c:v>
                </c:pt>
                <c:pt idx="37">
                  <c:v>0.0373671831038642</c:v>
                </c:pt>
                <c:pt idx="38">
                  <c:v>0.0740116082809892</c:v>
                </c:pt>
                <c:pt idx="39">
                  <c:v>0.113996343886232</c:v>
                </c:pt>
                <c:pt idx="40">
                  <c:v>0.10383549062526</c:v>
                </c:pt>
                <c:pt idx="41">
                  <c:v>0.0448097740050715</c:v>
                </c:pt>
                <c:pt idx="42">
                  <c:v>0.0773716525392661</c:v>
                </c:pt>
                <c:pt idx="43">
                  <c:v>0.0841654688539927</c:v>
                </c:pt>
                <c:pt idx="44">
                  <c:v>0.0884767674883199</c:v>
                </c:pt>
                <c:pt idx="45">
                  <c:v>0.06650075382029</c:v>
                </c:pt>
                <c:pt idx="46">
                  <c:v>0.0589414958607216</c:v>
                </c:pt>
                <c:pt idx="48">
                  <c:v>0.16395839061373</c:v>
                </c:pt>
                <c:pt idx="49">
                  <c:v>0.0725752981928364</c:v>
                </c:pt>
              </c:numCache>
            </c:numRef>
          </c:yVal>
          <c:smooth val="0"/>
        </c:ser>
        <c:axId val="15977650"/>
        <c:axId val="47331875"/>
      </c:scatterChart>
      <c:valAx>
        <c:axId val="15977650"/>
        <c:scaling>
          <c:orientation val="minMax"/>
          <c:max val="0.15"/>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7331875"/>
        <c:crosses val="autoZero"/>
        <c:crossBetween val="midCat"/>
      </c:valAx>
      <c:valAx>
        <c:axId val="4733187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597765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Genutchen'!$AS$4:$AS$53</c:f>
              <c:numCache>
                <c:formatCode>General</c:formatCode>
                <c:ptCount val="50"/>
                <c:pt idx="0">
                  <c:v>0.098</c:v>
                </c:pt>
                <c:pt idx="1">
                  <c:v>0.079</c:v>
                </c:pt>
                <c:pt idx="2">
                  <c:v>0.061</c:v>
                </c:pt>
                <c:pt idx="3">
                  <c:v>0.049</c:v>
                </c:pt>
                <c:pt idx="4">
                  <c:v>0.053</c:v>
                </c:pt>
                <c:pt idx="5">
                  <c:v>0.117</c:v>
                </c:pt>
                <c:pt idx="6">
                  <c:v>0.063</c:v>
                </c:pt>
                <c:pt idx="7">
                  <c:v>0.039</c:v>
                </c:pt>
                <c:pt idx="8">
                  <c:v>0.05</c:v>
                </c:pt>
                <c:pt idx="9">
                  <c:v>0.065</c:v>
                </c:pt>
                <c:pt idx="10">
                  <c:v>0.111</c:v>
                </c:pt>
                <c:pt idx="11">
                  <c:v>0.09</c:v>
                </c:pt>
                <c:pt idx="13">
                  <c:v>0.045</c:v>
                </c:pt>
                <c:pt idx="14">
                  <c:v>0.057</c:v>
                </c:pt>
                <c:pt idx="15">
                  <c:v>0.065</c:v>
                </c:pt>
                <c:pt idx="16">
                  <c:v>0.078</c:v>
                </c:pt>
                <c:pt idx="17">
                  <c:v>0.034</c:v>
                </c:pt>
                <c:pt idx="18">
                  <c:v>0.067</c:v>
                </c:pt>
                <c:pt idx="19">
                  <c:v>0.1</c:v>
                </c:pt>
                <c:pt idx="20">
                  <c:v>0.095</c:v>
                </c:pt>
                <c:pt idx="21">
                  <c:v>0.089</c:v>
                </c:pt>
                <c:pt idx="22">
                  <c:v>0.1</c:v>
                </c:pt>
                <c:pt idx="23">
                  <c:v>0.07</c:v>
                </c:pt>
                <c:pt idx="24">
                  <c:v>0.068</c:v>
                </c:pt>
                <c:pt idx="26">
                  <c:v>0</c:v>
                </c:pt>
                <c:pt idx="27">
                  <c:v>0.111</c:v>
                </c:pt>
                <c:pt idx="28">
                  <c:v>0.135</c:v>
                </c:pt>
                <c:pt idx="29">
                  <c:v>0.088</c:v>
                </c:pt>
                <c:pt idx="30">
                  <c:v>0.03</c:v>
                </c:pt>
                <c:pt idx="31">
                  <c:v>0.149</c:v>
                </c:pt>
                <c:pt idx="32">
                  <c:v>0.095</c:v>
                </c:pt>
                <c:pt idx="33">
                  <c:v>0.167</c:v>
                </c:pt>
                <c:pt idx="34">
                  <c:v>0.202</c:v>
                </c:pt>
                <c:pt idx="36">
                  <c:v>0.037</c:v>
                </c:pt>
                <c:pt idx="37">
                  <c:v>0.062</c:v>
                </c:pt>
                <c:pt idx="38">
                  <c:v>0.111</c:v>
                </c:pt>
                <c:pt idx="39">
                  <c:v>0.155</c:v>
                </c:pt>
                <c:pt idx="40">
                  <c:v>0.223</c:v>
                </c:pt>
                <c:pt idx="41">
                  <c:v>0.149</c:v>
                </c:pt>
                <c:pt idx="42">
                  <c:v>0.226</c:v>
                </c:pt>
                <c:pt idx="43">
                  <c:v>0.267</c:v>
                </c:pt>
                <c:pt idx="44">
                  <c:v>0.278</c:v>
                </c:pt>
                <c:pt idx="45">
                  <c:v>0.199</c:v>
                </c:pt>
                <c:pt idx="46">
                  <c:v>0.267</c:v>
                </c:pt>
                <c:pt idx="49">
                  <c:v>0.218</c:v>
                </c:pt>
              </c:numCache>
            </c:numRef>
          </c:xVal>
          <c:yVal>
            <c:numRef>
              <c:f>'van Genutchen'!$BB$4:$BB$55</c:f>
              <c:numCache>
                <c:formatCode>General</c:formatCode>
                <c:ptCount val="52"/>
                <c:pt idx="0">
                  <c:v>0.188418304080338</c:v>
                </c:pt>
                <c:pt idx="1">
                  <c:v>0.11547555525309</c:v>
                </c:pt>
                <c:pt idx="2">
                  <c:v>0.0904470292400603</c:v>
                </c:pt>
                <c:pt idx="3">
                  <c:v>0.0520726380113577</c:v>
                </c:pt>
                <c:pt idx="4">
                  <c:v>0.0530003377293308</c:v>
                </c:pt>
                <c:pt idx="5">
                  <c:v>0.189702798518004</c:v>
                </c:pt>
                <c:pt idx="6">
                  <c:v>0.110144913935098</c:v>
                </c:pt>
                <c:pt idx="7">
                  <c:v>0.0620272197607823</c:v>
                </c:pt>
                <c:pt idx="8">
                  <c:v>0.0686682205749457</c:v>
                </c:pt>
                <c:pt idx="9">
                  <c:v>0.0855036493303921</c:v>
                </c:pt>
                <c:pt idx="10">
                  <c:v>0.173325933091746</c:v>
                </c:pt>
                <c:pt idx="11">
                  <c:v>0.120650245345488</c:v>
                </c:pt>
                <c:pt idx="13">
                  <c:v>0.0450008675875629</c:v>
                </c:pt>
                <c:pt idx="14">
                  <c:v>0.0570214860944075</c:v>
                </c:pt>
                <c:pt idx="15">
                  <c:v>0.0656323946804164</c:v>
                </c:pt>
                <c:pt idx="16">
                  <c:v>0.0880690630018248</c:v>
                </c:pt>
                <c:pt idx="17">
                  <c:v>0.0889306510116079</c:v>
                </c:pt>
                <c:pt idx="18">
                  <c:v>0.103118267554351</c:v>
                </c:pt>
                <c:pt idx="19">
                  <c:v>0.110873499452369</c:v>
                </c:pt>
                <c:pt idx="20">
                  <c:v>0.148682127018555</c:v>
                </c:pt>
                <c:pt idx="21">
                  <c:v>0.195313399828886</c:v>
                </c:pt>
                <c:pt idx="22">
                  <c:v>0.169484918248738</c:v>
                </c:pt>
                <c:pt idx="23">
                  <c:v>0.265516800058064</c:v>
                </c:pt>
                <c:pt idx="24">
                  <c:v>0.269693281391439</c:v>
                </c:pt>
                <c:pt idx="26">
                  <c:v>0.0358513821448161</c:v>
                </c:pt>
                <c:pt idx="27">
                  <c:v>0.161837439974313</c:v>
                </c:pt>
                <c:pt idx="28">
                  <c:v>0.257614948566553</c:v>
                </c:pt>
                <c:pt idx="29">
                  <c:v>0.159633558137911</c:v>
                </c:pt>
                <c:pt idx="30">
                  <c:v>0.123936128752618</c:v>
                </c:pt>
                <c:pt idx="31">
                  <c:v>0.280824189077729</c:v>
                </c:pt>
                <c:pt idx="32">
                  <c:v>0.193509908809096</c:v>
                </c:pt>
                <c:pt idx="33">
                  <c:v>0.256639694686375</c:v>
                </c:pt>
                <c:pt idx="34">
                  <c:v>0.339107659477192</c:v>
                </c:pt>
                <c:pt idx="36">
                  <c:v>0.0370298033194031</c:v>
                </c:pt>
                <c:pt idx="37">
                  <c:v>0.0649970612687032</c:v>
                </c:pt>
                <c:pt idx="38">
                  <c:v>0.120929318287579</c:v>
                </c:pt>
                <c:pt idx="39">
                  <c:v>0.178389667583787</c:v>
                </c:pt>
                <c:pt idx="40">
                  <c:v>0.232542744079023</c:v>
                </c:pt>
                <c:pt idx="41">
                  <c:v>0.155483816096103</c:v>
                </c:pt>
                <c:pt idx="42">
                  <c:v>0.243626903699148</c:v>
                </c:pt>
                <c:pt idx="43">
                  <c:v>0.2805484460148</c:v>
                </c:pt>
                <c:pt idx="44">
                  <c:v>0.295714706057052</c:v>
                </c:pt>
                <c:pt idx="45">
                  <c:v>0.217431381676298</c:v>
                </c:pt>
                <c:pt idx="46">
                  <c:v>0.27639017678967</c:v>
                </c:pt>
                <c:pt idx="48">
                  <c:v>0.258767455987176</c:v>
                </c:pt>
                <c:pt idx="49">
                  <c:v>0.219417269200875</c:v>
                </c:pt>
                <c:pt idx="50">
                  <c:v>0.153</c:v>
                </c:pt>
                <c:pt idx="51">
                  <c:v>0.19000000000076</c:v>
                </c:pt>
              </c:numCache>
            </c:numRef>
          </c:yVal>
          <c:smooth val="0"/>
        </c:ser>
        <c:axId val="18097438"/>
        <c:axId val="81467286"/>
      </c:scatterChart>
      <c:valAx>
        <c:axId val="1809743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1467286"/>
        <c:crosses val="autoZero"/>
        <c:crossBetween val="midCat"/>
      </c:valAx>
      <c:valAx>
        <c:axId val="8146728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8097438"/>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54007792321499"/>
          <c:y val="0.0914976262408287"/>
          <c:w val="0.7833034189905"/>
          <c:h val="0.762069178124422"/>
        </c:manualLayout>
      </c:layout>
      <c:scatterChart>
        <c:scatterStyle val="lineMarker"/>
        <c:varyColors val="0"/>
        <c:ser>
          <c:idx val="0"/>
          <c:order val="0"/>
          <c:spPr>
            <a:solidFill>
              <a:srgbClr val="be4b48"/>
            </a:solidFill>
            <a:ln w="28440">
              <a:solidFill>
                <a:srgbClr val="be4b48"/>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Genutchen'!$F$10:$F$111</c:f>
              <c:numCache>
                <c:formatCode>General</c:formatCode>
                <c:ptCount val="102"/>
                <c:pt idx="0">
                  <c:v>0</c:v>
                </c:pt>
                <c:pt idx="1">
                  <c:v>-2.13379931670575</c:v>
                </c:pt>
                <c:pt idx="2">
                  <c:v>-0.301132936576664</c:v>
                </c:pt>
                <c:pt idx="3">
                  <c:v>-0.160551391649043</c:v>
                </c:pt>
                <c:pt idx="4">
                  <c:v>-0.0770902642182619</c:v>
                </c:pt>
                <c:pt idx="5">
                  <c:v>-0.0169948282467585</c:v>
                </c:pt>
                <c:pt idx="6">
                  <c:v>0.0303138129324108</c:v>
                </c:pt>
                <c:pt idx="7">
                  <c:v>0.0695482304375254</c:v>
                </c:pt>
                <c:pt idx="8">
                  <c:v>0.103222647185187</c:v>
                </c:pt>
                <c:pt idx="9">
                  <c:v>0.132838185747492</c:v>
                </c:pt>
                <c:pt idx="10">
                  <c:v>0.159363428175564</c:v>
                </c:pt>
                <c:pt idx="11">
                  <c:v>0.183460021189684</c:v>
                </c:pt>
                <c:pt idx="12">
                  <c:v>0.205600179500229</c:v>
                </c:pt>
                <c:pt idx="13">
                  <c:v>0.22613284496411</c:v>
                </c:pt>
                <c:pt idx="14">
                  <c:v>0.245323273566391</c:v>
                </c:pt>
                <c:pt idx="15">
                  <c:v>0.263377910569532</c:v>
                </c:pt>
                <c:pt idx="16">
                  <c:v>0.280460663491483</c:v>
                </c:pt>
                <c:pt idx="17">
                  <c:v>0.296703913118156</c:v>
                </c:pt>
                <c:pt idx="18">
                  <c:v>0.312216181159761</c:v>
                </c:pt>
                <c:pt idx="19">
                  <c:v>0.327087603575736</c:v>
                </c:pt>
                <c:pt idx="20">
                  <c:v>0.341393922761686</c:v>
                </c:pt>
                <c:pt idx="21">
                  <c:v>0.355199455219191</c:v>
                </c:pt>
                <c:pt idx="22">
                  <c:v>0.368559335110356</c:v>
                </c:pt>
                <c:pt idx="23">
                  <c:v>0.38152123612674</c:v>
                </c:pt>
                <c:pt idx="24">
                  <c:v>0.394126711028977</c:v>
                </c:pt>
                <c:pt idx="25">
                  <c:v>0.406412246648044</c:v>
                </c:pt>
                <c:pt idx="26">
                  <c:v>0.41841010416721</c:v>
                </c:pt>
                <c:pt idx="27">
                  <c:v>0.430148995319927</c:v>
                </c:pt>
                <c:pt idx="28">
                  <c:v>0.44165463175446</c:v>
                </c:pt>
                <c:pt idx="29">
                  <c:v>0.452950175330373</c:v>
                </c:pt>
                <c:pt idx="30">
                  <c:v>0.464056610292544</c:v>
                </c:pt>
                <c:pt idx="31">
                  <c:v>0.474993053300813</c:v>
                </c:pt>
                <c:pt idx="32">
                  <c:v>0.485777013630796</c:v>
                </c:pt>
                <c:pt idx="33">
                  <c:v>0.496424613130628</c:v>
                </c:pt>
                <c:pt idx="34">
                  <c:v>0.506950773461354</c:v>
                </c:pt>
                <c:pt idx="35">
                  <c:v>0.517369376584211</c:v>
                </c:pt>
                <c:pt idx="36">
                  <c:v>0.527693403257819</c:v>
                </c:pt>
                <c:pt idx="37">
                  <c:v>0.53793505337993</c:v>
                </c:pt>
                <c:pt idx="38">
                  <c:v>0.548105851285037</c:v>
                </c:pt>
                <c:pt idx="39">
                  <c:v>0.558216738541792</c:v>
                </c:pt>
                <c:pt idx="40">
                  <c:v>0.568278156346456</c:v>
                </c:pt>
                <c:pt idx="41">
                  <c:v>0.57830011925365</c:v>
                </c:pt>
                <c:pt idx="42">
                  <c:v>0.588292281702952</c:v>
                </c:pt>
                <c:pt idx="43">
                  <c:v>0.598263998574228</c:v>
                </c:pt>
                <c:pt idx="44">
                  <c:v>0.608224380824177</c:v>
                </c:pt>
                <c:pt idx="45">
                  <c:v>0.618182347112495</c:v>
                </c:pt>
                <c:pt idx="46">
                  <c:v>0.628146672211491</c:v>
                </c:pt>
                <c:pt idx="47">
                  <c:v>0.638126032902635</c:v>
                </c:pt>
                <c:pt idx="48">
                  <c:v>0.648129051993399</c:v>
                </c:pt>
                <c:pt idx="49">
                  <c:v>0.659781993418889</c:v>
                </c:pt>
                <c:pt idx="50">
                  <c:v>0.669865585985007</c:v>
                </c:pt>
                <c:pt idx="51">
                  <c:v>0.680000216667475</c:v>
                </c:pt>
                <c:pt idx="52">
                  <c:v>0.690194736922862</c:v>
                </c:pt>
                <c:pt idx="53">
                  <c:v>0.700458162356528</c:v>
                </c:pt>
                <c:pt idx="54">
                  <c:v>0.710799717016074</c:v>
                </c:pt>
                <c:pt idx="55">
                  <c:v>0.721228879592236</c:v>
                </c:pt>
                <c:pt idx="56">
                  <c:v>0.731755432103453</c:v>
                </c:pt>
                <c:pt idx="57">
                  <c:v>0.742389511689801</c:v>
                </c:pt>
                <c:pt idx="58">
                  <c:v>0.753141666206632</c:v>
                </c:pt>
                <c:pt idx="59">
                  <c:v>0.764022914390218</c:v>
                </c:pt>
                <c:pt idx="60">
                  <c:v>0.775044811470145</c:v>
                </c:pt>
                <c:pt idx="61">
                  <c:v>0.786219521229838</c:v>
                </c:pt>
                <c:pt idx="62">
                  <c:v>0.797559895672398</c:v>
                </c:pt>
                <c:pt idx="63">
                  <c:v>0.809079563640354</c:v>
                </c:pt>
                <c:pt idx="64">
                  <c:v>0.820793029972922</c:v>
                </c:pt>
                <c:pt idx="65">
                  <c:v>0.832715787073549</c:v>
                </c:pt>
                <c:pt idx="66">
                  <c:v>0.844864441117208</c:v>
                </c:pt>
                <c:pt idx="67">
                  <c:v>0.857256855568626</c:v>
                </c:pt>
                <c:pt idx="68">
                  <c:v>0.869912315232041</c:v>
                </c:pt>
                <c:pt idx="69">
                  <c:v>0.882851714739994</c:v>
                </c:pt>
                <c:pt idx="70">
                  <c:v>0.896097776252351</c:v>
                </c:pt>
                <c:pt idx="71">
                  <c:v>0.909675302229591</c:v>
                </c:pt>
                <c:pt idx="72">
                  <c:v>0.923611470536541</c:v>
                </c:pt>
                <c:pt idx="73">
                  <c:v>0.937936180919267</c:v>
                </c:pt>
                <c:pt idx="74">
                  <c:v>0.952682464208475</c:v>
                </c:pt>
                <c:pt idx="75">
                  <c:v>0.967886968616863</c:v>
                </c:pt>
                <c:pt idx="76">
                  <c:v>0.98359054146534</c:v>
                </c:pt>
                <c:pt idx="77">
                  <c:v>0.999838929946797</c:v>
                </c:pt>
                <c:pt idx="78">
                  <c:v>1.01668363162063</c:v>
                </c:pt>
                <c:pt idx="79">
                  <c:v>1.03418293495681</c:v>
                </c:pt>
                <c:pt idx="80">
                  <c:v>1.05240320348854</c:v>
                </c:pt>
                <c:pt idx="81">
                  <c:v>1.07142047558952</c:v>
                </c:pt>
                <c:pt idx="82">
                  <c:v>1.09132247799775</c:v>
                </c:pt>
                <c:pt idx="83">
                  <c:v>1.11221118872443</c:v>
                </c:pt>
                <c:pt idx="84">
                  <c:v>1.13420613984987</c:v>
                </c:pt>
                <c:pt idx="85">
                  <c:v>1.15744873249773</c:v>
                </c:pt>
                <c:pt idx="86">
                  <c:v>1.18210796083777</c:v>
                </c:pt>
                <c:pt idx="87">
                  <c:v>1.20838813622595</c:v>
                </c:pt>
                <c:pt idx="88">
                  <c:v>1.23653951374554</c:v>
                </c:pt>
                <c:pt idx="89">
                  <c:v>1.26687323708389</c:v>
                </c:pt>
                <c:pt idx="90">
                  <c:v>1.29978289537843</c:v>
                </c:pt>
                <c:pt idx="91">
                  <c:v>1.33577654607227</c:v>
                </c:pt>
                <c:pt idx="92">
                  <c:v>1.37552596329939</c:v>
                </c:pt>
                <c:pt idx="93">
                  <c:v>1.41994558548863</c:v>
                </c:pt>
                <c:pt idx="94">
                  <c:v>1.47032563830204</c:v>
                </c:pt>
                <c:pt idx="95">
                  <c:v>1.5285712446795</c:v>
                </c:pt>
                <c:pt idx="96">
                  <c:v>1.59766830197597</c:v>
                </c:pt>
                <c:pt idx="97">
                  <c:v>1.68269599208536</c:v>
                </c:pt>
                <c:pt idx="98">
                  <c:v>1.79339901463813</c:v>
                </c:pt>
                <c:pt idx="99">
                  <c:v>1.95255019007649</c:v>
                </c:pt>
                <c:pt idx="100">
                  <c:v>2.2399771350652</c:v>
                </c:pt>
                <c:pt idx="101">
                  <c:v>3.01896536402684</c:v>
                </c:pt>
              </c:numCache>
            </c:numRef>
          </c:xVal>
          <c:yVal>
            <c:numRef>
              <c:f>'van Genutchen'!$E$10:$E$111</c:f>
              <c:numCache>
                <c:formatCode>General</c:formatCode>
                <c:ptCount val="102"/>
                <c:pt idx="0">
                  <c:v>0.548</c:v>
                </c:pt>
                <c:pt idx="1">
                  <c:v>0.547999531</c:v>
                </c:pt>
                <c:pt idx="2">
                  <c:v>0.54331</c:v>
                </c:pt>
                <c:pt idx="3">
                  <c:v>0.53862</c:v>
                </c:pt>
                <c:pt idx="4">
                  <c:v>0.53393</c:v>
                </c:pt>
                <c:pt idx="5">
                  <c:v>0.52924</c:v>
                </c:pt>
                <c:pt idx="6">
                  <c:v>0.52455</c:v>
                </c:pt>
                <c:pt idx="7">
                  <c:v>0.51986</c:v>
                </c:pt>
                <c:pt idx="8">
                  <c:v>0.51517</c:v>
                </c:pt>
                <c:pt idx="9">
                  <c:v>0.51048</c:v>
                </c:pt>
                <c:pt idx="10">
                  <c:v>0.50579</c:v>
                </c:pt>
                <c:pt idx="11">
                  <c:v>0.5011</c:v>
                </c:pt>
                <c:pt idx="12">
                  <c:v>0.49641</c:v>
                </c:pt>
                <c:pt idx="13">
                  <c:v>0.49172</c:v>
                </c:pt>
                <c:pt idx="14">
                  <c:v>0.48703</c:v>
                </c:pt>
                <c:pt idx="15">
                  <c:v>0.48234</c:v>
                </c:pt>
                <c:pt idx="16">
                  <c:v>0.47765</c:v>
                </c:pt>
                <c:pt idx="17">
                  <c:v>0.47296</c:v>
                </c:pt>
                <c:pt idx="18">
                  <c:v>0.46827</c:v>
                </c:pt>
                <c:pt idx="19">
                  <c:v>0.46358</c:v>
                </c:pt>
                <c:pt idx="20">
                  <c:v>0.45889</c:v>
                </c:pt>
                <c:pt idx="21">
                  <c:v>0.4542</c:v>
                </c:pt>
                <c:pt idx="22">
                  <c:v>0.44951</c:v>
                </c:pt>
                <c:pt idx="23">
                  <c:v>0.44482</c:v>
                </c:pt>
                <c:pt idx="24">
                  <c:v>0.44013</c:v>
                </c:pt>
                <c:pt idx="25">
                  <c:v>0.43544</c:v>
                </c:pt>
                <c:pt idx="26">
                  <c:v>0.43075</c:v>
                </c:pt>
                <c:pt idx="27">
                  <c:v>0.42606</c:v>
                </c:pt>
                <c:pt idx="28">
                  <c:v>0.42137</c:v>
                </c:pt>
                <c:pt idx="29">
                  <c:v>0.41668</c:v>
                </c:pt>
                <c:pt idx="30">
                  <c:v>0.41199</c:v>
                </c:pt>
                <c:pt idx="31">
                  <c:v>0.4073</c:v>
                </c:pt>
                <c:pt idx="32">
                  <c:v>0.40261</c:v>
                </c:pt>
                <c:pt idx="33">
                  <c:v>0.39792</c:v>
                </c:pt>
                <c:pt idx="34">
                  <c:v>0.39323</c:v>
                </c:pt>
                <c:pt idx="35">
                  <c:v>0.38854</c:v>
                </c:pt>
                <c:pt idx="36">
                  <c:v>0.38385</c:v>
                </c:pt>
                <c:pt idx="37">
                  <c:v>0.37916</c:v>
                </c:pt>
                <c:pt idx="38">
                  <c:v>0.37447</c:v>
                </c:pt>
                <c:pt idx="39">
                  <c:v>0.36978</c:v>
                </c:pt>
                <c:pt idx="40">
                  <c:v>0.36509</c:v>
                </c:pt>
                <c:pt idx="41">
                  <c:v>0.3604</c:v>
                </c:pt>
                <c:pt idx="42">
                  <c:v>0.35571</c:v>
                </c:pt>
                <c:pt idx="43">
                  <c:v>0.35102</c:v>
                </c:pt>
                <c:pt idx="44">
                  <c:v>0.34633</c:v>
                </c:pt>
                <c:pt idx="45">
                  <c:v>0.34164</c:v>
                </c:pt>
                <c:pt idx="46">
                  <c:v>0.33695</c:v>
                </c:pt>
                <c:pt idx="47">
                  <c:v>0.33226</c:v>
                </c:pt>
                <c:pt idx="48">
                  <c:v>0.32757</c:v>
                </c:pt>
                <c:pt idx="49">
                  <c:v>0.322125668032034</c:v>
                </c:pt>
                <c:pt idx="50">
                  <c:v>0.317435668032034</c:v>
                </c:pt>
                <c:pt idx="51">
                  <c:v>0.312745668032034</c:v>
                </c:pt>
                <c:pt idx="52">
                  <c:v>0.308055668032034</c:v>
                </c:pt>
                <c:pt idx="53">
                  <c:v>0.303365668032034</c:v>
                </c:pt>
                <c:pt idx="54">
                  <c:v>0.298675668032034</c:v>
                </c:pt>
                <c:pt idx="55">
                  <c:v>0.293985668032034</c:v>
                </c:pt>
                <c:pt idx="56">
                  <c:v>0.289295668032034</c:v>
                </c:pt>
                <c:pt idx="57">
                  <c:v>0.284605668032034</c:v>
                </c:pt>
                <c:pt idx="58">
                  <c:v>0.279915668032034</c:v>
                </c:pt>
                <c:pt idx="59">
                  <c:v>0.275225668032034</c:v>
                </c:pt>
                <c:pt idx="60">
                  <c:v>0.270535668032034</c:v>
                </c:pt>
                <c:pt idx="61">
                  <c:v>0.265845668032034</c:v>
                </c:pt>
                <c:pt idx="62">
                  <c:v>0.261155668032034</c:v>
                </c:pt>
                <c:pt idx="63">
                  <c:v>0.256465668032034</c:v>
                </c:pt>
                <c:pt idx="64">
                  <c:v>0.251775668032034</c:v>
                </c:pt>
                <c:pt idx="65">
                  <c:v>0.247085668032034</c:v>
                </c:pt>
                <c:pt idx="66">
                  <c:v>0.242395668032034</c:v>
                </c:pt>
                <c:pt idx="67">
                  <c:v>0.237705668032034</c:v>
                </c:pt>
                <c:pt idx="68">
                  <c:v>0.233015668032034</c:v>
                </c:pt>
                <c:pt idx="69">
                  <c:v>0.228325668032033</c:v>
                </c:pt>
                <c:pt idx="70">
                  <c:v>0.223635668032034</c:v>
                </c:pt>
                <c:pt idx="71">
                  <c:v>0.218945668032033</c:v>
                </c:pt>
                <c:pt idx="72">
                  <c:v>0.214255668032034</c:v>
                </c:pt>
                <c:pt idx="73">
                  <c:v>0.209565668032034</c:v>
                </c:pt>
                <c:pt idx="74">
                  <c:v>0.204875668032033</c:v>
                </c:pt>
                <c:pt idx="75">
                  <c:v>0.200185668032034</c:v>
                </c:pt>
                <c:pt idx="76">
                  <c:v>0.195495668032033</c:v>
                </c:pt>
                <c:pt idx="77">
                  <c:v>0.190805668032034</c:v>
                </c:pt>
                <c:pt idx="78">
                  <c:v>0.186115668032034</c:v>
                </c:pt>
                <c:pt idx="79">
                  <c:v>0.181425668032033</c:v>
                </c:pt>
                <c:pt idx="80">
                  <c:v>0.176735668032033</c:v>
                </c:pt>
                <c:pt idx="81">
                  <c:v>0.172045668032034</c:v>
                </c:pt>
                <c:pt idx="82">
                  <c:v>0.167355668032034</c:v>
                </c:pt>
                <c:pt idx="83">
                  <c:v>0.162665668032033</c:v>
                </c:pt>
                <c:pt idx="84">
                  <c:v>0.157975668032034</c:v>
                </c:pt>
                <c:pt idx="85">
                  <c:v>0.153285668032033</c:v>
                </c:pt>
                <c:pt idx="86">
                  <c:v>0.148595668032033</c:v>
                </c:pt>
                <c:pt idx="87">
                  <c:v>0.143905668032033</c:v>
                </c:pt>
                <c:pt idx="88">
                  <c:v>0.139215668032033</c:v>
                </c:pt>
                <c:pt idx="89">
                  <c:v>0.134525668032033</c:v>
                </c:pt>
                <c:pt idx="90">
                  <c:v>0.129835668032033</c:v>
                </c:pt>
                <c:pt idx="91">
                  <c:v>0.125145668032033</c:v>
                </c:pt>
                <c:pt idx="92">
                  <c:v>0.120455668032033</c:v>
                </c:pt>
                <c:pt idx="93">
                  <c:v>0.115765668032033</c:v>
                </c:pt>
                <c:pt idx="94">
                  <c:v>0.111075668032033</c:v>
                </c:pt>
                <c:pt idx="95">
                  <c:v>0.106385668032033</c:v>
                </c:pt>
                <c:pt idx="96">
                  <c:v>0.101695668032033</c:v>
                </c:pt>
                <c:pt idx="97">
                  <c:v>0.0970056680320335</c:v>
                </c:pt>
                <c:pt idx="98">
                  <c:v>0.0923156680320335</c:v>
                </c:pt>
                <c:pt idx="99">
                  <c:v>0.0876256680320335</c:v>
                </c:pt>
                <c:pt idx="100">
                  <c:v>0.0829356680320335</c:v>
                </c:pt>
                <c:pt idx="101">
                  <c:v>0.079469</c:v>
                </c:pt>
              </c:numCache>
            </c:numRef>
          </c:yVal>
          <c:smooth val="0"/>
        </c:ser>
        <c:ser>
          <c:idx val="1"/>
          <c:order val="1"/>
          <c:spPr>
            <a:solidFill>
              <a:srgbClr val="99ccff"/>
            </a:solidFill>
            <a:ln w="25560">
              <a:noFill/>
            </a:ln>
          </c:spPr>
          <c:marker>
            <c:symbol val="circle"/>
            <c:size val="7"/>
            <c:spPr>
              <a:solidFill>
                <a:srgbClr val="99ccff"/>
              </a:solidFill>
            </c:spPr>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Genutchen'!$J$12:$J$13</c:f>
              <c:numCache>
                <c:formatCode>General</c:formatCode>
                <c:ptCount val="2"/>
                <c:pt idx="0">
                  <c:v>2.51851393987789</c:v>
                </c:pt>
                <c:pt idx="1">
                  <c:v>4.20002926655377</c:v>
                </c:pt>
              </c:numCache>
            </c:numRef>
          </c:xVal>
          <c:yVal>
            <c:numRef>
              <c:f>'van Genutchen'!$K$12:$K$13</c:f>
              <c:numCache>
                <c:formatCode>General</c:formatCode>
                <c:ptCount val="2"/>
                <c:pt idx="0">
                  <c:v>0.3649</c:v>
                </c:pt>
                <c:pt idx="1">
                  <c:v>0.1391</c:v>
                </c:pt>
              </c:numCache>
            </c:numRef>
          </c:yVal>
          <c:smooth val="0"/>
        </c:ser>
        <c:ser>
          <c:idx val="2"/>
          <c:order val="2"/>
          <c:spPr>
            <a:solidFill>
              <a:srgbClr val="98b855"/>
            </a:solidFill>
            <a:ln w="28440">
              <a:solidFill>
                <a:srgbClr val="98b855"/>
              </a:solidFill>
              <a:round/>
            </a:ln>
          </c:spPr>
          <c:marker>
            <c:symbol val="none"/>
          </c:marker>
          <c:dPt>
            <c:idx val="1"/>
            <c:marker>
              <c:symbol val="none"/>
            </c:marker>
          </c:dPt>
          <c:dPt>
            <c:idx val="4"/>
            <c:marker>
              <c:symbol val="none"/>
            </c:marker>
          </c:dPt>
          <c:dLbls>
            <c:dLbl>
              <c:idx val="1"/>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dLbl>
            <c:dLbl>
              <c:idx val="4"/>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Genutchen'!$I$18:$I$22</c:f>
              <c:numCache>
                <c:formatCode>General</c:formatCode>
                <c:ptCount val="5"/>
                <c:pt idx="0">
                  <c:v>0</c:v>
                </c:pt>
                <c:pt idx="1">
                  <c:v>10</c:v>
                </c:pt>
                <c:pt idx="3">
                  <c:v>0</c:v>
                </c:pt>
                <c:pt idx="4">
                  <c:v>10</c:v>
                </c:pt>
              </c:numCache>
            </c:numRef>
          </c:xVal>
          <c:yVal>
            <c:numRef>
              <c:f>'van Genutchen'!$J$18:$J$22</c:f>
              <c:numCache>
                <c:formatCode>General</c:formatCode>
                <c:ptCount val="5"/>
                <c:pt idx="0">
                  <c:v>0.548</c:v>
                </c:pt>
                <c:pt idx="1">
                  <c:v>0.548</c:v>
                </c:pt>
                <c:pt idx="3">
                  <c:v>0.079</c:v>
                </c:pt>
                <c:pt idx="4">
                  <c:v>0.079</c:v>
                </c:pt>
              </c:numCache>
            </c:numRef>
          </c:yVal>
          <c:smooth val="0"/>
        </c:ser>
        <c:ser>
          <c:idx val="3"/>
          <c:order val="3"/>
          <c:spPr>
            <a:solidFill>
              <a:srgbClr val="7d5fa0"/>
            </a:solidFill>
            <a:ln w="28440">
              <a:solidFill>
                <a:srgbClr val="7d5fa0"/>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Genutchen'!$F$10:$F$111</c:f>
              <c:numCache>
                <c:formatCode>General</c:formatCode>
                <c:ptCount val="102"/>
                <c:pt idx="0">
                  <c:v>0</c:v>
                </c:pt>
                <c:pt idx="1">
                  <c:v>-2.13379931670575</c:v>
                </c:pt>
                <c:pt idx="2">
                  <c:v>-0.301132936576664</c:v>
                </c:pt>
                <c:pt idx="3">
                  <c:v>-0.160551391649043</c:v>
                </c:pt>
                <c:pt idx="4">
                  <c:v>-0.0770902642182619</c:v>
                </c:pt>
                <c:pt idx="5">
                  <c:v>-0.0169948282467585</c:v>
                </c:pt>
                <c:pt idx="6">
                  <c:v>0.0303138129324108</c:v>
                </c:pt>
                <c:pt idx="7">
                  <c:v>0.0695482304375254</c:v>
                </c:pt>
                <c:pt idx="8">
                  <c:v>0.103222647185187</c:v>
                </c:pt>
                <c:pt idx="9">
                  <c:v>0.132838185747492</c:v>
                </c:pt>
                <c:pt idx="10">
                  <c:v>0.159363428175564</c:v>
                </c:pt>
                <c:pt idx="11">
                  <c:v>0.183460021189684</c:v>
                </c:pt>
                <c:pt idx="12">
                  <c:v>0.205600179500229</c:v>
                </c:pt>
                <c:pt idx="13">
                  <c:v>0.22613284496411</c:v>
                </c:pt>
                <c:pt idx="14">
                  <c:v>0.245323273566391</c:v>
                </c:pt>
                <c:pt idx="15">
                  <c:v>0.263377910569532</c:v>
                </c:pt>
                <c:pt idx="16">
                  <c:v>0.280460663491483</c:v>
                </c:pt>
                <c:pt idx="17">
                  <c:v>0.296703913118156</c:v>
                </c:pt>
                <c:pt idx="18">
                  <c:v>0.312216181159761</c:v>
                </c:pt>
                <c:pt idx="19">
                  <c:v>0.327087603575736</c:v>
                </c:pt>
                <c:pt idx="20">
                  <c:v>0.341393922761686</c:v>
                </c:pt>
                <c:pt idx="21">
                  <c:v>0.355199455219191</c:v>
                </c:pt>
                <c:pt idx="22">
                  <c:v>0.368559335110356</c:v>
                </c:pt>
                <c:pt idx="23">
                  <c:v>0.38152123612674</c:v>
                </c:pt>
                <c:pt idx="24">
                  <c:v>0.394126711028977</c:v>
                </c:pt>
                <c:pt idx="25">
                  <c:v>0.406412246648044</c:v>
                </c:pt>
                <c:pt idx="26">
                  <c:v>0.41841010416721</c:v>
                </c:pt>
                <c:pt idx="27">
                  <c:v>0.430148995319927</c:v>
                </c:pt>
                <c:pt idx="28">
                  <c:v>0.44165463175446</c:v>
                </c:pt>
                <c:pt idx="29">
                  <c:v>0.452950175330373</c:v>
                </c:pt>
                <c:pt idx="30">
                  <c:v>0.464056610292544</c:v>
                </c:pt>
                <c:pt idx="31">
                  <c:v>0.474993053300813</c:v>
                </c:pt>
                <c:pt idx="32">
                  <c:v>0.485777013630796</c:v>
                </c:pt>
                <c:pt idx="33">
                  <c:v>0.496424613130628</c:v>
                </c:pt>
                <c:pt idx="34">
                  <c:v>0.506950773461354</c:v>
                </c:pt>
                <c:pt idx="35">
                  <c:v>0.517369376584211</c:v>
                </c:pt>
                <c:pt idx="36">
                  <c:v>0.527693403257819</c:v>
                </c:pt>
                <c:pt idx="37">
                  <c:v>0.53793505337993</c:v>
                </c:pt>
                <c:pt idx="38">
                  <c:v>0.548105851285037</c:v>
                </c:pt>
                <c:pt idx="39">
                  <c:v>0.558216738541792</c:v>
                </c:pt>
                <c:pt idx="40">
                  <c:v>0.568278156346456</c:v>
                </c:pt>
                <c:pt idx="41">
                  <c:v>0.57830011925365</c:v>
                </c:pt>
                <c:pt idx="42">
                  <c:v>0.588292281702952</c:v>
                </c:pt>
                <c:pt idx="43">
                  <c:v>0.598263998574228</c:v>
                </c:pt>
                <c:pt idx="44">
                  <c:v>0.608224380824177</c:v>
                </c:pt>
                <c:pt idx="45">
                  <c:v>0.618182347112495</c:v>
                </c:pt>
                <c:pt idx="46">
                  <c:v>0.628146672211491</c:v>
                </c:pt>
                <c:pt idx="47">
                  <c:v>0.638126032902635</c:v>
                </c:pt>
                <c:pt idx="48">
                  <c:v>0.648129051993399</c:v>
                </c:pt>
                <c:pt idx="49">
                  <c:v>0.659781993418889</c:v>
                </c:pt>
                <c:pt idx="50">
                  <c:v>0.669865585985007</c:v>
                </c:pt>
                <c:pt idx="51">
                  <c:v>0.680000216667475</c:v>
                </c:pt>
                <c:pt idx="52">
                  <c:v>0.690194736922862</c:v>
                </c:pt>
                <c:pt idx="53">
                  <c:v>0.700458162356528</c:v>
                </c:pt>
                <c:pt idx="54">
                  <c:v>0.710799717016074</c:v>
                </c:pt>
                <c:pt idx="55">
                  <c:v>0.721228879592236</c:v>
                </c:pt>
                <c:pt idx="56">
                  <c:v>0.731755432103453</c:v>
                </c:pt>
                <c:pt idx="57">
                  <c:v>0.742389511689801</c:v>
                </c:pt>
                <c:pt idx="58">
                  <c:v>0.753141666206632</c:v>
                </c:pt>
                <c:pt idx="59">
                  <c:v>0.764022914390218</c:v>
                </c:pt>
                <c:pt idx="60">
                  <c:v>0.775044811470145</c:v>
                </c:pt>
                <c:pt idx="61">
                  <c:v>0.786219521229838</c:v>
                </c:pt>
                <c:pt idx="62">
                  <c:v>0.797559895672398</c:v>
                </c:pt>
                <c:pt idx="63">
                  <c:v>0.809079563640354</c:v>
                </c:pt>
                <c:pt idx="64">
                  <c:v>0.820793029972922</c:v>
                </c:pt>
                <c:pt idx="65">
                  <c:v>0.832715787073549</c:v>
                </c:pt>
                <c:pt idx="66">
                  <c:v>0.844864441117208</c:v>
                </c:pt>
                <c:pt idx="67">
                  <c:v>0.857256855568626</c:v>
                </c:pt>
                <c:pt idx="68">
                  <c:v>0.869912315232041</c:v>
                </c:pt>
                <c:pt idx="69">
                  <c:v>0.882851714739994</c:v>
                </c:pt>
                <c:pt idx="70">
                  <c:v>0.896097776252351</c:v>
                </c:pt>
                <c:pt idx="71">
                  <c:v>0.909675302229591</c:v>
                </c:pt>
                <c:pt idx="72">
                  <c:v>0.923611470536541</c:v>
                </c:pt>
                <c:pt idx="73">
                  <c:v>0.937936180919267</c:v>
                </c:pt>
                <c:pt idx="74">
                  <c:v>0.952682464208475</c:v>
                </c:pt>
                <c:pt idx="75">
                  <c:v>0.967886968616863</c:v>
                </c:pt>
                <c:pt idx="76">
                  <c:v>0.98359054146534</c:v>
                </c:pt>
                <c:pt idx="77">
                  <c:v>0.999838929946797</c:v>
                </c:pt>
                <c:pt idx="78">
                  <c:v>1.01668363162063</c:v>
                </c:pt>
                <c:pt idx="79">
                  <c:v>1.03418293495681</c:v>
                </c:pt>
                <c:pt idx="80">
                  <c:v>1.05240320348854</c:v>
                </c:pt>
                <c:pt idx="81">
                  <c:v>1.07142047558952</c:v>
                </c:pt>
                <c:pt idx="82">
                  <c:v>1.09132247799775</c:v>
                </c:pt>
                <c:pt idx="83">
                  <c:v>1.11221118872443</c:v>
                </c:pt>
                <c:pt idx="84">
                  <c:v>1.13420613984987</c:v>
                </c:pt>
                <c:pt idx="85">
                  <c:v>1.15744873249773</c:v>
                </c:pt>
                <c:pt idx="86">
                  <c:v>1.18210796083777</c:v>
                </c:pt>
                <c:pt idx="87">
                  <c:v>1.20838813622595</c:v>
                </c:pt>
                <c:pt idx="88">
                  <c:v>1.23653951374554</c:v>
                </c:pt>
                <c:pt idx="89">
                  <c:v>1.26687323708389</c:v>
                </c:pt>
                <c:pt idx="90">
                  <c:v>1.29978289537843</c:v>
                </c:pt>
                <c:pt idx="91">
                  <c:v>1.33577654607227</c:v>
                </c:pt>
                <c:pt idx="92">
                  <c:v>1.37552596329939</c:v>
                </c:pt>
                <c:pt idx="93">
                  <c:v>1.41994558548863</c:v>
                </c:pt>
                <c:pt idx="94">
                  <c:v>1.47032563830204</c:v>
                </c:pt>
                <c:pt idx="95">
                  <c:v>1.5285712446795</c:v>
                </c:pt>
                <c:pt idx="96">
                  <c:v>1.59766830197597</c:v>
                </c:pt>
                <c:pt idx="97">
                  <c:v>1.68269599208536</c:v>
                </c:pt>
                <c:pt idx="98">
                  <c:v>1.79339901463813</c:v>
                </c:pt>
                <c:pt idx="99">
                  <c:v>1.95255019007649</c:v>
                </c:pt>
                <c:pt idx="100">
                  <c:v>2.2399771350652</c:v>
                </c:pt>
                <c:pt idx="101">
                  <c:v>3.01896536402684</c:v>
                </c:pt>
              </c:numCache>
            </c:numRef>
          </c:xVal>
          <c:yVal>
            <c:numRef>
              <c:f>'van Genutchen'!$C$6</c:f>
              <c:numCache>
                <c:formatCode>General</c:formatCode>
                <c:ptCount val="1"/>
              </c:numCache>
            </c:numRef>
          </c:yVal>
          <c:smooth val="0"/>
        </c:ser>
        <c:ser>
          <c:idx val="4"/>
          <c:order val="4"/>
          <c:spPr>
            <a:solidFill>
              <a:srgbClr val="46aac4"/>
            </a:solidFill>
            <a:ln w="28440">
              <a:solidFill>
                <a:srgbClr val="46aac4"/>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'van Genutchen'!$F$10:$F$111</c:f>
              <c:numCache>
                <c:formatCode>General</c:formatCode>
                <c:ptCount val="102"/>
                <c:pt idx="0">
                  <c:v>0</c:v>
                </c:pt>
                <c:pt idx="1">
                  <c:v>-2.13379931670575</c:v>
                </c:pt>
                <c:pt idx="2">
                  <c:v>-0.301132936576664</c:v>
                </c:pt>
                <c:pt idx="3">
                  <c:v>-0.160551391649043</c:v>
                </c:pt>
                <c:pt idx="4">
                  <c:v>-0.0770902642182619</c:v>
                </c:pt>
                <c:pt idx="5">
                  <c:v>-0.0169948282467585</c:v>
                </c:pt>
                <c:pt idx="6">
                  <c:v>0.0303138129324108</c:v>
                </c:pt>
                <c:pt idx="7">
                  <c:v>0.0695482304375254</c:v>
                </c:pt>
                <c:pt idx="8">
                  <c:v>0.103222647185187</c:v>
                </c:pt>
                <c:pt idx="9">
                  <c:v>0.132838185747492</c:v>
                </c:pt>
                <c:pt idx="10">
                  <c:v>0.159363428175564</c:v>
                </c:pt>
                <c:pt idx="11">
                  <c:v>0.183460021189684</c:v>
                </c:pt>
                <c:pt idx="12">
                  <c:v>0.205600179500229</c:v>
                </c:pt>
                <c:pt idx="13">
                  <c:v>0.22613284496411</c:v>
                </c:pt>
                <c:pt idx="14">
                  <c:v>0.245323273566391</c:v>
                </c:pt>
                <c:pt idx="15">
                  <c:v>0.263377910569532</c:v>
                </c:pt>
                <c:pt idx="16">
                  <c:v>0.280460663491483</c:v>
                </c:pt>
                <c:pt idx="17">
                  <c:v>0.296703913118156</c:v>
                </c:pt>
                <c:pt idx="18">
                  <c:v>0.312216181159761</c:v>
                </c:pt>
                <c:pt idx="19">
                  <c:v>0.327087603575736</c:v>
                </c:pt>
                <c:pt idx="20">
                  <c:v>0.341393922761686</c:v>
                </c:pt>
                <c:pt idx="21">
                  <c:v>0.355199455219191</c:v>
                </c:pt>
                <c:pt idx="22">
                  <c:v>0.368559335110356</c:v>
                </c:pt>
                <c:pt idx="23">
                  <c:v>0.38152123612674</c:v>
                </c:pt>
                <c:pt idx="24">
                  <c:v>0.394126711028977</c:v>
                </c:pt>
                <c:pt idx="25">
                  <c:v>0.406412246648044</c:v>
                </c:pt>
                <c:pt idx="26">
                  <c:v>0.41841010416721</c:v>
                </c:pt>
                <c:pt idx="27">
                  <c:v>0.430148995319927</c:v>
                </c:pt>
                <c:pt idx="28">
                  <c:v>0.44165463175446</c:v>
                </c:pt>
                <c:pt idx="29">
                  <c:v>0.452950175330373</c:v>
                </c:pt>
                <c:pt idx="30">
                  <c:v>0.464056610292544</c:v>
                </c:pt>
                <c:pt idx="31">
                  <c:v>0.474993053300813</c:v>
                </c:pt>
                <c:pt idx="32">
                  <c:v>0.485777013630796</c:v>
                </c:pt>
                <c:pt idx="33">
                  <c:v>0.496424613130628</c:v>
                </c:pt>
                <c:pt idx="34">
                  <c:v>0.506950773461354</c:v>
                </c:pt>
                <c:pt idx="35">
                  <c:v>0.517369376584211</c:v>
                </c:pt>
                <c:pt idx="36">
                  <c:v>0.527693403257819</c:v>
                </c:pt>
                <c:pt idx="37">
                  <c:v>0.53793505337993</c:v>
                </c:pt>
                <c:pt idx="38">
                  <c:v>0.548105851285037</c:v>
                </c:pt>
                <c:pt idx="39">
                  <c:v>0.558216738541792</c:v>
                </c:pt>
                <c:pt idx="40">
                  <c:v>0.568278156346456</c:v>
                </c:pt>
                <c:pt idx="41">
                  <c:v>0.57830011925365</c:v>
                </c:pt>
                <c:pt idx="42">
                  <c:v>0.588292281702952</c:v>
                </c:pt>
                <c:pt idx="43">
                  <c:v>0.598263998574228</c:v>
                </c:pt>
                <c:pt idx="44">
                  <c:v>0.608224380824177</c:v>
                </c:pt>
                <c:pt idx="45">
                  <c:v>0.618182347112495</c:v>
                </c:pt>
                <c:pt idx="46">
                  <c:v>0.628146672211491</c:v>
                </c:pt>
                <c:pt idx="47">
                  <c:v>0.638126032902635</c:v>
                </c:pt>
                <c:pt idx="48">
                  <c:v>0.648129051993399</c:v>
                </c:pt>
                <c:pt idx="49">
                  <c:v>0.659781993418889</c:v>
                </c:pt>
                <c:pt idx="50">
                  <c:v>0.669865585985007</c:v>
                </c:pt>
                <c:pt idx="51">
                  <c:v>0.680000216667475</c:v>
                </c:pt>
                <c:pt idx="52">
                  <c:v>0.690194736922862</c:v>
                </c:pt>
                <c:pt idx="53">
                  <c:v>0.700458162356528</c:v>
                </c:pt>
                <c:pt idx="54">
                  <c:v>0.710799717016074</c:v>
                </c:pt>
                <c:pt idx="55">
                  <c:v>0.721228879592236</c:v>
                </c:pt>
                <c:pt idx="56">
                  <c:v>0.731755432103453</c:v>
                </c:pt>
                <c:pt idx="57">
                  <c:v>0.742389511689801</c:v>
                </c:pt>
                <c:pt idx="58">
                  <c:v>0.753141666206632</c:v>
                </c:pt>
                <c:pt idx="59">
                  <c:v>0.764022914390218</c:v>
                </c:pt>
                <c:pt idx="60">
                  <c:v>0.775044811470145</c:v>
                </c:pt>
                <c:pt idx="61">
                  <c:v>0.786219521229838</c:v>
                </c:pt>
                <c:pt idx="62">
                  <c:v>0.797559895672398</c:v>
                </c:pt>
                <c:pt idx="63">
                  <c:v>0.809079563640354</c:v>
                </c:pt>
                <c:pt idx="64">
                  <c:v>0.820793029972922</c:v>
                </c:pt>
                <c:pt idx="65">
                  <c:v>0.832715787073549</c:v>
                </c:pt>
                <c:pt idx="66">
                  <c:v>0.844864441117208</c:v>
                </c:pt>
                <c:pt idx="67">
                  <c:v>0.857256855568626</c:v>
                </c:pt>
                <c:pt idx="68">
                  <c:v>0.869912315232041</c:v>
                </c:pt>
                <c:pt idx="69">
                  <c:v>0.882851714739994</c:v>
                </c:pt>
                <c:pt idx="70">
                  <c:v>0.896097776252351</c:v>
                </c:pt>
                <c:pt idx="71">
                  <c:v>0.909675302229591</c:v>
                </c:pt>
                <c:pt idx="72">
                  <c:v>0.923611470536541</c:v>
                </c:pt>
                <c:pt idx="73">
                  <c:v>0.937936180919267</c:v>
                </c:pt>
                <c:pt idx="74">
                  <c:v>0.952682464208475</c:v>
                </c:pt>
                <c:pt idx="75">
                  <c:v>0.967886968616863</c:v>
                </c:pt>
                <c:pt idx="76">
                  <c:v>0.98359054146534</c:v>
                </c:pt>
                <c:pt idx="77">
                  <c:v>0.999838929946797</c:v>
                </c:pt>
                <c:pt idx="78">
                  <c:v>1.01668363162063</c:v>
                </c:pt>
                <c:pt idx="79">
                  <c:v>1.03418293495681</c:v>
                </c:pt>
                <c:pt idx="80">
                  <c:v>1.05240320348854</c:v>
                </c:pt>
                <c:pt idx="81">
                  <c:v>1.07142047558952</c:v>
                </c:pt>
                <c:pt idx="82">
                  <c:v>1.09132247799775</c:v>
                </c:pt>
                <c:pt idx="83">
                  <c:v>1.11221118872443</c:v>
                </c:pt>
                <c:pt idx="84">
                  <c:v>1.13420613984987</c:v>
                </c:pt>
                <c:pt idx="85">
                  <c:v>1.15744873249773</c:v>
                </c:pt>
                <c:pt idx="86">
                  <c:v>1.18210796083777</c:v>
                </c:pt>
                <c:pt idx="87">
                  <c:v>1.20838813622595</c:v>
                </c:pt>
                <c:pt idx="88">
                  <c:v>1.23653951374554</c:v>
                </c:pt>
                <c:pt idx="89">
                  <c:v>1.26687323708389</c:v>
                </c:pt>
                <c:pt idx="90">
                  <c:v>1.29978289537843</c:v>
                </c:pt>
                <c:pt idx="91">
                  <c:v>1.33577654607227</c:v>
                </c:pt>
                <c:pt idx="92">
                  <c:v>1.37552596329939</c:v>
                </c:pt>
                <c:pt idx="93">
                  <c:v>1.41994558548863</c:v>
                </c:pt>
                <c:pt idx="94">
                  <c:v>1.47032563830204</c:v>
                </c:pt>
                <c:pt idx="95">
                  <c:v>1.5285712446795</c:v>
                </c:pt>
                <c:pt idx="96">
                  <c:v>1.59766830197597</c:v>
                </c:pt>
                <c:pt idx="97">
                  <c:v>1.68269599208536</c:v>
                </c:pt>
                <c:pt idx="98">
                  <c:v>1.79339901463813</c:v>
                </c:pt>
                <c:pt idx="99">
                  <c:v>1.95255019007649</c:v>
                </c:pt>
                <c:pt idx="100">
                  <c:v>2.2399771350652</c:v>
                </c:pt>
                <c:pt idx="101">
                  <c:v>3.01896536402684</c:v>
                </c:pt>
              </c:numCache>
            </c:numRef>
          </c:xVal>
          <c:yVal>
            <c:numRef>
              <c:f>'van Genutchen'!$C$6</c:f>
              <c:numCache>
                <c:formatCode>General</c:formatCode>
                <c:ptCount val="1"/>
              </c:numCache>
            </c:numRef>
          </c:yVal>
          <c:smooth val="0"/>
        </c:ser>
        <c:axId val="86646683"/>
        <c:axId val="32001333"/>
      </c:scatterChart>
      <c:valAx>
        <c:axId val="86646683"/>
        <c:scaling>
          <c:orientation val="minMax"/>
          <c:max val="10"/>
          <c:min val="0"/>
        </c:scaling>
        <c:delete val="0"/>
        <c:axPos val="b"/>
        <c:title>
          <c:tx>
            <c:rich>
              <a:bodyPr rot="0"/>
              <a:lstStyle/>
              <a:p>
                <a:pPr>
                  <a:defRPr b="1" lang="fr-FR" sz="1400" spc="-1" strike="noStrike">
                    <a:solidFill>
                      <a:srgbClr val="000000"/>
                    </a:solidFill>
                    <a:latin typeface="Calibri"/>
                  </a:defRPr>
                </a:pPr>
                <a:r>
                  <a:rPr b="1" lang="fr-FR" sz="1400" spc="-1" strike="noStrike">
                    <a:solidFill>
                      <a:srgbClr val="000000"/>
                    </a:solidFill>
                    <a:latin typeface="Calibri"/>
                  </a:rPr>
                  <a:t>PF</a:t>
                </a:r>
              </a:p>
            </c:rich>
          </c:tx>
          <c:overlay val="0"/>
          <c:spPr>
            <a:noFill/>
            <a:ln w="0">
              <a:noFill/>
            </a:ln>
          </c:spPr>
        </c:title>
        <c:numFmt formatCode="General" sourceLinked="0"/>
        <c:majorTickMark val="in"/>
        <c:minorTickMark val="none"/>
        <c:tickLblPos val="nextTo"/>
        <c:spPr>
          <a:ln w="9360">
            <a:solidFill>
              <a:srgbClr val="bfbfbf"/>
            </a:solidFill>
            <a:round/>
          </a:ln>
        </c:spPr>
        <c:txPr>
          <a:bodyPr/>
          <a:lstStyle/>
          <a:p>
            <a:pPr>
              <a:defRPr b="0" sz="1400" spc="-1" strike="noStrike">
                <a:solidFill>
                  <a:srgbClr val="000000"/>
                </a:solidFill>
                <a:latin typeface="Calibri"/>
              </a:defRPr>
            </a:pPr>
          </a:p>
        </c:txPr>
        <c:crossAx val="32001333"/>
        <c:crosses val="autoZero"/>
        <c:crossBetween val="midCat"/>
      </c:valAx>
      <c:valAx>
        <c:axId val="32001333"/>
        <c:scaling>
          <c:orientation val="minMax"/>
        </c:scaling>
        <c:delete val="0"/>
        <c:axPos val="l"/>
        <c:title>
          <c:tx>
            <c:rich>
              <a:bodyPr rot="-5400000"/>
              <a:lstStyle/>
              <a:p>
                <a:pPr>
                  <a:defRPr b="1" lang="el-GR" sz="2000" spc="-1" strike="noStrike">
                    <a:solidFill>
                      <a:srgbClr val="000000"/>
                    </a:solidFill>
                    <a:latin typeface="Calibri"/>
                  </a:defRPr>
                </a:pPr>
                <a:r>
                  <a:rPr b="1" lang="el-GR" sz="2000" spc="-1" strike="noStrike">
                    <a:solidFill>
                      <a:srgbClr val="000000"/>
                    </a:solidFill>
                    <a:latin typeface="Calibri"/>
                  </a:rPr>
                  <a:t>θ water content</a:t>
                </a:r>
              </a:p>
            </c:rich>
          </c:tx>
          <c:layout>
            <c:manualLayout>
              <c:xMode val="edge"/>
              <c:yMode val="edge"/>
              <c:x val="0.0192619183119555"/>
              <c:y val="0.346075590356989"/>
            </c:manualLayout>
          </c:layout>
          <c:overlay val="0"/>
          <c:spPr>
            <a:noFill/>
            <a:ln w="0">
              <a:noFill/>
            </a:ln>
          </c:spPr>
        </c:title>
        <c:numFmt formatCode="General" sourceLinked="0"/>
        <c:majorTickMark val="in"/>
        <c:minorTickMark val="none"/>
        <c:tickLblPos val="nextTo"/>
        <c:spPr>
          <a:ln w="9360">
            <a:solidFill>
              <a:srgbClr val="bfbfbf"/>
            </a:solidFill>
            <a:round/>
          </a:ln>
        </c:spPr>
        <c:txPr>
          <a:bodyPr/>
          <a:lstStyle/>
          <a:p>
            <a:pPr>
              <a:defRPr b="0" sz="1400" spc="-1" strike="noStrike">
                <a:solidFill>
                  <a:srgbClr val="000000"/>
                </a:solidFill>
                <a:latin typeface="Calibri"/>
              </a:defRPr>
            </a:pPr>
          </a:p>
        </c:txPr>
        <c:crossAx val="86646683"/>
        <c:crosses val="autoZero"/>
        <c:crossBetween val="midCat"/>
        <c:majorUnit val="0.1"/>
      </c:valAx>
      <c:spPr>
        <a:noFill/>
        <a:ln w="0">
          <a:noFill/>
        </a:ln>
      </c:spPr>
    </c:plotArea>
    <c:plotVisOnly val="1"/>
    <c:dispBlanksAs val="gap"/>
  </c:chart>
  <c:spPr>
    <a:solidFill>
      <a:srgbClr val="ffffff"/>
    </a:solidFill>
    <a:ln w="9360">
      <a:solidFill>
        <a:srgbClr val="d9d9d9"/>
      </a:solidFill>
      <a:round/>
    </a:ln>
  </c:spPr>
  <c:userShapes r:id="rId1"/>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'VG-FIT'!$B$5:$D$5</c:f>
              <c:numCache>
                <c:formatCode>General</c:formatCode>
                <c:ptCount val="3"/>
                <c:pt idx="0">
                  <c:v>1</c:v>
                </c:pt>
                <c:pt idx="1">
                  <c:v>330</c:v>
                </c:pt>
                <c:pt idx="2">
                  <c:v>15850</c:v>
                </c:pt>
              </c:numCache>
            </c:numRef>
          </c:xVal>
          <c:yVal>
            <c:numRef>
              <c:f>'VG-FIT'!$E$5:$G$5</c:f>
              <c:numCache>
                <c:formatCode>General</c:formatCode>
                <c:ptCount val="3"/>
                <c:pt idx="0">
                  <c:v>0.4414</c:v>
                </c:pt>
                <c:pt idx="1">
                  <c:v>0.348</c:v>
                </c:pt>
                <c:pt idx="2">
                  <c:v>0.1596</c:v>
                </c:pt>
              </c:numCache>
            </c:numRef>
          </c:yVal>
          <c:smooth val="0"/>
        </c:ser>
        <c:ser>
          <c:idx val="1"/>
          <c:order val="1"/>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'VG-FIT'!$B$5:$D$5</c:f>
              <c:numCache>
                <c:formatCode>General</c:formatCode>
                <c:ptCount val="3"/>
                <c:pt idx="0">
                  <c:v>1</c:v>
                </c:pt>
                <c:pt idx="1">
                  <c:v>330</c:v>
                </c:pt>
                <c:pt idx="2">
                  <c:v>15850</c:v>
                </c:pt>
              </c:numCache>
            </c:numRef>
          </c:xVal>
          <c:yVal>
            <c:numRef>
              <c:f>'VG-FIT'!$H$5:$J$5</c:f>
              <c:numCache>
                <c:formatCode>General</c:formatCode>
                <c:ptCount val="3"/>
                <c:pt idx="0">
                  <c:v>0.441399999995903</c:v>
                </c:pt>
                <c:pt idx="1">
                  <c:v>0.399690139879484</c:v>
                </c:pt>
                <c:pt idx="2">
                  <c:v>0.10001071730049</c:v>
                </c:pt>
              </c:numCache>
            </c:numRef>
          </c:yVal>
          <c:smooth val="0"/>
        </c:ser>
        <c:axId val="59413990"/>
        <c:axId val="39393407"/>
      </c:scatterChart>
      <c:valAx>
        <c:axId val="59413990"/>
        <c:scaling>
          <c:logBase val="10"/>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9393407"/>
        <c:crosses val="autoZero"/>
        <c:crossBetween val="midCat"/>
      </c:valAx>
      <c:valAx>
        <c:axId val="393934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941399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Marker"/>
        <c:varyColors val="0"/>
        <c:ser>
          <c:idx val="0"/>
          <c:order val="0"/>
          <c:tx>
            <c:strRef>
              <c:f>'various models'!$F$1</c:f>
              <c:strCache>
                <c:ptCount val="1"/>
                <c:pt idx="0">
                  <c:v>RCP2.6</c:v>
                </c:pt>
              </c:strCache>
            </c:strRef>
          </c:tx>
          <c:spPr>
            <a:solidFill>
              <a:srgbClr val="4f81bd"/>
            </a:solidFill>
            <a:ln w="25560">
              <a:noFill/>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models'!$F$2:$F$115</c:f>
              <c:numCache>
                <c:formatCode>General</c:formatCode>
                <c:ptCount val="114"/>
                <c:pt idx="0">
                  <c:v>311.2</c:v>
                </c:pt>
                <c:pt idx="1">
                  <c:v>338</c:v>
                </c:pt>
                <c:pt idx="2">
                  <c:v>353.6</c:v>
                </c:pt>
                <c:pt idx="3">
                  <c:v>368.9</c:v>
                </c:pt>
                <c:pt idx="4">
                  <c:v>378.8</c:v>
                </c:pt>
                <c:pt idx="5">
                  <c:v>389.3</c:v>
                </c:pt>
                <c:pt idx="6">
                  <c:v>412.1</c:v>
                </c:pt>
                <c:pt idx="7">
                  <c:v>430.8</c:v>
                </c:pt>
                <c:pt idx="8">
                  <c:v>440.2</c:v>
                </c:pt>
                <c:pt idx="9">
                  <c:v>442.7</c:v>
                </c:pt>
                <c:pt idx="10">
                  <c:v>441.7</c:v>
                </c:pt>
                <c:pt idx="11">
                  <c:v>437.5</c:v>
                </c:pt>
                <c:pt idx="12">
                  <c:v>431.6</c:v>
                </c:pt>
                <c:pt idx="13">
                  <c:v>426</c:v>
                </c:pt>
                <c:pt idx="14">
                  <c:v>420.9</c:v>
                </c:pt>
              </c:numCache>
            </c:numRef>
          </c:yVal>
          <c:smooth val="0"/>
        </c:ser>
        <c:ser>
          <c:idx val="1"/>
          <c:order val="1"/>
          <c:tx>
            <c:strRef>
              <c:f>'various models'!$G$1</c:f>
              <c:strCache>
                <c:ptCount val="1"/>
                <c:pt idx="0">
                  <c:v>RCP4.5</c:v>
                </c:pt>
              </c:strCache>
            </c:strRef>
          </c:tx>
          <c:spPr>
            <a:solidFill>
              <a:srgbClr val="c0504d"/>
            </a:solidFill>
            <a:ln w="25560">
              <a:noFill/>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models'!$G$2:$G$115</c:f>
              <c:numCache>
                <c:formatCode>General</c:formatCode>
                <c:ptCount val="114"/>
                <c:pt idx="0">
                  <c:v>311.2</c:v>
                </c:pt>
                <c:pt idx="1">
                  <c:v>338</c:v>
                </c:pt>
                <c:pt idx="2">
                  <c:v>353.6</c:v>
                </c:pt>
                <c:pt idx="3">
                  <c:v>368.9</c:v>
                </c:pt>
                <c:pt idx="4">
                  <c:v>378.8</c:v>
                </c:pt>
                <c:pt idx="5">
                  <c:v>389.1</c:v>
                </c:pt>
                <c:pt idx="6">
                  <c:v>411.1</c:v>
                </c:pt>
                <c:pt idx="7">
                  <c:v>435</c:v>
                </c:pt>
                <c:pt idx="8">
                  <c:v>460.8</c:v>
                </c:pt>
                <c:pt idx="9">
                  <c:v>486.5</c:v>
                </c:pt>
                <c:pt idx="10">
                  <c:v>508.9</c:v>
                </c:pt>
                <c:pt idx="11">
                  <c:v>524.3</c:v>
                </c:pt>
                <c:pt idx="12">
                  <c:v>531.1</c:v>
                </c:pt>
                <c:pt idx="13">
                  <c:v>533.7</c:v>
                </c:pt>
                <c:pt idx="14">
                  <c:v>538.4</c:v>
                </c:pt>
              </c:numCache>
            </c:numRef>
          </c:yVal>
          <c:smooth val="0"/>
        </c:ser>
        <c:ser>
          <c:idx val="2"/>
          <c:order val="2"/>
          <c:tx>
            <c:strRef>
              <c:f>'various models'!$I$1</c:f>
              <c:strCache>
                <c:ptCount val="1"/>
                <c:pt idx="0">
                  <c:v>RCP8.5</c:v>
                </c:pt>
              </c:strCache>
            </c:strRef>
          </c:tx>
          <c:spPr>
            <a:solidFill>
              <a:srgbClr val="9bbb59"/>
            </a:solidFill>
            <a:ln w="25560">
              <a:noFill/>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models'!$I$2:$I$115</c:f>
              <c:numCache>
                <c:formatCode>General</c:formatCode>
                <c:ptCount val="114"/>
                <c:pt idx="0">
                  <c:v>311.2</c:v>
                </c:pt>
                <c:pt idx="1">
                  <c:v>338</c:v>
                </c:pt>
                <c:pt idx="2">
                  <c:v>353.6</c:v>
                </c:pt>
                <c:pt idx="3">
                  <c:v>368.9</c:v>
                </c:pt>
                <c:pt idx="4">
                  <c:v>378.8</c:v>
                </c:pt>
                <c:pt idx="5">
                  <c:v>389.3</c:v>
                </c:pt>
                <c:pt idx="6">
                  <c:v>415.8</c:v>
                </c:pt>
                <c:pt idx="7">
                  <c:v>448.8</c:v>
                </c:pt>
                <c:pt idx="8">
                  <c:v>489.4</c:v>
                </c:pt>
                <c:pt idx="9">
                  <c:v>540.5</c:v>
                </c:pt>
                <c:pt idx="10">
                  <c:v>603.5</c:v>
                </c:pt>
                <c:pt idx="11">
                  <c:v>677.1</c:v>
                </c:pt>
                <c:pt idx="12">
                  <c:v>758.2</c:v>
                </c:pt>
                <c:pt idx="13">
                  <c:v>844.8</c:v>
                </c:pt>
                <c:pt idx="14">
                  <c:v>935.9</c:v>
                </c:pt>
              </c:numCache>
            </c:numRef>
          </c:yVal>
          <c:smooth val="0"/>
        </c:ser>
        <c:ser>
          <c:idx val="3"/>
          <c:order val="3"/>
          <c:tx>
            <c:strRef>
              <c:f>'various models'!$L$1</c:f>
              <c:strCache>
                <c:ptCount val="1"/>
                <c:pt idx="0">
                  <c:v>RCP2.6</c:v>
                </c:pt>
              </c:strCache>
            </c:strRef>
          </c:tx>
          <c:spPr>
            <a:solidFill>
              <a:srgbClr val="8064a2"/>
            </a:solidFill>
            <a:ln cap="rnd" w="19080">
              <a:solidFill>
                <a:srgbClr val="8064a2"/>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models'!$L$2:$L$115</c:f>
              <c:numCache>
                <c:formatCode>General</c:formatCode>
                <c:ptCount val="114"/>
                <c:pt idx="1">
                  <c:v>339.884738922119</c:v>
                </c:pt>
                <c:pt idx="2">
                  <c:v>350.642776489258</c:v>
                </c:pt>
                <c:pt idx="3">
                  <c:v>370.019999504089</c:v>
                </c:pt>
                <c:pt idx="4">
                  <c:v>381.028861522675</c:v>
                </c:pt>
                <c:pt idx="5">
                  <c:v>392.113859653473</c:v>
                </c:pt>
                <c:pt idx="6">
                  <c:v>412.692615032196</c:v>
                </c:pt>
                <c:pt idx="7">
                  <c:v>429.013341426849</c:v>
                </c:pt>
                <c:pt idx="8">
                  <c:v>439.639938354492</c:v>
                </c:pt>
                <c:pt idx="9">
                  <c:v>444.261121273041</c:v>
                </c:pt>
                <c:pt idx="10">
                  <c:v>443.508430957794</c:v>
                </c:pt>
                <c:pt idx="11">
                  <c:v>438.774235248566</c:v>
                </c:pt>
                <c:pt idx="12">
                  <c:v>432.029728889465</c:v>
                </c:pt>
                <c:pt idx="13">
                  <c:v>425.642934799194</c:v>
                </c:pt>
                <c:pt idx="14">
                  <c:v>422.196710586548</c:v>
                </c:pt>
              </c:numCache>
            </c:numRef>
          </c:yVal>
          <c:smooth val="0"/>
        </c:ser>
        <c:ser>
          <c:idx val="4"/>
          <c:order val="4"/>
          <c:tx>
            <c:strRef>
              <c:f>'various models'!$M$1</c:f>
              <c:strCache>
                <c:ptCount val="1"/>
                <c:pt idx="0">
                  <c:v>RCP4.5</c:v>
                </c:pt>
              </c:strCache>
            </c:strRef>
          </c:tx>
          <c:spPr>
            <a:solidFill>
              <a:srgbClr val="4bacc6"/>
            </a:solidFill>
            <a:ln cap="rnd" w="19080">
              <a:solidFill>
                <a:srgbClr val="4bacc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models'!$M$2:$M$115</c:f>
              <c:numCache>
                <c:formatCode>General</c:formatCode>
                <c:ptCount val="114"/>
                <c:pt idx="0">
                  <c:v>307.391929534606</c:v>
                </c:pt>
                <c:pt idx="1">
                  <c:v>338.622053905573</c:v>
                </c:pt>
                <c:pt idx="2">
                  <c:v>352.717228964339</c:v>
                </c:pt>
                <c:pt idx="3">
                  <c:v>369.151529949219</c:v>
                </c:pt>
                <c:pt idx="4">
                  <c:v>378.345365902386</c:v>
                </c:pt>
                <c:pt idx="5">
                  <c:v>388.237724830169</c:v>
                </c:pt>
                <c:pt idx="6">
                  <c:v>410.197641992423</c:v>
                </c:pt>
                <c:pt idx="7">
                  <c:v>434.922494272163</c:v>
                </c:pt>
                <c:pt idx="8">
                  <c:v>461.457986272957</c:v>
                </c:pt>
                <c:pt idx="9">
                  <c:v>487.32757198667</c:v>
                </c:pt>
                <c:pt idx="10">
                  <c:v>508.784802855816</c:v>
                </c:pt>
                <c:pt idx="11">
                  <c:v>523.219283929386</c:v>
                </c:pt>
                <c:pt idx="12">
                  <c:v>531.178598183521</c:v>
                </c:pt>
                <c:pt idx="13">
                  <c:v>534.995515636945</c:v>
                </c:pt>
                <c:pt idx="14">
                  <c:v>536.689468451481</c:v>
                </c:pt>
              </c:numCache>
            </c:numRef>
          </c:yVal>
          <c:smooth val="0"/>
        </c:ser>
        <c:ser>
          <c:idx val="5"/>
          <c:order val="5"/>
          <c:tx>
            <c:strRef>
              <c:f>'various models'!$O$1</c:f>
              <c:strCache>
                <c:ptCount val="1"/>
                <c:pt idx="0">
                  <c:v>RCP8.5</c:v>
                </c:pt>
              </c:strCache>
            </c:strRef>
          </c:tx>
          <c:spPr>
            <a:solidFill>
              <a:srgbClr val="f79646"/>
            </a:solidFill>
            <a:ln cap="rnd" w="19080">
              <a:solidFill>
                <a:srgbClr val="f7964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models'!$E$2:$E$115</c:f>
              <c:numCache>
                <c:formatCode>General</c:formatCode>
                <c:ptCount val="114"/>
                <c:pt idx="0">
                  <c:v>1950</c:v>
                </c:pt>
                <c:pt idx="1">
                  <c:v>1980</c:v>
                </c:pt>
                <c:pt idx="2">
                  <c:v>1990</c:v>
                </c:pt>
                <c:pt idx="3">
                  <c:v>2000</c:v>
                </c:pt>
                <c:pt idx="4">
                  <c:v>2005</c:v>
                </c:pt>
                <c:pt idx="5">
                  <c:v>2010</c:v>
                </c:pt>
                <c:pt idx="6">
                  <c:v>2020</c:v>
                </c:pt>
                <c:pt idx="7">
                  <c:v>2030</c:v>
                </c:pt>
                <c:pt idx="8">
                  <c:v>2040</c:v>
                </c:pt>
                <c:pt idx="9">
                  <c:v>2050</c:v>
                </c:pt>
                <c:pt idx="10">
                  <c:v>2060</c:v>
                </c:pt>
                <c:pt idx="11">
                  <c:v>2070</c:v>
                </c:pt>
                <c:pt idx="12">
                  <c:v>2080</c:v>
                </c:pt>
                <c:pt idx="13">
                  <c:v>2090</c:v>
                </c:pt>
                <c:pt idx="14">
                  <c:v>2100</c:v>
                </c:pt>
              </c:numCache>
            </c:numRef>
          </c:xVal>
          <c:yVal>
            <c:numRef>
              <c:f>'various models'!$O$2:$O$115</c:f>
              <c:numCache>
                <c:formatCode>General</c:formatCode>
                <c:ptCount val="114"/>
                <c:pt idx="0">
                  <c:v>310.38719589684</c:v>
                </c:pt>
                <c:pt idx="1">
                  <c:v>337.021982982583</c:v>
                </c:pt>
                <c:pt idx="2">
                  <c:v>350.715852023054</c:v>
                </c:pt>
                <c:pt idx="3">
                  <c:v>367.855443251302</c:v>
                </c:pt>
                <c:pt idx="4">
                  <c:v>377.975493913566</c:v>
                </c:pt>
                <c:pt idx="5">
                  <c:v>389.289177592271</c:v>
                </c:pt>
                <c:pt idx="6">
                  <c:v>416.051658134755</c:v>
                </c:pt>
                <c:pt idx="7">
                  <c:v>449.376717947695</c:v>
                </c:pt>
                <c:pt idx="8">
                  <c:v>490.674738235023</c:v>
                </c:pt>
                <c:pt idx="9">
                  <c:v>541.425218925446</c:v>
                </c:pt>
                <c:pt idx="10">
                  <c:v>602.894952672514</c:v>
                </c:pt>
                <c:pt idx="11">
                  <c:v>675.553423697774</c:v>
                </c:pt>
                <c:pt idx="12">
                  <c:v>758.106711933981</c:v>
                </c:pt>
                <c:pt idx="13">
                  <c:v>846.409603668201</c:v>
                </c:pt>
                <c:pt idx="14">
                  <c:v>933.231011316687</c:v>
                </c:pt>
              </c:numCache>
            </c:numRef>
          </c:yVal>
          <c:smooth val="0"/>
        </c:ser>
        <c:axId val="4911956"/>
        <c:axId val="34963185"/>
      </c:scatterChart>
      <c:valAx>
        <c:axId val="4911956"/>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4963185"/>
        <c:crosses val="autoZero"/>
        <c:crossBetween val="midCat"/>
      </c:valAx>
      <c:valAx>
        <c:axId val="34963185"/>
        <c:scaling>
          <c:orientation val="minMax"/>
          <c:min val="300"/>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911956"/>
        <c:crosses val="autoZero"/>
        <c:crossBetween val="midCat"/>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
        <c:varyColors val="0"/>
        <c:ser>
          <c:idx val="0"/>
          <c:order val="0"/>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0000"/>
                </a:solidFill>
                <a:round/>
              </a:ln>
            </c:spPr>
            <c:trendlineType val="power"/>
            <c:forward val="0"/>
            <c:backward val="0"/>
            <c:dispRSqr val="0"/>
            <c:dispEq val="0"/>
          </c:trendline>
          <c:xVal>
            <c:numRef>
              <c:f>'various models'!$T$4:$T$134</c:f>
              <c:numCache>
                <c:formatCode>General</c:formatCode>
                <c:ptCount val="131"/>
                <c:pt idx="0">
                  <c:v>-33.89</c:v>
                </c:pt>
                <c:pt idx="1">
                  <c:v>-33.73</c:v>
                </c:pt>
                <c:pt idx="2">
                  <c:v>-32.83</c:v>
                </c:pt>
                <c:pt idx="3">
                  <c:v>-32.69</c:v>
                </c:pt>
                <c:pt idx="4">
                  <c:v>-31.78</c:v>
                </c:pt>
                <c:pt idx="5">
                  <c:v>-31.74</c:v>
                </c:pt>
                <c:pt idx="6">
                  <c:v>-31.3</c:v>
                </c:pt>
                <c:pt idx="7">
                  <c:v>-30.72</c:v>
                </c:pt>
                <c:pt idx="8">
                  <c:v>-30.7</c:v>
                </c:pt>
                <c:pt idx="9">
                  <c:v>-30.34</c:v>
                </c:pt>
                <c:pt idx="10">
                  <c:v>-29.75</c:v>
                </c:pt>
                <c:pt idx="11">
                  <c:v>-29.66</c:v>
                </c:pt>
                <c:pt idx="12">
                  <c:v>-29.38</c:v>
                </c:pt>
                <c:pt idx="13">
                  <c:v>-28.76</c:v>
                </c:pt>
                <c:pt idx="14">
                  <c:v>-28.71</c:v>
                </c:pt>
                <c:pt idx="15">
                  <c:v>-28.61</c:v>
                </c:pt>
                <c:pt idx="16">
                  <c:v>-28.42</c:v>
                </c:pt>
                <c:pt idx="17">
                  <c:v>-27.76</c:v>
                </c:pt>
                <c:pt idx="18">
                  <c:v>-27.76</c:v>
                </c:pt>
                <c:pt idx="19">
                  <c:v>-27.55</c:v>
                </c:pt>
                <c:pt idx="20">
                  <c:v>-27.36</c:v>
                </c:pt>
                <c:pt idx="21">
                  <c:v>-26.76</c:v>
                </c:pt>
                <c:pt idx="22">
                  <c:v>-26.5</c:v>
                </c:pt>
                <c:pt idx="23">
                  <c:v>-26.4</c:v>
                </c:pt>
                <c:pt idx="24">
                  <c:v>-25.76</c:v>
                </c:pt>
                <c:pt idx="25">
                  <c:v>-25.44</c:v>
                </c:pt>
                <c:pt idx="26">
                  <c:v>-25.44</c:v>
                </c:pt>
                <c:pt idx="27">
                  <c:v>-24.86</c:v>
                </c:pt>
                <c:pt idx="28">
                  <c:v>-24.48</c:v>
                </c:pt>
                <c:pt idx="29">
                  <c:v>-24.48</c:v>
                </c:pt>
                <c:pt idx="30">
                  <c:v>-23.78</c:v>
                </c:pt>
                <c:pt idx="31">
                  <c:v>-23.76</c:v>
                </c:pt>
                <c:pt idx="32">
                  <c:v>-23.52</c:v>
                </c:pt>
                <c:pt idx="33">
                  <c:v>-23.43</c:v>
                </c:pt>
                <c:pt idx="34">
                  <c:v>-22.47</c:v>
                </c:pt>
                <c:pt idx="35">
                  <c:v>-21.51</c:v>
                </c:pt>
                <c:pt idx="36">
                  <c:v>-20.55</c:v>
                </c:pt>
                <c:pt idx="37">
                  <c:v>-19.8</c:v>
                </c:pt>
                <c:pt idx="38">
                  <c:v>-19.76</c:v>
                </c:pt>
                <c:pt idx="39">
                  <c:v>-19.59</c:v>
                </c:pt>
                <c:pt idx="40">
                  <c:v>-18.53</c:v>
                </c:pt>
                <c:pt idx="41">
                  <c:v>-17.57</c:v>
                </c:pt>
                <c:pt idx="42">
                  <c:v>-16.61</c:v>
                </c:pt>
                <c:pt idx="43">
                  <c:v>-15.65</c:v>
                </c:pt>
                <c:pt idx="44">
                  <c:v>-14.69</c:v>
                </c:pt>
                <c:pt idx="45">
                  <c:v>-13.64</c:v>
                </c:pt>
                <c:pt idx="46">
                  <c:v>-12.68</c:v>
                </c:pt>
                <c:pt idx="47">
                  <c:v>-11.72</c:v>
                </c:pt>
                <c:pt idx="48">
                  <c:v>-10.76</c:v>
                </c:pt>
                <c:pt idx="49">
                  <c:v>-9.96000000000004</c:v>
                </c:pt>
                <c:pt idx="50">
                  <c:v>-9.70000000000005</c:v>
                </c:pt>
                <c:pt idx="51">
                  <c:v>-8.74000000000001</c:v>
                </c:pt>
                <c:pt idx="52">
                  <c:v>-7.78000000000003</c:v>
                </c:pt>
                <c:pt idx="53">
                  <c:v>-6.82000000000005</c:v>
                </c:pt>
                <c:pt idx="54">
                  <c:v>-5.86000000000001</c:v>
                </c:pt>
                <c:pt idx="55">
                  <c:v>-4.81</c:v>
                </c:pt>
                <c:pt idx="56">
                  <c:v>-3.85000000000002</c:v>
                </c:pt>
                <c:pt idx="57">
                  <c:v>-2.89000000000004</c:v>
                </c:pt>
                <c:pt idx="58">
                  <c:v>-1.93000000000001</c:v>
                </c:pt>
                <c:pt idx="59">
                  <c:v>-0.870000000000005</c:v>
                </c:pt>
                <c:pt idx="60">
                  <c:v>-0.0100000000000477</c:v>
                </c:pt>
                <c:pt idx="61">
                  <c:v>0</c:v>
                </c:pt>
                <c:pt idx="62">
                  <c:v>0.089999999999975</c:v>
                </c:pt>
                <c:pt idx="63">
                  <c:v>1.04999999999995</c:v>
                </c:pt>
                <c:pt idx="64">
                  <c:v>2.00999999999999</c:v>
                </c:pt>
                <c:pt idx="65">
                  <c:v>2.96999999999997</c:v>
                </c:pt>
                <c:pt idx="66">
                  <c:v>4.01999999999998</c:v>
                </c:pt>
                <c:pt idx="67">
                  <c:v>4.97999999999996</c:v>
                </c:pt>
                <c:pt idx="68">
                  <c:v>5.98999999999995</c:v>
                </c:pt>
                <c:pt idx="69">
                  <c:v>6.98999999999995</c:v>
                </c:pt>
                <c:pt idx="70">
                  <c:v>7.98999999999995</c:v>
                </c:pt>
                <c:pt idx="71">
                  <c:v>8.98999999999995</c:v>
                </c:pt>
                <c:pt idx="72">
                  <c:v>9.94</c:v>
                </c:pt>
                <c:pt idx="73">
                  <c:v>9.98999999999995</c:v>
                </c:pt>
                <c:pt idx="74">
                  <c:v>9.98999999999995</c:v>
                </c:pt>
                <c:pt idx="75">
                  <c:v>9.98999999999995</c:v>
                </c:pt>
                <c:pt idx="76">
                  <c:v>10.99</c:v>
                </c:pt>
                <c:pt idx="77">
                  <c:v>11.99</c:v>
                </c:pt>
                <c:pt idx="78">
                  <c:v>12.99</c:v>
                </c:pt>
                <c:pt idx="79">
                  <c:v>13.99</c:v>
                </c:pt>
                <c:pt idx="80">
                  <c:v>14.99</c:v>
                </c:pt>
                <c:pt idx="81">
                  <c:v>15.99</c:v>
                </c:pt>
                <c:pt idx="82">
                  <c:v>16.99</c:v>
                </c:pt>
                <c:pt idx="83">
                  <c:v>17.99</c:v>
                </c:pt>
                <c:pt idx="84">
                  <c:v>18.99</c:v>
                </c:pt>
                <c:pt idx="85">
                  <c:v>19.94</c:v>
                </c:pt>
                <c:pt idx="86">
                  <c:v>19.99</c:v>
                </c:pt>
                <c:pt idx="87">
                  <c:v>19.99</c:v>
                </c:pt>
                <c:pt idx="88">
                  <c:v>19.99</c:v>
                </c:pt>
                <c:pt idx="90">
                  <c:v>20</c:v>
                </c:pt>
                <c:pt idx="91">
                  <c:v>21</c:v>
                </c:pt>
                <c:pt idx="92">
                  <c:v>22</c:v>
                </c:pt>
                <c:pt idx="93">
                  <c:v>23</c:v>
                </c:pt>
                <c:pt idx="94">
                  <c:v>24</c:v>
                </c:pt>
                <c:pt idx="95">
                  <c:v>25</c:v>
                </c:pt>
                <c:pt idx="96">
                  <c:v>26</c:v>
                </c:pt>
                <c:pt idx="97">
                  <c:v>27</c:v>
                </c:pt>
                <c:pt idx="98">
                  <c:v>28</c:v>
                </c:pt>
                <c:pt idx="99">
                  <c:v>29</c:v>
                </c:pt>
                <c:pt idx="100">
                  <c:v>30</c:v>
                </c:pt>
                <c:pt idx="101">
                  <c:v>31</c:v>
                </c:pt>
                <c:pt idx="102">
                  <c:v>32</c:v>
                </c:pt>
                <c:pt idx="103">
                  <c:v>33</c:v>
                </c:pt>
                <c:pt idx="104">
                  <c:v>34</c:v>
                </c:pt>
                <c:pt idx="105">
                  <c:v>35</c:v>
                </c:pt>
                <c:pt idx="106">
                  <c:v>36</c:v>
                </c:pt>
                <c:pt idx="107">
                  <c:v>37</c:v>
                </c:pt>
                <c:pt idx="108">
                  <c:v>38</c:v>
                </c:pt>
                <c:pt idx="109">
                  <c:v>39</c:v>
                </c:pt>
                <c:pt idx="110">
                  <c:v>40</c:v>
                </c:pt>
                <c:pt idx="111">
                  <c:v>41</c:v>
                </c:pt>
                <c:pt idx="112">
                  <c:v>42</c:v>
                </c:pt>
                <c:pt idx="113">
                  <c:v>43</c:v>
                </c:pt>
                <c:pt idx="114">
                  <c:v>44</c:v>
                </c:pt>
                <c:pt idx="115">
                  <c:v>45</c:v>
                </c:pt>
                <c:pt idx="116">
                  <c:v>46</c:v>
                </c:pt>
                <c:pt idx="117">
                  <c:v>47</c:v>
                </c:pt>
                <c:pt idx="118">
                  <c:v>48</c:v>
                </c:pt>
                <c:pt idx="119">
                  <c:v>49</c:v>
                </c:pt>
                <c:pt idx="120">
                  <c:v>50</c:v>
                </c:pt>
                <c:pt idx="121">
                  <c:v>51</c:v>
                </c:pt>
                <c:pt idx="122">
                  <c:v>52</c:v>
                </c:pt>
                <c:pt idx="123">
                  <c:v>53</c:v>
                </c:pt>
                <c:pt idx="124">
                  <c:v>54</c:v>
                </c:pt>
                <c:pt idx="125">
                  <c:v>55</c:v>
                </c:pt>
                <c:pt idx="126">
                  <c:v>56</c:v>
                </c:pt>
                <c:pt idx="127">
                  <c:v>57</c:v>
                </c:pt>
                <c:pt idx="128">
                  <c:v>58</c:v>
                </c:pt>
                <c:pt idx="129">
                  <c:v>59</c:v>
                </c:pt>
                <c:pt idx="130">
                  <c:v>60</c:v>
                </c:pt>
              </c:numCache>
            </c:numRef>
          </c:xVal>
          <c:yVal>
            <c:numRef>
              <c:f>'various models'!$U$4:$U$134</c:f>
              <c:numCache>
                <c:formatCode>General</c:formatCode>
                <c:ptCount val="131"/>
                <c:pt idx="0">
                  <c:v>0.0730593607305936</c:v>
                </c:pt>
                <c:pt idx="1">
                  <c:v>0.0720980533525595</c:v>
                </c:pt>
                <c:pt idx="2">
                  <c:v>0.0830840810900631</c:v>
                </c:pt>
                <c:pt idx="3">
                  <c:v>0.0787490156373045</c:v>
                </c:pt>
                <c:pt idx="4">
                  <c:v>0.0925069380203515</c:v>
                </c:pt>
                <c:pt idx="5">
                  <c:v>0.0872219799389446</c:v>
                </c:pt>
                <c:pt idx="6">
                  <c:v>0.0995470608730277</c:v>
                </c:pt>
                <c:pt idx="7">
                  <c:v>0.101243267322723</c:v>
                </c:pt>
                <c:pt idx="8">
                  <c:v>0.0974025974025974</c:v>
                </c:pt>
                <c:pt idx="9">
                  <c:v>0.106113930990574</c:v>
                </c:pt>
                <c:pt idx="10">
                  <c:v>0.105733393248923</c:v>
                </c:pt>
                <c:pt idx="11">
                  <c:v>0.111088893332445</c:v>
                </c:pt>
                <c:pt idx="12">
                  <c:v>0.115247205255273</c:v>
                </c:pt>
                <c:pt idx="13">
                  <c:v>0.118091639111951</c:v>
                </c:pt>
                <c:pt idx="14">
                  <c:v>0.133821782840702</c:v>
                </c:pt>
                <c:pt idx="15">
                  <c:v>0.122880314573605</c:v>
                </c:pt>
                <c:pt idx="16">
                  <c:v>0.121859577147267</c:v>
                </c:pt>
                <c:pt idx="17">
                  <c:v>0.124340149434252</c:v>
                </c:pt>
                <c:pt idx="18">
                  <c:v>0.129087779690189</c:v>
                </c:pt>
                <c:pt idx="19">
                  <c:v>0.133547008547009</c:v>
                </c:pt>
                <c:pt idx="20">
                  <c:v>0.135269185679502</c:v>
                </c:pt>
                <c:pt idx="21">
                  <c:v>0.13967943569508</c:v>
                </c:pt>
                <c:pt idx="22">
                  <c:v>0.145007395377164</c:v>
                </c:pt>
                <c:pt idx="23">
                  <c:v>0.147423045170421</c:v>
                </c:pt>
                <c:pt idx="24">
                  <c:v>0.152397208083148</c:v>
                </c:pt>
                <c:pt idx="25">
                  <c:v>0.157372921365997</c:v>
                </c:pt>
                <c:pt idx="26">
                  <c:v>0.157678965625986</c:v>
                </c:pt>
                <c:pt idx="27">
                  <c:v>0.161884333643612</c:v>
                </c:pt>
                <c:pt idx="28">
                  <c:v>0.163961305131989</c:v>
                </c:pt>
                <c:pt idx="29">
                  <c:v>0.171738682420828</c:v>
                </c:pt>
                <c:pt idx="30">
                  <c:v>0.177374153038419</c:v>
                </c:pt>
                <c:pt idx="31">
                  <c:v>0.172681747539285</c:v>
                </c:pt>
                <c:pt idx="32">
                  <c:v>0.181033702440938</c:v>
                </c:pt>
                <c:pt idx="33">
                  <c:v>0.184243496204584</c:v>
                </c:pt>
                <c:pt idx="34">
                  <c:v>0.190645653279105</c:v>
                </c:pt>
                <c:pt idx="35">
                  <c:v>0.202388180530257</c:v>
                </c:pt>
                <c:pt idx="36">
                  <c:v>0.216387766878246</c:v>
                </c:pt>
                <c:pt idx="37">
                  <c:v>0.228123003923716</c:v>
                </c:pt>
                <c:pt idx="38">
                  <c:v>0.225774406213312</c:v>
                </c:pt>
                <c:pt idx="39">
                  <c:v>0.22737608003638</c:v>
                </c:pt>
                <c:pt idx="40">
                  <c:v>0.243862786538774</c:v>
                </c:pt>
                <c:pt idx="41">
                  <c:v>0.257356095050184</c:v>
                </c:pt>
                <c:pt idx="42">
                  <c:v>0.273872557969691</c:v>
                </c:pt>
                <c:pt idx="43">
                  <c:v>0.284414106939704</c:v>
                </c:pt>
                <c:pt idx="44">
                  <c:v>0.30269397638987</c:v>
                </c:pt>
                <c:pt idx="45">
                  <c:v>0.313840359870279</c:v>
                </c:pt>
                <c:pt idx="46">
                  <c:v>0.329055610398157</c:v>
                </c:pt>
                <c:pt idx="47">
                  <c:v>0.340715502555366</c:v>
                </c:pt>
                <c:pt idx="48">
                  <c:v>0.36036036036036</c:v>
                </c:pt>
                <c:pt idx="49">
                  <c:v>0.372300819061802</c:v>
                </c:pt>
                <c:pt idx="50">
                  <c:v>0.380952380952381</c:v>
                </c:pt>
                <c:pt idx="51">
                  <c:v>0.395621785572992</c:v>
                </c:pt>
                <c:pt idx="52">
                  <c:v>0.416261967531567</c:v>
                </c:pt>
                <c:pt idx="53">
                  <c:v>0.436046511627907</c:v>
                </c:pt>
                <c:pt idx="54">
                  <c:v>0.451263537906137</c:v>
                </c:pt>
                <c:pt idx="55">
                  <c:v>0.472738733060195</c:v>
                </c:pt>
                <c:pt idx="56">
                  <c:v>0.486696950032446</c:v>
                </c:pt>
                <c:pt idx="57">
                  <c:v>0.511945392491467</c:v>
                </c:pt>
                <c:pt idx="58">
                  <c:v>0.533523030410813</c:v>
                </c:pt>
                <c:pt idx="59">
                  <c:v>0.547345374931582</c:v>
                </c:pt>
                <c:pt idx="60">
                  <c:v>0.56041246357319</c:v>
                </c:pt>
                <c:pt idx="61">
                  <c:v>0.543419193565917</c:v>
                </c:pt>
                <c:pt idx="62">
                  <c:v>0.559492726594554</c:v>
                </c:pt>
                <c:pt idx="63">
                  <c:v>0.581846392552366</c:v>
                </c:pt>
                <c:pt idx="64">
                  <c:v>0.600480384307446</c:v>
                </c:pt>
                <c:pt idx="65">
                  <c:v>0.624609618988132</c:v>
                </c:pt>
                <c:pt idx="66">
                  <c:v>0.64419153961778</c:v>
                </c:pt>
                <c:pt idx="67">
                  <c:v>0.668747213553277</c:v>
                </c:pt>
                <c:pt idx="68">
                  <c:v>0.684931506849315</c:v>
                </c:pt>
                <c:pt idx="69">
                  <c:v>0.710227272727273</c:v>
                </c:pt>
                <c:pt idx="70">
                  <c:v>0.713945740123751</c:v>
                </c:pt>
                <c:pt idx="71">
                  <c:v>0.749437921558831</c:v>
                </c:pt>
                <c:pt idx="72">
                  <c:v>0.758380100106173</c:v>
                </c:pt>
                <c:pt idx="73">
                  <c:v>0.77724234416291</c:v>
                </c:pt>
                <c:pt idx="74">
                  <c:v>0.763747454175153</c:v>
                </c:pt>
                <c:pt idx="75">
                  <c:v>0.753012048192771</c:v>
                </c:pt>
                <c:pt idx="76">
                  <c:v>0.78781512605042</c:v>
                </c:pt>
                <c:pt idx="77">
                  <c:v>0.819672131147541</c:v>
                </c:pt>
                <c:pt idx="78">
                  <c:v>0.841042893187553</c:v>
                </c:pt>
                <c:pt idx="79">
                  <c:v>0.863060989643268</c:v>
                </c:pt>
                <c:pt idx="80">
                  <c:v>0.888362451880367</c:v>
                </c:pt>
                <c:pt idx="81">
                  <c:v>0.906344410876133</c:v>
                </c:pt>
                <c:pt idx="82">
                  <c:v>0.938086303939962</c:v>
                </c:pt>
                <c:pt idx="83">
                  <c:v>0.956327701625757</c:v>
                </c:pt>
                <c:pt idx="84">
                  <c:v>0.989445910290237</c:v>
                </c:pt>
                <c:pt idx="85">
                  <c:v>0.983284169124877</c:v>
                </c:pt>
                <c:pt idx="86">
                  <c:v>0.973520249221184</c:v>
                </c:pt>
                <c:pt idx="87">
                  <c:v>1.00222159119381</c:v>
                </c:pt>
                <c:pt idx="88">
                  <c:v>1.01140869002346</c:v>
                </c:pt>
                <c:pt idx="90">
                  <c:v>1.0005698</c:v>
                </c:pt>
                <c:pt idx="91">
                  <c:v>1.025134692</c:v>
                </c:pt>
                <c:pt idx="92">
                  <c:v>1.049902008</c:v>
                </c:pt>
                <c:pt idx="93">
                  <c:v>1.074871748</c:v>
                </c:pt>
                <c:pt idx="94">
                  <c:v>1.100043912</c:v>
                </c:pt>
                <c:pt idx="95">
                  <c:v>1.1254185</c:v>
                </c:pt>
                <c:pt idx="96">
                  <c:v>1.150995512</c:v>
                </c:pt>
                <c:pt idx="97">
                  <c:v>1.176774948</c:v>
                </c:pt>
                <c:pt idx="98">
                  <c:v>1.202756808</c:v>
                </c:pt>
                <c:pt idx="99">
                  <c:v>1.228941092</c:v>
                </c:pt>
                <c:pt idx="100">
                  <c:v>1.2553278</c:v>
                </c:pt>
                <c:pt idx="101">
                  <c:v>1.281916932</c:v>
                </c:pt>
                <c:pt idx="102">
                  <c:v>1.308708488</c:v>
                </c:pt>
                <c:pt idx="103">
                  <c:v>1.335702468</c:v>
                </c:pt>
                <c:pt idx="104">
                  <c:v>1.362898872</c:v>
                </c:pt>
                <c:pt idx="105">
                  <c:v>1.3902977</c:v>
                </c:pt>
                <c:pt idx="106">
                  <c:v>1.417898952</c:v>
                </c:pt>
                <c:pt idx="107">
                  <c:v>1.445702628</c:v>
                </c:pt>
                <c:pt idx="108">
                  <c:v>1.473708728</c:v>
                </c:pt>
                <c:pt idx="109">
                  <c:v>1.501917252</c:v>
                </c:pt>
                <c:pt idx="110">
                  <c:v>1.5303282</c:v>
                </c:pt>
                <c:pt idx="111">
                  <c:v>1.558941572</c:v>
                </c:pt>
                <c:pt idx="112">
                  <c:v>1.587757368</c:v>
                </c:pt>
                <c:pt idx="113">
                  <c:v>1.616775588</c:v>
                </c:pt>
                <c:pt idx="114">
                  <c:v>1.645996232</c:v>
                </c:pt>
                <c:pt idx="115">
                  <c:v>1.6754193</c:v>
                </c:pt>
                <c:pt idx="116">
                  <c:v>1.705044792</c:v>
                </c:pt>
                <c:pt idx="117">
                  <c:v>1.734872708</c:v>
                </c:pt>
                <c:pt idx="118">
                  <c:v>1.764903048</c:v>
                </c:pt>
                <c:pt idx="119">
                  <c:v>1.795135812</c:v>
                </c:pt>
                <c:pt idx="120">
                  <c:v>1.825571</c:v>
                </c:pt>
                <c:pt idx="121">
                  <c:v>1.856208612</c:v>
                </c:pt>
                <c:pt idx="122">
                  <c:v>1.887048648</c:v>
                </c:pt>
                <c:pt idx="123">
                  <c:v>1.918091108</c:v>
                </c:pt>
                <c:pt idx="124">
                  <c:v>1.949335992</c:v>
                </c:pt>
                <c:pt idx="125">
                  <c:v>1.9807833</c:v>
                </c:pt>
                <c:pt idx="126">
                  <c:v>2.012433032</c:v>
                </c:pt>
                <c:pt idx="127">
                  <c:v>2.044285188</c:v>
                </c:pt>
                <c:pt idx="128">
                  <c:v>2.076339768</c:v>
                </c:pt>
                <c:pt idx="129">
                  <c:v>2.108596772</c:v>
                </c:pt>
                <c:pt idx="130">
                  <c:v>2.1410562</c:v>
                </c:pt>
              </c:numCache>
            </c:numRef>
          </c:yVal>
          <c:smooth val="0"/>
        </c:ser>
        <c:ser>
          <c:idx val="1"/>
          <c:order val="1"/>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models'!$T$4:$T$134</c:f>
              <c:numCache>
                <c:formatCode>General</c:formatCode>
                <c:ptCount val="131"/>
                <c:pt idx="0">
                  <c:v>-33.89</c:v>
                </c:pt>
                <c:pt idx="1">
                  <c:v>-33.73</c:v>
                </c:pt>
                <c:pt idx="2">
                  <c:v>-32.83</c:v>
                </c:pt>
                <c:pt idx="3">
                  <c:v>-32.69</c:v>
                </c:pt>
                <c:pt idx="4">
                  <c:v>-31.78</c:v>
                </c:pt>
                <c:pt idx="5">
                  <c:v>-31.74</c:v>
                </c:pt>
                <c:pt idx="6">
                  <c:v>-31.3</c:v>
                </c:pt>
                <c:pt idx="7">
                  <c:v>-30.72</c:v>
                </c:pt>
                <c:pt idx="8">
                  <c:v>-30.7</c:v>
                </c:pt>
                <c:pt idx="9">
                  <c:v>-30.34</c:v>
                </c:pt>
                <c:pt idx="10">
                  <c:v>-29.75</c:v>
                </c:pt>
                <c:pt idx="11">
                  <c:v>-29.66</c:v>
                </c:pt>
                <c:pt idx="12">
                  <c:v>-29.38</c:v>
                </c:pt>
                <c:pt idx="13">
                  <c:v>-28.76</c:v>
                </c:pt>
                <c:pt idx="14">
                  <c:v>-28.71</c:v>
                </c:pt>
                <c:pt idx="15">
                  <c:v>-28.61</c:v>
                </c:pt>
                <c:pt idx="16">
                  <c:v>-28.42</c:v>
                </c:pt>
                <c:pt idx="17">
                  <c:v>-27.76</c:v>
                </c:pt>
                <c:pt idx="18">
                  <c:v>-27.76</c:v>
                </c:pt>
                <c:pt idx="19">
                  <c:v>-27.55</c:v>
                </c:pt>
                <c:pt idx="20">
                  <c:v>-27.36</c:v>
                </c:pt>
                <c:pt idx="21">
                  <c:v>-26.76</c:v>
                </c:pt>
                <c:pt idx="22">
                  <c:v>-26.5</c:v>
                </c:pt>
                <c:pt idx="23">
                  <c:v>-26.4</c:v>
                </c:pt>
                <c:pt idx="24">
                  <c:v>-25.76</c:v>
                </c:pt>
                <c:pt idx="25">
                  <c:v>-25.44</c:v>
                </c:pt>
                <c:pt idx="26">
                  <c:v>-25.44</c:v>
                </c:pt>
                <c:pt idx="27">
                  <c:v>-24.86</c:v>
                </c:pt>
                <c:pt idx="28">
                  <c:v>-24.48</c:v>
                </c:pt>
                <c:pt idx="29">
                  <c:v>-24.48</c:v>
                </c:pt>
                <c:pt idx="30">
                  <c:v>-23.78</c:v>
                </c:pt>
                <c:pt idx="31">
                  <c:v>-23.76</c:v>
                </c:pt>
                <c:pt idx="32">
                  <c:v>-23.52</c:v>
                </c:pt>
                <c:pt idx="33">
                  <c:v>-23.43</c:v>
                </c:pt>
                <c:pt idx="34">
                  <c:v>-22.47</c:v>
                </c:pt>
                <c:pt idx="35">
                  <c:v>-21.51</c:v>
                </c:pt>
                <c:pt idx="36">
                  <c:v>-20.55</c:v>
                </c:pt>
                <c:pt idx="37">
                  <c:v>-19.8</c:v>
                </c:pt>
                <c:pt idx="38">
                  <c:v>-19.76</c:v>
                </c:pt>
                <c:pt idx="39">
                  <c:v>-19.59</c:v>
                </c:pt>
                <c:pt idx="40">
                  <c:v>-18.53</c:v>
                </c:pt>
                <c:pt idx="41">
                  <c:v>-17.57</c:v>
                </c:pt>
                <c:pt idx="42">
                  <c:v>-16.61</c:v>
                </c:pt>
                <c:pt idx="43">
                  <c:v>-15.65</c:v>
                </c:pt>
                <c:pt idx="44">
                  <c:v>-14.69</c:v>
                </c:pt>
                <c:pt idx="45">
                  <c:v>-13.64</c:v>
                </c:pt>
                <c:pt idx="46">
                  <c:v>-12.68</c:v>
                </c:pt>
                <c:pt idx="47">
                  <c:v>-11.72</c:v>
                </c:pt>
                <c:pt idx="48">
                  <c:v>-10.76</c:v>
                </c:pt>
                <c:pt idx="49">
                  <c:v>-9.96000000000004</c:v>
                </c:pt>
                <c:pt idx="50">
                  <c:v>-9.70000000000005</c:v>
                </c:pt>
                <c:pt idx="51">
                  <c:v>-8.74000000000001</c:v>
                </c:pt>
                <c:pt idx="52">
                  <c:v>-7.78000000000003</c:v>
                </c:pt>
                <c:pt idx="53">
                  <c:v>-6.82000000000005</c:v>
                </c:pt>
                <c:pt idx="54">
                  <c:v>-5.86000000000001</c:v>
                </c:pt>
                <c:pt idx="55">
                  <c:v>-4.81</c:v>
                </c:pt>
                <c:pt idx="56">
                  <c:v>-3.85000000000002</c:v>
                </c:pt>
                <c:pt idx="57">
                  <c:v>-2.89000000000004</c:v>
                </c:pt>
                <c:pt idx="58">
                  <c:v>-1.93000000000001</c:v>
                </c:pt>
                <c:pt idx="59">
                  <c:v>-0.870000000000005</c:v>
                </c:pt>
                <c:pt idx="60">
                  <c:v>-0.0100000000000477</c:v>
                </c:pt>
                <c:pt idx="61">
                  <c:v>0</c:v>
                </c:pt>
                <c:pt idx="62">
                  <c:v>0.089999999999975</c:v>
                </c:pt>
                <c:pt idx="63">
                  <c:v>1.04999999999995</c:v>
                </c:pt>
                <c:pt idx="64">
                  <c:v>2.00999999999999</c:v>
                </c:pt>
                <c:pt idx="65">
                  <c:v>2.96999999999997</c:v>
                </c:pt>
                <c:pt idx="66">
                  <c:v>4.01999999999998</c:v>
                </c:pt>
                <c:pt idx="67">
                  <c:v>4.97999999999996</c:v>
                </c:pt>
                <c:pt idx="68">
                  <c:v>5.98999999999995</c:v>
                </c:pt>
                <c:pt idx="69">
                  <c:v>6.98999999999995</c:v>
                </c:pt>
                <c:pt idx="70">
                  <c:v>7.98999999999995</c:v>
                </c:pt>
                <c:pt idx="71">
                  <c:v>8.98999999999995</c:v>
                </c:pt>
                <c:pt idx="72">
                  <c:v>9.94</c:v>
                </c:pt>
                <c:pt idx="73">
                  <c:v>9.98999999999995</c:v>
                </c:pt>
                <c:pt idx="74">
                  <c:v>9.98999999999995</c:v>
                </c:pt>
                <c:pt idx="75">
                  <c:v>9.98999999999995</c:v>
                </c:pt>
                <c:pt idx="76">
                  <c:v>10.99</c:v>
                </c:pt>
                <c:pt idx="77">
                  <c:v>11.99</c:v>
                </c:pt>
                <c:pt idx="78">
                  <c:v>12.99</c:v>
                </c:pt>
                <c:pt idx="79">
                  <c:v>13.99</c:v>
                </c:pt>
                <c:pt idx="80">
                  <c:v>14.99</c:v>
                </c:pt>
                <c:pt idx="81">
                  <c:v>15.99</c:v>
                </c:pt>
                <c:pt idx="82">
                  <c:v>16.99</c:v>
                </c:pt>
                <c:pt idx="83">
                  <c:v>17.99</c:v>
                </c:pt>
                <c:pt idx="84">
                  <c:v>18.99</c:v>
                </c:pt>
                <c:pt idx="85">
                  <c:v>19.94</c:v>
                </c:pt>
                <c:pt idx="86">
                  <c:v>19.99</c:v>
                </c:pt>
                <c:pt idx="87">
                  <c:v>19.99</c:v>
                </c:pt>
                <c:pt idx="88">
                  <c:v>19.99</c:v>
                </c:pt>
                <c:pt idx="90">
                  <c:v>20</c:v>
                </c:pt>
                <c:pt idx="91">
                  <c:v>21</c:v>
                </c:pt>
                <c:pt idx="92">
                  <c:v>22</c:v>
                </c:pt>
                <c:pt idx="93">
                  <c:v>23</c:v>
                </c:pt>
                <c:pt idx="94">
                  <c:v>24</c:v>
                </c:pt>
                <c:pt idx="95">
                  <c:v>25</c:v>
                </c:pt>
                <c:pt idx="96">
                  <c:v>26</c:v>
                </c:pt>
                <c:pt idx="97">
                  <c:v>27</c:v>
                </c:pt>
                <c:pt idx="98">
                  <c:v>28</c:v>
                </c:pt>
                <c:pt idx="99">
                  <c:v>29</c:v>
                </c:pt>
                <c:pt idx="100">
                  <c:v>30</c:v>
                </c:pt>
                <c:pt idx="101">
                  <c:v>31</c:v>
                </c:pt>
                <c:pt idx="102">
                  <c:v>32</c:v>
                </c:pt>
                <c:pt idx="103">
                  <c:v>33</c:v>
                </c:pt>
                <c:pt idx="104">
                  <c:v>34</c:v>
                </c:pt>
                <c:pt idx="105">
                  <c:v>35</c:v>
                </c:pt>
                <c:pt idx="106">
                  <c:v>36</c:v>
                </c:pt>
                <c:pt idx="107">
                  <c:v>37</c:v>
                </c:pt>
                <c:pt idx="108">
                  <c:v>38</c:v>
                </c:pt>
                <c:pt idx="109">
                  <c:v>39</c:v>
                </c:pt>
                <c:pt idx="110">
                  <c:v>40</c:v>
                </c:pt>
                <c:pt idx="111">
                  <c:v>41</c:v>
                </c:pt>
                <c:pt idx="112">
                  <c:v>42</c:v>
                </c:pt>
                <c:pt idx="113">
                  <c:v>43</c:v>
                </c:pt>
                <c:pt idx="114">
                  <c:v>44</c:v>
                </c:pt>
                <c:pt idx="115">
                  <c:v>45</c:v>
                </c:pt>
                <c:pt idx="116">
                  <c:v>46</c:v>
                </c:pt>
                <c:pt idx="117">
                  <c:v>47</c:v>
                </c:pt>
                <c:pt idx="118">
                  <c:v>48</c:v>
                </c:pt>
                <c:pt idx="119">
                  <c:v>49</c:v>
                </c:pt>
                <c:pt idx="120">
                  <c:v>50</c:v>
                </c:pt>
                <c:pt idx="121">
                  <c:v>51</c:v>
                </c:pt>
                <c:pt idx="122">
                  <c:v>52</c:v>
                </c:pt>
                <c:pt idx="123">
                  <c:v>53</c:v>
                </c:pt>
                <c:pt idx="124">
                  <c:v>54</c:v>
                </c:pt>
                <c:pt idx="125">
                  <c:v>55</c:v>
                </c:pt>
                <c:pt idx="126">
                  <c:v>56</c:v>
                </c:pt>
                <c:pt idx="127">
                  <c:v>57</c:v>
                </c:pt>
                <c:pt idx="128">
                  <c:v>58</c:v>
                </c:pt>
                <c:pt idx="129">
                  <c:v>59</c:v>
                </c:pt>
                <c:pt idx="130">
                  <c:v>60</c:v>
                </c:pt>
              </c:numCache>
            </c:numRef>
          </c:xVal>
          <c:yVal>
            <c:numRef>
              <c:f>'various models'!$W$4:$W$134</c:f>
              <c:numCache>
                <c:formatCode>General</c:formatCode>
                <c:ptCount val="131"/>
                <c:pt idx="0">
                  <c:v>0.0577867548342999</c:v>
                </c:pt>
                <c:pt idx="1">
                  <c:v>0.0595168690006999</c:v>
                </c:pt>
                <c:pt idx="2">
                  <c:v>0.0693658961686999</c:v>
                </c:pt>
                <c:pt idx="3">
                  <c:v>0.0709158442662998</c:v>
                </c:pt>
                <c:pt idx="4">
                  <c:v>0.0811078260571997</c:v>
                </c:pt>
                <c:pt idx="5">
                  <c:v>0.0815604910107997</c:v>
                </c:pt>
                <c:pt idx="6">
                  <c:v>0.08656573727</c:v>
                </c:pt>
                <c:pt idx="7">
                  <c:v>0.0932362003071998</c:v>
                </c:pt>
                <c:pt idx="8">
                  <c:v>0.0934676896699999</c:v>
                </c:pt>
                <c:pt idx="9">
                  <c:v>0.0976512949147997</c:v>
                </c:pt>
                <c:pt idx="10">
                  <c:v>0.1045765789375</c:v>
                </c:pt>
                <c:pt idx="11">
                  <c:v>0.1056404925148</c:v>
                </c:pt>
                <c:pt idx="12">
                  <c:v>0.1089631661852</c:v>
                </c:pt>
                <c:pt idx="13">
                  <c:v>0.1163890279408</c:v>
                </c:pt>
                <c:pt idx="14">
                  <c:v>0.1169920009903</c:v>
                </c:pt>
                <c:pt idx="15">
                  <c:v>0.1181997888343</c:v>
                </c:pt>
                <c:pt idx="16">
                  <c:v>0.1205013510812</c:v>
                </c:pt>
                <c:pt idx="17">
                  <c:v>0.1285651327808</c:v>
                </c:pt>
                <c:pt idx="18">
                  <c:v>0.1285651327808</c:v>
                </c:pt>
                <c:pt idx="19">
                  <c:v>0.1311533139575</c:v>
                </c:pt>
                <c:pt idx="20">
                  <c:v>0.1335043331968</c:v>
                </c:pt>
                <c:pt idx="21">
                  <c:v>0.1409868036208</c:v>
                </c:pt>
                <c:pt idx="22">
                  <c:v>0.14425666175</c:v>
                </c:pt>
                <c:pt idx="23">
                  <c:v>0.14551871968</c:v>
                </c:pt>
                <c:pt idx="24">
                  <c:v>0.1536540404608</c:v>
                </c:pt>
                <c:pt idx="25">
                  <c:v>0.1577594197888</c:v>
                </c:pt>
                <c:pt idx="26">
                  <c:v>0.1577594197888</c:v>
                </c:pt>
                <c:pt idx="27">
                  <c:v>0.1652645125468</c:v>
                </c:pt>
                <c:pt idx="28">
                  <c:v>0.1702264335232</c:v>
                </c:pt>
                <c:pt idx="29">
                  <c:v>0.1702264335232</c:v>
                </c:pt>
                <c:pt idx="30">
                  <c:v>0.1794596382172</c:v>
                </c:pt>
                <c:pt idx="31">
                  <c:v>0.1797252121408</c:v>
                </c:pt>
                <c:pt idx="32">
                  <c:v>0.1829197608832</c:v>
                </c:pt>
                <c:pt idx="33">
                  <c:v>0.1841213633167</c:v>
                </c:pt>
                <c:pt idx="34">
                  <c:v>0.1970622212047</c:v>
                </c:pt>
                <c:pt idx="35">
                  <c:v>0.2102293927183</c:v>
                </c:pt>
                <c:pt idx="36">
                  <c:v>0.2236228778575</c:v>
                </c:pt>
                <c:pt idx="37">
                  <c:v>0.23424400732</c:v>
                </c:pt>
                <c:pt idx="38">
                  <c:v>0.2348143475008</c:v>
                </c:pt>
                <c:pt idx="39">
                  <c:v>0.2372426766223</c:v>
                </c:pt>
                <c:pt idx="40">
                  <c:v>0.2525441073847</c:v>
                </c:pt>
                <c:pt idx="41">
                  <c:v>0.2666401077367</c:v>
                </c:pt>
                <c:pt idx="42">
                  <c:v>0.2809624217143</c:v>
                </c:pt>
                <c:pt idx="43">
                  <c:v>0.2955110493175</c:v>
                </c:pt>
                <c:pt idx="44">
                  <c:v>0.3102859905463</c:v>
                </c:pt>
                <c:pt idx="45">
                  <c:v>0.326705216036799</c:v>
                </c:pt>
                <c:pt idx="46">
                  <c:v>0.3419540014192</c:v>
                </c:pt>
                <c:pt idx="47">
                  <c:v>0.3574291004272</c:v>
                </c:pt>
                <c:pt idx="48">
                  <c:v>0.373130513060799</c:v>
                </c:pt>
                <c:pt idx="49">
                  <c:v>0.386387902052799</c:v>
                </c:pt>
                <c:pt idx="50">
                  <c:v>0.390730392469999</c:v>
                </c:pt>
                <c:pt idx="51">
                  <c:v>0.4069080066908</c:v>
                </c:pt>
                <c:pt idx="52">
                  <c:v>0.423311934537199</c:v>
                </c:pt>
                <c:pt idx="53">
                  <c:v>0.439942176009199</c:v>
                </c:pt>
                <c:pt idx="54">
                  <c:v>0.4567987311068</c:v>
                </c:pt>
                <c:pt idx="55">
                  <c:v>0.4754947217663</c:v>
                </c:pt>
                <c:pt idx="56">
                  <c:v>0.4928251210175</c:v>
                </c:pt>
                <c:pt idx="57">
                  <c:v>0.510381833894299</c:v>
                </c:pt>
                <c:pt idx="58">
                  <c:v>0.5281648603967</c:v>
                </c:pt>
                <c:pt idx="59">
                  <c:v>0.5480631884527</c:v>
                </c:pt>
                <c:pt idx="60">
                  <c:v>0.564409854278299</c:v>
                </c:pt>
                <c:pt idx="61">
                  <c:v>0.564601</c:v>
                </c:pt>
                <c:pt idx="62">
                  <c:v>0.5663224165423</c:v>
                </c:pt>
                <c:pt idx="63">
                  <c:v>0.584807958257499</c:v>
                </c:pt>
                <c:pt idx="64">
                  <c:v>0.6035198135983</c:v>
                </c:pt>
                <c:pt idx="65">
                  <c:v>0.622457982564699</c:v>
                </c:pt>
                <c:pt idx="66">
                  <c:v>0.6434307383932</c:v>
                </c:pt>
                <c:pt idx="67">
                  <c:v>0.662842751513199</c:v>
                </c:pt>
                <c:pt idx="68">
                  <c:v>0.683510108318299</c:v>
                </c:pt>
                <c:pt idx="69">
                  <c:v>0.704219631658299</c:v>
                </c:pt>
                <c:pt idx="70">
                  <c:v>0.725174720998299</c:v>
                </c:pt>
                <c:pt idx="71">
                  <c:v>0.746375376338299</c:v>
                </c:pt>
                <c:pt idx="72">
                  <c:v>0.7667434544188</c:v>
                </c:pt>
                <c:pt idx="73">
                  <c:v>0.767821597678299</c:v>
                </c:pt>
                <c:pt idx="74">
                  <c:v>0.767821597678299</c:v>
                </c:pt>
                <c:pt idx="75">
                  <c:v>0.767821597678299</c:v>
                </c:pt>
                <c:pt idx="76">
                  <c:v>0.789513385018299</c:v>
                </c:pt>
                <c:pt idx="77">
                  <c:v>0.811450738358299</c:v>
                </c:pt>
                <c:pt idx="78">
                  <c:v>0.833633657698299</c:v>
                </c:pt>
                <c:pt idx="79">
                  <c:v>0.856062143038299</c:v>
                </c:pt>
                <c:pt idx="80">
                  <c:v>0.878736194378299</c:v>
                </c:pt>
                <c:pt idx="81">
                  <c:v>0.901655811718299</c:v>
                </c:pt>
                <c:pt idx="82">
                  <c:v>0.924820995058299</c:v>
                </c:pt>
                <c:pt idx="83">
                  <c:v>0.948231744398299</c:v>
                </c:pt>
                <c:pt idx="84">
                  <c:v>0.971888059738299</c:v>
                </c:pt>
                <c:pt idx="85">
                  <c:v>0.9945890148188</c:v>
                </c:pt>
                <c:pt idx="86">
                  <c:v>0.995789941078299</c:v>
                </c:pt>
                <c:pt idx="87">
                  <c:v>0.995789941078299</c:v>
                </c:pt>
                <c:pt idx="88">
                  <c:v>0.995789941078299</c:v>
                </c:pt>
                <c:pt idx="90">
                  <c:v>0.9960302</c:v>
                </c:pt>
                <c:pt idx="91">
                  <c:v>1.020180103</c:v>
                </c:pt>
                <c:pt idx="92">
                  <c:v>1.044575572</c:v>
                </c:pt>
                <c:pt idx="93">
                  <c:v>1.069216607</c:v>
                </c:pt>
                <c:pt idx="94">
                  <c:v>1.094103208</c:v>
                </c:pt>
                <c:pt idx="95">
                  <c:v>1.119235375</c:v>
                </c:pt>
                <c:pt idx="96">
                  <c:v>1.144613108</c:v>
                </c:pt>
                <c:pt idx="97">
                  <c:v>1.170236407</c:v>
                </c:pt>
                <c:pt idx="98">
                  <c:v>1.196105272</c:v>
                </c:pt>
                <c:pt idx="99">
                  <c:v>1.222219703</c:v>
                </c:pt>
                <c:pt idx="100">
                  <c:v>1.2485797</c:v>
                </c:pt>
                <c:pt idx="101">
                  <c:v>1.275185263</c:v>
                </c:pt>
                <c:pt idx="102">
                  <c:v>1.302036392</c:v>
                </c:pt>
                <c:pt idx="103">
                  <c:v>1.329133087</c:v>
                </c:pt>
                <c:pt idx="104">
                  <c:v>1.356475348</c:v>
                </c:pt>
                <c:pt idx="105">
                  <c:v>1.384063175</c:v>
                </c:pt>
                <c:pt idx="106">
                  <c:v>1.411896568</c:v>
                </c:pt>
                <c:pt idx="107">
                  <c:v>1.439975527</c:v>
                </c:pt>
                <c:pt idx="108">
                  <c:v>1.468300052</c:v>
                </c:pt>
                <c:pt idx="109">
                  <c:v>1.496870143</c:v>
                </c:pt>
                <c:pt idx="110">
                  <c:v>1.5256858</c:v>
                </c:pt>
                <c:pt idx="111">
                  <c:v>1.554747023</c:v>
                </c:pt>
                <c:pt idx="112">
                  <c:v>1.584053812</c:v>
                </c:pt>
                <c:pt idx="113">
                  <c:v>1.613606167</c:v>
                </c:pt>
                <c:pt idx="114">
                  <c:v>1.643404088</c:v>
                </c:pt>
                <c:pt idx="115">
                  <c:v>1.673447575</c:v>
                </c:pt>
                <c:pt idx="116">
                  <c:v>1.703736628</c:v>
                </c:pt>
                <c:pt idx="117">
                  <c:v>1.734271247</c:v>
                </c:pt>
                <c:pt idx="118">
                  <c:v>1.765051432</c:v>
                </c:pt>
                <c:pt idx="119">
                  <c:v>1.796077183</c:v>
                </c:pt>
                <c:pt idx="120">
                  <c:v>1.8273485</c:v>
                </c:pt>
                <c:pt idx="121">
                  <c:v>1.858865383</c:v>
                </c:pt>
                <c:pt idx="122">
                  <c:v>1.890627832</c:v>
                </c:pt>
                <c:pt idx="123">
                  <c:v>1.922635847</c:v>
                </c:pt>
                <c:pt idx="124">
                  <c:v>1.954889428</c:v>
                </c:pt>
                <c:pt idx="125">
                  <c:v>1.987388575</c:v>
                </c:pt>
                <c:pt idx="126">
                  <c:v>2.020133288</c:v>
                </c:pt>
                <c:pt idx="127">
                  <c:v>2.053123567</c:v>
                </c:pt>
                <c:pt idx="128">
                  <c:v>2.086359412</c:v>
                </c:pt>
                <c:pt idx="129">
                  <c:v>2.119840823</c:v>
                </c:pt>
                <c:pt idx="130">
                  <c:v>2.1535678</c:v>
                </c:pt>
              </c:numCache>
            </c:numRef>
          </c:yVal>
          <c:smooth val="0"/>
        </c:ser>
        <c:axId val="28797837"/>
        <c:axId val="41565594"/>
      </c:scatterChart>
      <c:valAx>
        <c:axId val="28797837"/>
        <c:scaling>
          <c:orientation val="minMax"/>
        </c:scaling>
        <c:delete val="0"/>
        <c:axPos val="b"/>
        <c:numFmt formatCode="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1565594"/>
        <c:crosses val="autoZero"/>
        <c:crossBetween val="midCat"/>
      </c:valAx>
      <c:valAx>
        <c:axId val="41565594"/>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879783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sigma</a:t>
            </a:r>
          </a:p>
        </c:rich>
      </c:tx>
      <c:overlay val="0"/>
      <c:spPr>
        <a:noFill/>
        <a:ln w="0">
          <a:noFill/>
        </a:ln>
      </c:spPr>
    </c:title>
    <c:autoTitleDeleted val="0"/>
    <c:plotArea>
      <c:scatterChart>
        <c:scatterStyle val="line"/>
        <c:varyColors val="0"/>
        <c:ser>
          <c:idx val="0"/>
          <c:order val="0"/>
          <c:tx>
            <c:strRef>
              <c:f>'various models'!$AK$1</c:f>
              <c:strCache>
                <c:ptCount val="1"/>
                <c:pt idx="0">
                  <c:v>sigma</c:v>
                </c:pt>
              </c:strCache>
            </c:strRef>
          </c:tx>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f81bd"/>
                </a:solidFill>
                <a:prstDash val="sysDot"/>
                <a:round/>
              </a:ln>
            </c:spPr>
            <c:trendlineType val="log"/>
            <c:forward val="0"/>
            <c:backward val="0"/>
            <c:dispRSqr val="0"/>
            <c:dispEq val="0"/>
          </c:trendline>
          <c:trendline>
            <c:spPr>
              <a:ln cap="rnd" w="19080">
                <a:solidFill>
                  <a:srgbClr val="4f81bd"/>
                </a:solidFill>
                <a:prstDash val="sysDot"/>
                <a:round/>
              </a:ln>
            </c:spPr>
            <c:trendlineType val="log"/>
            <c:forward val="0"/>
            <c:backward val="0"/>
            <c:dispRSqr val="0"/>
            <c:dispEq val="0"/>
          </c:trendline>
          <c:xVal>
            <c:numRef>
              <c:f>'various models'!$AJ$3:$AJ$345</c:f>
              <c:numCache>
                <c:formatCode>General</c:formatCode>
                <c:ptCount val="343"/>
                <c:pt idx="0">
                  <c:v>0</c:v>
                </c:pt>
                <c:pt idx="1">
                  <c:v>0.199999999999989</c:v>
                </c:pt>
                <c:pt idx="2">
                  <c:v>0.399999999999977</c:v>
                </c:pt>
                <c:pt idx="3">
                  <c:v>0.599999999999966</c:v>
                </c:pt>
                <c:pt idx="4">
                  <c:v>0.799999999999955</c:v>
                </c:pt>
                <c:pt idx="5">
                  <c:v>0.999999999999943</c:v>
                </c:pt>
                <c:pt idx="6">
                  <c:v>1.19999999999993</c:v>
                </c:pt>
                <c:pt idx="7">
                  <c:v>1.39999999999992</c:v>
                </c:pt>
                <c:pt idx="8">
                  <c:v>1.59999999999991</c:v>
                </c:pt>
                <c:pt idx="9">
                  <c:v>1.7999999999999</c:v>
                </c:pt>
                <c:pt idx="10">
                  <c:v>1.99999999999989</c:v>
                </c:pt>
                <c:pt idx="11">
                  <c:v>2.19999999999987</c:v>
                </c:pt>
                <c:pt idx="12">
                  <c:v>2.39999999999986</c:v>
                </c:pt>
                <c:pt idx="13">
                  <c:v>2.59999999999985</c:v>
                </c:pt>
                <c:pt idx="14">
                  <c:v>2.79999999999984</c:v>
                </c:pt>
                <c:pt idx="15">
                  <c:v>2.99999999999983</c:v>
                </c:pt>
                <c:pt idx="16">
                  <c:v>3.19999999999982</c:v>
                </c:pt>
                <c:pt idx="17">
                  <c:v>3.39999999999981</c:v>
                </c:pt>
                <c:pt idx="18">
                  <c:v>3.5999999999998</c:v>
                </c:pt>
                <c:pt idx="19">
                  <c:v>3.79999999999978</c:v>
                </c:pt>
                <c:pt idx="20">
                  <c:v>3.99999999999977</c:v>
                </c:pt>
                <c:pt idx="21">
                  <c:v>4.19999999999976</c:v>
                </c:pt>
                <c:pt idx="22">
                  <c:v>4.39999999999975</c:v>
                </c:pt>
                <c:pt idx="23">
                  <c:v>4.59999999999974</c:v>
                </c:pt>
                <c:pt idx="24">
                  <c:v>4.79999999999973</c:v>
                </c:pt>
                <c:pt idx="25">
                  <c:v>4.99999999999972</c:v>
                </c:pt>
                <c:pt idx="26">
                  <c:v>5.1999999999997</c:v>
                </c:pt>
                <c:pt idx="27">
                  <c:v>5.39999999999969</c:v>
                </c:pt>
                <c:pt idx="28">
                  <c:v>5.59999999999968</c:v>
                </c:pt>
                <c:pt idx="29">
                  <c:v>5.79999999999967</c:v>
                </c:pt>
                <c:pt idx="30">
                  <c:v>5.99999999999966</c:v>
                </c:pt>
                <c:pt idx="31">
                  <c:v>6.19999999999965</c:v>
                </c:pt>
                <c:pt idx="32">
                  <c:v>6.39999999999964</c:v>
                </c:pt>
                <c:pt idx="33">
                  <c:v>6.59999999999963</c:v>
                </c:pt>
                <c:pt idx="34">
                  <c:v>6.79999999999961</c:v>
                </c:pt>
                <c:pt idx="35">
                  <c:v>6.9999999999996</c:v>
                </c:pt>
                <c:pt idx="36">
                  <c:v>7.19999999999959</c:v>
                </c:pt>
                <c:pt idx="37">
                  <c:v>7.39999999999958</c:v>
                </c:pt>
                <c:pt idx="38">
                  <c:v>7.59999999999957</c:v>
                </c:pt>
                <c:pt idx="39">
                  <c:v>7.79999999999956</c:v>
                </c:pt>
                <c:pt idx="40">
                  <c:v>7.99999999999955</c:v>
                </c:pt>
                <c:pt idx="41">
                  <c:v>8.19999999999953</c:v>
                </c:pt>
                <c:pt idx="42">
                  <c:v>8.39999999999952</c:v>
                </c:pt>
                <c:pt idx="43">
                  <c:v>8.59999999999951</c:v>
                </c:pt>
                <c:pt idx="44">
                  <c:v>8.7999999999995</c:v>
                </c:pt>
                <c:pt idx="45">
                  <c:v>8.99999999999949</c:v>
                </c:pt>
                <c:pt idx="46">
                  <c:v>9.19999999999948</c:v>
                </c:pt>
                <c:pt idx="47">
                  <c:v>9.39999999999947</c:v>
                </c:pt>
                <c:pt idx="48">
                  <c:v>9.59999999999945</c:v>
                </c:pt>
                <c:pt idx="49">
                  <c:v>9.79999999999944</c:v>
                </c:pt>
                <c:pt idx="50">
                  <c:v>9.99999999999943</c:v>
                </c:pt>
                <c:pt idx="51">
                  <c:v>10.1999999999994</c:v>
                </c:pt>
                <c:pt idx="52">
                  <c:v>10.3999999999994</c:v>
                </c:pt>
                <c:pt idx="53">
                  <c:v>10.5999999999994</c:v>
                </c:pt>
                <c:pt idx="54">
                  <c:v>10.7999999999994</c:v>
                </c:pt>
                <c:pt idx="55">
                  <c:v>10.9999999999994</c:v>
                </c:pt>
                <c:pt idx="56">
                  <c:v>11.1999999999994</c:v>
                </c:pt>
                <c:pt idx="57">
                  <c:v>11.3999999999994</c:v>
                </c:pt>
                <c:pt idx="58">
                  <c:v>11.5999999999993</c:v>
                </c:pt>
                <c:pt idx="59">
                  <c:v>11.7999999999993</c:v>
                </c:pt>
                <c:pt idx="60">
                  <c:v>11.9999999999993</c:v>
                </c:pt>
                <c:pt idx="61">
                  <c:v>12.1999999999993</c:v>
                </c:pt>
                <c:pt idx="62">
                  <c:v>12.3999999999993</c:v>
                </c:pt>
                <c:pt idx="63">
                  <c:v>12.5999999999993</c:v>
                </c:pt>
                <c:pt idx="64">
                  <c:v>12.7999999999993</c:v>
                </c:pt>
                <c:pt idx="65">
                  <c:v>12.9999999999993</c:v>
                </c:pt>
                <c:pt idx="66">
                  <c:v>13.1999999999993</c:v>
                </c:pt>
                <c:pt idx="67">
                  <c:v>13.3999999999992</c:v>
                </c:pt>
                <c:pt idx="68">
                  <c:v>13.5999999999992</c:v>
                </c:pt>
                <c:pt idx="69">
                  <c:v>13.7999999999992</c:v>
                </c:pt>
                <c:pt idx="70">
                  <c:v>13.9999999999992</c:v>
                </c:pt>
                <c:pt idx="71">
                  <c:v>14.1999999999992</c:v>
                </c:pt>
                <c:pt idx="72">
                  <c:v>14.3999999999992</c:v>
                </c:pt>
                <c:pt idx="73">
                  <c:v>14.5999999999992</c:v>
                </c:pt>
                <c:pt idx="74">
                  <c:v>14.7999999999992</c:v>
                </c:pt>
                <c:pt idx="75">
                  <c:v>14.9999999999991</c:v>
                </c:pt>
                <c:pt idx="76">
                  <c:v>15.1999999999991</c:v>
                </c:pt>
                <c:pt idx="77">
                  <c:v>15.3999999999991</c:v>
                </c:pt>
                <c:pt idx="78">
                  <c:v>15.5999999999991</c:v>
                </c:pt>
                <c:pt idx="79">
                  <c:v>15.7999999999991</c:v>
                </c:pt>
                <c:pt idx="80">
                  <c:v>15.9999999999991</c:v>
                </c:pt>
                <c:pt idx="81">
                  <c:v>16.1999999999991</c:v>
                </c:pt>
                <c:pt idx="82">
                  <c:v>16.3999999999991</c:v>
                </c:pt>
                <c:pt idx="83">
                  <c:v>16.5999999999991</c:v>
                </c:pt>
                <c:pt idx="84">
                  <c:v>16.799999999999</c:v>
                </c:pt>
                <c:pt idx="85">
                  <c:v>16.999999999999</c:v>
                </c:pt>
                <c:pt idx="86">
                  <c:v>17.199999999999</c:v>
                </c:pt>
                <c:pt idx="87">
                  <c:v>17.399999999999</c:v>
                </c:pt>
                <c:pt idx="88">
                  <c:v>17.599999999999</c:v>
                </c:pt>
                <c:pt idx="89">
                  <c:v>17.799999999999</c:v>
                </c:pt>
                <c:pt idx="90">
                  <c:v>17.999999999999</c:v>
                </c:pt>
                <c:pt idx="91">
                  <c:v>18.199999999999</c:v>
                </c:pt>
                <c:pt idx="92">
                  <c:v>18.399999999999</c:v>
                </c:pt>
                <c:pt idx="93">
                  <c:v>18.5999999999989</c:v>
                </c:pt>
                <c:pt idx="94">
                  <c:v>18.7999999999989</c:v>
                </c:pt>
                <c:pt idx="95">
                  <c:v>18.9999999999989</c:v>
                </c:pt>
                <c:pt idx="96">
                  <c:v>19.1999999999989</c:v>
                </c:pt>
                <c:pt idx="97">
                  <c:v>19.3999999999989</c:v>
                </c:pt>
                <c:pt idx="98">
                  <c:v>19.5999999999989</c:v>
                </c:pt>
                <c:pt idx="99">
                  <c:v>19.7999999999989</c:v>
                </c:pt>
                <c:pt idx="100">
                  <c:v>19.9999999999989</c:v>
                </c:pt>
                <c:pt idx="101">
                  <c:v>20.1999999999988</c:v>
                </c:pt>
                <c:pt idx="102">
                  <c:v>20.3999999999988</c:v>
                </c:pt>
                <c:pt idx="103">
                  <c:v>20.5999999999988</c:v>
                </c:pt>
                <c:pt idx="104">
                  <c:v>20.7999999999988</c:v>
                </c:pt>
                <c:pt idx="105">
                  <c:v>20.9999999999988</c:v>
                </c:pt>
                <c:pt idx="106">
                  <c:v>21.1999999999988</c:v>
                </c:pt>
                <c:pt idx="107">
                  <c:v>21.3999999999988</c:v>
                </c:pt>
                <c:pt idx="108">
                  <c:v>21.5999999999988</c:v>
                </c:pt>
                <c:pt idx="109">
                  <c:v>21.7999999999988</c:v>
                </c:pt>
                <c:pt idx="110">
                  <c:v>21.9999999999987</c:v>
                </c:pt>
                <c:pt idx="111">
                  <c:v>22.1999999999987</c:v>
                </c:pt>
                <c:pt idx="112">
                  <c:v>22.3999999999987</c:v>
                </c:pt>
                <c:pt idx="113">
                  <c:v>22.5999999999987</c:v>
                </c:pt>
                <c:pt idx="114">
                  <c:v>22.7999999999987</c:v>
                </c:pt>
                <c:pt idx="115">
                  <c:v>22.9999999999987</c:v>
                </c:pt>
                <c:pt idx="116">
                  <c:v>23.1999999999987</c:v>
                </c:pt>
                <c:pt idx="117">
                  <c:v>23.3999999999987</c:v>
                </c:pt>
                <c:pt idx="118">
                  <c:v>23.5999999999987</c:v>
                </c:pt>
                <c:pt idx="119">
                  <c:v>23.7999999999986</c:v>
                </c:pt>
                <c:pt idx="120">
                  <c:v>23.9999999999986</c:v>
                </c:pt>
                <c:pt idx="121">
                  <c:v>24.1999999999986</c:v>
                </c:pt>
                <c:pt idx="122">
                  <c:v>24.3999999999986</c:v>
                </c:pt>
                <c:pt idx="123">
                  <c:v>24.5999999999986</c:v>
                </c:pt>
                <c:pt idx="124">
                  <c:v>24.7999999999986</c:v>
                </c:pt>
                <c:pt idx="125">
                  <c:v>24.9999999999986</c:v>
                </c:pt>
                <c:pt idx="126">
                  <c:v>25.1999999999986</c:v>
                </c:pt>
                <c:pt idx="127">
                  <c:v>25.3999999999986</c:v>
                </c:pt>
                <c:pt idx="128">
                  <c:v>25.5999999999985</c:v>
                </c:pt>
                <c:pt idx="129">
                  <c:v>25.7999999999985</c:v>
                </c:pt>
                <c:pt idx="130">
                  <c:v>25.9999999999985</c:v>
                </c:pt>
                <c:pt idx="131">
                  <c:v>26.1999999999985</c:v>
                </c:pt>
                <c:pt idx="132">
                  <c:v>26.3999999999985</c:v>
                </c:pt>
                <c:pt idx="133">
                  <c:v>26.5999999999985</c:v>
                </c:pt>
                <c:pt idx="134">
                  <c:v>26.7999999999985</c:v>
                </c:pt>
                <c:pt idx="135">
                  <c:v>26.9999999999985</c:v>
                </c:pt>
                <c:pt idx="136">
                  <c:v>27.1999999999985</c:v>
                </c:pt>
                <c:pt idx="137">
                  <c:v>27.3999999999984</c:v>
                </c:pt>
                <c:pt idx="138">
                  <c:v>27.5999999999984</c:v>
                </c:pt>
                <c:pt idx="139">
                  <c:v>27.7999999999984</c:v>
                </c:pt>
                <c:pt idx="140">
                  <c:v>27.9999999999984</c:v>
                </c:pt>
                <c:pt idx="141">
                  <c:v>28.1999999999984</c:v>
                </c:pt>
                <c:pt idx="142">
                  <c:v>28.3999999999984</c:v>
                </c:pt>
                <c:pt idx="143">
                  <c:v>28.5999999999984</c:v>
                </c:pt>
                <c:pt idx="144">
                  <c:v>28.7999999999984</c:v>
                </c:pt>
                <c:pt idx="145">
                  <c:v>28.9999999999984</c:v>
                </c:pt>
                <c:pt idx="146">
                  <c:v>29.1999999999983</c:v>
                </c:pt>
                <c:pt idx="147">
                  <c:v>29.3999999999983</c:v>
                </c:pt>
                <c:pt idx="148">
                  <c:v>29.5999999999983</c:v>
                </c:pt>
                <c:pt idx="149">
                  <c:v>29.7999999999983</c:v>
                </c:pt>
                <c:pt idx="150">
                  <c:v>29.9999999999983</c:v>
                </c:pt>
                <c:pt idx="151">
                  <c:v>30.1999999999983</c:v>
                </c:pt>
                <c:pt idx="152">
                  <c:v>30.3999999999983</c:v>
                </c:pt>
                <c:pt idx="153">
                  <c:v>30.5999999999983</c:v>
                </c:pt>
                <c:pt idx="154">
                  <c:v>30.7999999999982</c:v>
                </c:pt>
                <c:pt idx="155">
                  <c:v>30.9999999999982</c:v>
                </c:pt>
                <c:pt idx="156">
                  <c:v>31.1999999999982</c:v>
                </c:pt>
                <c:pt idx="157">
                  <c:v>31.3999999999982</c:v>
                </c:pt>
                <c:pt idx="158">
                  <c:v>31.5999999999982</c:v>
                </c:pt>
                <c:pt idx="159">
                  <c:v>31.7999999999982</c:v>
                </c:pt>
                <c:pt idx="160">
                  <c:v>31.9999999999982</c:v>
                </c:pt>
                <c:pt idx="161">
                  <c:v>32.1999999999982</c:v>
                </c:pt>
                <c:pt idx="162">
                  <c:v>32.3999999999982</c:v>
                </c:pt>
                <c:pt idx="163">
                  <c:v>32.5999999999981</c:v>
                </c:pt>
                <c:pt idx="164">
                  <c:v>32.7999999999981</c:v>
                </c:pt>
                <c:pt idx="165">
                  <c:v>32.9999999999981</c:v>
                </c:pt>
                <c:pt idx="166">
                  <c:v>33.1999999999981</c:v>
                </c:pt>
                <c:pt idx="167">
                  <c:v>33.3999999999981</c:v>
                </c:pt>
                <c:pt idx="168">
                  <c:v>33.5999999999981</c:v>
                </c:pt>
                <c:pt idx="169">
                  <c:v>33.7999999999981</c:v>
                </c:pt>
                <c:pt idx="170">
                  <c:v>33.9999999999981</c:v>
                </c:pt>
                <c:pt idx="171">
                  <c:v>34.1999999999981</c:v>
                </c:pt>
                <c:pt idx="172">
                  <c:v>34.399999999998</c:v>
                </c:pt>
                <c:pt idx="173">
                  <c:v>34.599999999998</c:v>
                </c:pt>
                <c:pt idx="174">
                  <c:v>34.799999999998</c:v>
                </c:pt>
                <c:pt idx="175">
                  <c:v>34.999999999998</c:v>
                </c:pt>
                <c:pt idx="176">
                  <c:v>35.199999999998</c:v>
                </c:pt>
                <c:pt idx="177">
                  <c:v>35.399999999998</c:v>
                </c:pt>
                <c:pt idx="178">
                  <c:v>35.599999999998</c:v>
                </c:pt>
                <c:pt idx="179">
                  <c:v>35.799999999998</c:v>
                </c:pt>
                <c:pt idx="180">
                  <c:v>35.999999999998</c:v>
                </c:pt>
                <c:pt idx="181">
                  <c:v>36.1999999999979</c:v>
                </c:pt>
                <c:pt idx="182">
                  <c:v>36.3999999999979</c:v>
                </c:pt>
                <c:pt idx="183">
                  <c:v>36.5999999999979</c:v>
                </c:pt>
                <c:pt idx="184">
                  <c:v>36.7999999999979</c:v>
                </c:pt>
                <c:pt idx="185">
                  <c:v>36.9999999999979</c:v>
                </c:pt>
                <c:pt idx="186">
                  <c:v>37.1999999999979</c:v>
                </c:pt>
                <c:pt idx="187">
                  <c:v>37.3999999999979</c:v>
                </c:pt>
                <c:pt idx="188">
                  <c:v>37.5999999999979</c:v>
                </c:pt>
                <c:pt idx="189">
                  <c:v>37.7999999999979</c:v>
                </c:pt>
                <c:pt idx="190">
                  <c:v>37.9999999999978</c:v>
                </c:pt>
                <c:pt idx="191">
                  <c:v>38.1999999999978</c:v>
                </c:pt>
                <c:pt idx="192">
                  <c:v>38.3999999999978</c:v>
                </c:pt>
                <c:pt idx="193">
                  <c:v>38.5999999999978</c:v>
                </c:pt>
                <c:pt idx="194">
                  <c:v>38.7999999999978</c:v>
                </c:pt>
                <c:pt idx="195">
                  <c:v>38.9999999999978</c:v>
                </c:pt>
                <c:pt idx="196">
                  <c:v>39.1999999999978</c:v>
                </c:pt>
                <c:pt idx="197">
                  <c:v>39.3999999999978</c:v>
                </c:pt>
                <c:pt idx="198">
                  <c:v>39.5999999999977</c:v>
                </c:pt>
                <c:pt idx="199">
                  <c:v>39.7999999999977</c:v>
                </c:pt>
                <c:pt idx="200">
                  <c:v>39.9999999999977</c:v>
                </c:pt>
                <c:pt idx="201">
                  <c:v>40.1999999999977</c:v>
                </c:pt>
                <c:pt idx="202">
                  <c:v>40.3999999999977</c:v>
                </c:pt>
                <c:pt idx="203">
                  <c:v>40.5999999999977</c:v>
                </c:pt>
                <c:pt idx="204">
                  <c:v>40.7999999999977</c:v>
                </c:pt>
                <c:pt idx="205">
                  <c:v>40.9999999999977</c:v>
                </c:pt>
                <c:pt idx="206">
                  <c:v>41.1999999999977</c:v>
                </c:pt>
                <c:pt idx="207">
                  <c:v>41.3999999999976</c:v>
                </c:pt>
                <c:pt idx="208">
                  <c:v>41.5999999999976</c:v>
                </c:pt>
                <c:pt idx="209">
                  <c:v>41.7999999999976</c:v>
                </c:pt>
                <c:pt idx="210">
                  <c:v>41.9999999999976</c:v>
                </c:pt>
                <c:pt idx="211">
                  <c:v>42.1999999999976</c:v>
                </c:pt>
                <c:pt idx="212">
                  <c:v>42.3999999999976</c:v>
                </c:pt>
                <c:pt idx="213">
                  <c:v>42.5999999999976</c:v>
                </c:pt>
                <c:pt idx="214">
                  <c:v>42.7999999999976</c:v>
                </c:pt>
                <c:pt idx="215">
                  <c:v>42.9999999999976</c:v>
                </c:pt>
                <c:pt idx="216">
                  <c:v>43.1999999999975</c:v>
                </c:pt>
                <c:pt idx="217">
                  <c:v>43.3999999999975</c:v>
                </c:pt>
                <c:pt idx="218">
                  <c:v>43.5999999999975</c:v>
                </c:pt>
                <c:pt idx="219">
                  <c:v>43.7999999999975</c:v>
                </c:pt>
                <c:pt idx="220">
                  <c:v>43.9999999999975</c:v>
                </c:pt>
                <c:pt idx="221">
                  <c:v>44.1999999999975</c:v>
                </c:pt>
                <c:pt idx="222">
                  <c:v>44.3999999999975</c:v>
                </c:pt>
                <c:pt idx="223">
                  <c:v>44.5999999999975</c:v>
                </c:pt>
                <c:pt idx="224">
                  <c:v>44.7999999999975</c:v>
                </c:pt>
                <c:pt idx="225">
                  <c:v>44.9999999999974</c:v>
                </c:pt>
                <c:pt idx="226">
                  <c:v>45.1999999999974</c:v>
                </c:pt>
                <c:pt idx="227">
                  <c:v>45.3999999999974</c:v>
                </c:pt>
                <c:pt idx="228">
                  <c:v>45.5999999999974</c:v>
                </c:pt>
                <c:pt idx="229">
                  <c:v>45.7999999999974</c:v>
                </c:pt>
                <c:pt idx="230">
                  <c:v>45.9999999999974</c:v>
                </c:pt>
                <c:pt idx="231">
                  <c:v>46.1999999999974</c:v>
                </c:pt>
                <c:pt idx="232">
                  <c:v>46.3999999999974</c:v>
                </c:pt>
                <c:pt idx="233">
                  <c:v>46.5999999999974</c:v>
                </c:pt>
                <c:pt idx="234">
                  <c:v>46.7999999999973</c:v>
                </c:pt>
                <c:pt idx="235">
                  <c:v>46.9999999999973</c:v>
                </c:pt>
                <c:pt idx="236">
                  <c:v>47.1999999999973</c:v>
                </c:pt>
                <c:pt idx="237">
                  <c:v>47.3999999999973</c:v>
                </c:pt>
                <c:pt idx="238">
                  <c:v>47.5999999999973</c:v>
                </c:pt>
                <c:pt idx="239">
                  <c:v>47.7999999999973</c:v>
                </c:pt>
                <c:pt idx="240">
                  <c:v>47.9999999999973</c:v>
                </c:pt>
                <c:pt idx="241">
                  <c:v>48.1999999999973</c:v>
                </c:pt>
                <c:pt idx="242">
                  <c:v>48.3999999999972</c:v>
                </c:pt>
                <c:pt idx="243">
                  <c:v>48.5999999999972</c:v>
                </c:pt>
                <c:pt idx="244">
                  <c:v>48.7999999999972</c:v>
                </c:pt>
                <c:pt idx="245">
                  <c:v>48.9999999999972</c:v>
                </c:pt>
                <c:pt idx="246">
                  <c:v>49.1999999999972</c:v>
                </c:pt>
                <c:pt idx="247">
                  <c:v>49.3999999999972</c:v>
                </c:pt>
                <c:pt idx="248">
                  <c:v>49.5999999999972</c:v>
                </c:pt>
                <c:pt idx="249">
                  <c:v>49.7999999999972</c:v>
                </c:pt>
                <c:pt idx="250">
                  <c:v>49.9999999999972</c:v>
                </c:pt>
                <c:pt idx="251">
                  <c:v>50.1999999999971</c:v>
                </c:pt>
                <c:pt idx="252">
                  <c:v>50.3999999999971</c:v>
                </c:pt>
                <c:pt idx="253">
                  <c:v>50.5999999999971</c:v>
                </c:pt>
                <c:pt idx="254">
                  <c:v>50.7999999999971</c:v>
                </c:pt>
                <c:pt idx="255">
                  <c:v>50.9999999999971</c:v>
                </c:pt>
                <c:pt idx="256">
                  <c:v>51.1999999999971</c:v>
                </c:pt>
                <c:pt idx="257">
                  <c:v>51.3999999999971</c:v>
                </c:pt>
                <c:pt idx="258">
                  <c:v>51.5999999999971</c:v>
                </c:pt>
                <c:pt idx="259">
                  <c:v>51.7999999999971</c:v>
                </c:pt>
                <c:pt idx="260">
                  <c:v>51.999999999997</c:v>
                </c:pt>
                <c:pt idx="261">
                  <c:v>52.199999999997</c:v>
                </c:pt>
                <c:pt idx="262">
                  <c:v>52.399999999997</c:v>
                </c:pt>
                <c:pt idx="263">
                  <c:v>52.599999999997</c:v>
                </c:pt>
                <c:pt idx="264">
                  <c:v>52.799999999997</c:v>
                </c:pt>
                <c:pt idx="265">
                  <c:v>52.999999999997</c:v>
                </c:pt>
                <c:pt idx="266">
                  <c:v>53.199999999997</c:v>
                </c:pt>
                <c:pt idx="267">
                  <c:v>53.399999999997</c:v>
                </c:pt>
                <c:pt idx="268">
                  <c:v>53.599999999997</c:v>
                </c:pt>
                <c:pt idx="269">
                  <c:v>53.7999999999969</c:v>
                </c:pt>
                <c:pt idx="270">
                  <c:v>53.9999999999969</c:v>
                </c:pt>
                <c:pt idx="271">
                  <c:v>54.1999999999969</c:v>
                </c:pt>
                <c:pt idx="272">
                  <c:v>54.3999999999969</c:v>
                </c:pt>
                <c:pt idx="273">
                  <c:v>54.5999999999969</c:v>
                </c:pt>
                <c:pt idx="274">
                  <c:v>54.7999999999969</c:v>
                </c:pt>
                <c:pt idx="275">
                  <c:v>54.9999999999969</c:v>
                </c:pt>
                <c:pt idx="276">
                  <c:v>55.1999999999969</c:v>
                </c:pt>
                <c:pt idx="277">
                  <c:v>55.3999999999969</c:v>
                </c:pt>
                <c:pt idx="278">
                  <c:v>55.5999999999968</c:v>
                </c:pt>
                <c:pt idx="279">
                  <c:v>55.7999999999968</c:v>
                </c:pt>
                <c:pt idx="280">
                  <c:v>55.9999999999968</c:v>
                </c:pt>
                <c:pt idx="281">
                  <c:v>56.1999999999968</c:v>
                </c:pt>
                <c:pt idx="282">
                  <c:v>56.3999999999968</c:v>
                </c:pt>
                <c:pt idx="283">
                  <c:v>56.5999999999968</c:v>
                </c:pt>
                <c:pt idx="284">
                  <c:v>56.7999999999968</c:v>
                </c:pt>
                <c:pt idx="285">
                  <c:v>56.9999999999968</c:v>
                </c:pt>
                <c:pt idx="286">
                  <c:v>57.1999999999968</c:v>
                </c:pt>
                <c:pt idx="287">
                  <c:v>57.3999999999967</c:v>
                </c:pt>
                <c:pt idx="288">
                  <c:v>57.5999999999967</c:v>
                </c:pt>
                <c:pt idx="289">
                  <c:v>57.7999999999967</c:v>
                </c:pt>
                <c:pt idx="290">
                  <c:v>57.9999999999967</c:v>
                </c:pt>
                <c:pt idx="291">
                  <c:v>58.1999999999967</c:v>
                </c:pt>
                <c:pt idx="292">
                  <c:v>58.3999999999967</c:v>
                </c:pt>
                <c:pt idx="293">
                  <c:v>58.5999999999967</c:v>
                </c:pt>
                <c:pt idx="294">
                  <c:v>58.7999999999967</c:v>
                </c:pt>
                <c:pt idx="295">
                  <c:v>58.9999999999966</c:v>
                </c:pt>
                <c:pt idx="296">
                  <c:v>59.1999999999966</c:v>
                </c:pt>
                <c:pt idx="297">
                  <c:v>59.3999999999966</c:v>
                </c:pt>
                <c:pt idx="298">
                  <c:v>59.5999999999966</c:v>
                </c:pt>
                <c:pt idx="299">
                  <c:v>59.7999999999966</c:v>
                </c:pt>
                <c:pt idx="300">
                  <c:v>59.9999999999966</c:v>
                </c:pt>
              </c:numCache>
            </c:numRef>
          </c:xVal>
          <c:yVal>
            <c:numRef>
              <c:f>'various models'!$AK$3:$AK$343</c:f>
              <c:numCache>
                <c:formatCode>General</c:formatCode>
                <c:ptCount val="341"/>
                <c:pt idx="0">
                  <c:v>0.0270703786996473</c:v>
                </c:pt>
                <c:pt idx="1">
                  <c:v>0.0278650803410726</c:v>
                </c:pt>
                <c:pt idx="2">
                  <c:v>0.0286819137229457</c:v>
                </c:pt>
                <c:pt idx="3">
                  <c:v>0.0295214610507661</c:v>
                </c:pt>
                <c:pt idx="4">
                  <c:v>0.0303843189225931</c:v>
                </c:pt>
                <c:pt idx="5">
                  <c:v>0.0312710986611515</c:v>
                </c:pt>
                <c:pt idx="6">
                  <c:v>0.0321824266530118</c:v>
                </c:pt>
                <c:pt idx="7">
                  <c:v>0.0331189446949766</c:v>
                </c:pt>
                <c:pt idx="8">
                  <c:v>0.0340813103478131</c:v>
                </c:pt>
                <c:pt idx="9">
                  <c:v>0.0350701972974665</c:v>
                </c:pt>
                <c:pt idx="10">
                  <c:v>0.0360862957238957</c:v>
                </c:pt>
                <c:pt idx="11">
                  <c:v>0.0371303126776707</c:v>
                </c:pt>
                <c:pt idx="12">
                  <c:v>0.038202972464477</c:v>
                </c:pt>
                <c:pt idx="13">
                  <c:v>0.039305017037667</c:v>
                </c:pt>
                <c:pt idx="14">
                  <c:v>0.0404372063990073</c:v>
                </c:pt>
                <c:pt idx="15">
                  <c:v>0.041600319007766</c:v>
                </c:pt>
                <c:pt idx="16">
                  <c:v>0.0427951521982898</c:v>
                </c:pt>
                <c:pt idx="17">
                  <c:v>0.0440225226062127</c:v>
                </c:pt>
                <c:pt idx="18">
                  <c:v>0.0452832666034544</c:v>
                </c:pt>
                <c:pt idx="19">
                  <c:v>0.0465782407421487</c:v>
                </c:pt>
                <c:pt idx="20">
                  <c:v>0.0479083222076528</c:v>
                </c:pt>
                <c:pt idx="21">
                  <c:v>0.0492744092807899</c:v>
                </c:pt>
                <c:pt idx="22">
                  <c:v>0.0506774218094658</c:v>
                </c:pt>
                <c:pt idx="23">
                  <c:v>0.0521183016898095</c:v>
                </c:pt>
                <c:pt idx="24">
                  <c:v>0.0535980133569844</c:v>
                </c:pt>
                <c:pt idx="25">
                  <c:v>0.0551175442858041</c:v>
                </c:pt>
                <c:pt idx="26">
                  <c:v>0.0566779055013001</c:v>
                </c:pt>
                <c:pt idx="27">
                  <c:v>0.0582801320993734</c:v>
                </c:pt>
                <c:pt idx="28">
                  <c:v>0.0599252837776564</c:v>
                </c:pt>
                <c:pt idx="29">
                  <c:v>0.0616144453767181</c:v>
                </c:pt>
                <c:pt idx="30">
                  <c:v>0.0633487274317218</c:v>
                </c:pt>
                <c:pt idx="31">
                  <c:v>0.0651292667346531</c:v>
                </c:pt>
                <c:pt idx="32">
                  <c:v>0.0669572269072109</c:v>
                </c:pt>
                <c:pt idx="33">
                  <c:v>0.0688337989844606</c:v>
                </c:pt>
                <c:pt idx="34">
                  <c:v>0.0707602020093166</c:v>
                </c:pt>
                <c:pt idx="35">
                  <c:v>0.0727376836379237</c:v>
                </c:pt>
                <c:pt idx="36">
                  <c:v>0.0747675207559777</c:v>
                </c:pt>
                <c:pt idx="37">
                  <c:v>0.0768510201060136</c:v>
                </c:pt>
                <c:pt idx="38">
                  <c:v>0.0789895189256635</c:v>
                </c:pt>
                <c:pt idx="39">
                  <c:v>0.0811843855968593</c:v>
                </c:pt>
                <c:pt idx="40">
                  <c:v>0.0834370203059305</c:v>
                </c:pt>
                <c:pt idx="41">
                  <c:v>0.0857488557145112</c:v>
                </c:pt>
                <c:pt idx="42">
                  <c:v>0.0881213576411302</c:v>
                </c:pt>
                <c:pt idx="43">
                  <c:v>0.0905560257533186</c:v>
                </c:pt>
                <c:pt idx="44">
                  <c:v>0.0930543942700176</c:v>
                </c:pt>
                <c:pt idx="45">
                  <c:v>0.0956180326740146</c:v>
                </c:pt>
                <c:pt idx="46">
                  <c:v>0.0982485464340693</c:v>
                </c:pt>
                <c:pt idx="47">
                  <c:v>0.100947577736331</c:v>
                </c:pt>
                <c:pt idx="48">
                  <c:v>0.103716806224542</c:v>
                </c:pt>
                <c:pt idx="49">
                  <c:v>0.106557949748473</c:v>
                </c:pt>
                <c:pt idx="50">
                  <c:v>0.109472765119886</c:v>
                </c:pt>
                <c:pt idx="51">
                  <c:v>0.112463048875234</c:v>
                </c:pt>
                <c:pt idx="52">
                  <c:v>0.115530638044176</c:v>
                </c:pt>
                <c:pt idx="53">
                  <c:v>0.118677410922826</c:v>
                </c:pt>
                <c:pt idx="54">
                  <c:v>0.121905287850483</c:v>
                </c:pt>
                <c:pt idx="55">
                  <c:v>0.125216231988438</c:v>
                </c:pt>
                <c:pt idx="56">
                  <c:v>0.128612250099195</c:v>
                </c:pt>
                <c:pt idx="57">
                  <c:v>0.132095393324251</c:v>
                </c:pt>
                <c:pt idx="58">
                  <c:v>0.135667757958286</c:v>
                </c:pt>
                <c:pt idx="59">
                  <c:v>0.139331486217327</c:v>
                </c:pt>
                <c:pt idx="60">
                  <c:v>0.14308876699813</c:v>
                </c:pt>
                <c:pt idx="61">
                  <c:v>0.146941836625613</c:v>
                </c:pt>
                <c:pt idx="62">
                  <c:v>0.150892979584806</c:v>
                </c:pt>
                <c:pt idx="63">
                  <c:v>0.154944529233249</c:v>
                </c:pt>
                <c:pt idx="64">
                  <c:v>0.159098868489318</c:v>
                </c:pt>
                <c:pt idx="65">
                  <c:v>0.163358430491278</c:v>
                </c:pt>
                <c:pt idx="66">
                  <c:v>0.1677256992213</c:v>
                </c:pt>
                <c:pt idx="67">
                  <c:v>0.172203210087841</c:v>
                </c:pt>
                <c:pt idx="68">
                  <c:v>0.176793550459035</c:v>
                </c:pt>
                <c:pt idx="69">
                  <c:v>0.181499360138773</c:v>
                </c:pt>
                <c:pt idx="70">
                  <c:v>0.186323331776116</c:v>
                </c:pt>
                <c:pt idx="71">
                  <c:v>0.191268211197556</c:v>
                </c:pt>
                <c:pt idx="72">
                  <c:v>0.196336797650301</c:v>
                </c:pt>
                <c:pt idx="73">
                  <c:v>0.201531943943358</c:v>
                </c:pt>
                <c:pt idx="74">
                  <c:v>0.206856556471548</c:v>
                </c:pt>
                <c:pt idx="75">
                  <c:v>0.212313595105787</c:v>
                </c:pt>
                <c:pt idx="76">
                  <c:v>0.217906072930987</c:v>
                </c:pt>
                <c:pt idx="77">
                  <c:v>0.223637055810655</c:v>
                </c:pt>
                <c:pt idx="78">
                  <c:v>0.229509661754818</c:v>
                </c:pt>
                <c:pt idx="79">
                  <c:v>0.235527060065084</c:v>
                </c:pt>
                <c:pt idx="80">
                  <c:v>0.241692470227612</c:v>
                </c:pt>
                <c:pt idx="81">
                  <c:v>0.248009160521289</c:v>
                </c:pt>
                <c:pt idx="82">
                  <c:v>0.254480446304638</c:v>
                </c:pt>
                <c:pt idx="83">
                  <c:v>0.261109687940726</c:v>
                </c:pt>
                <c:pt idx="84">
                  <c:v>0.267900288314649</c:v>
                </c:pt>
                <c:pt idx="85">
                  <c:v>0.274855689892997</c:v>
                </c:pt>
                <c:pt idx="86">
                  <c:v>0.281979371268917</c:v>
                </c:pt>
                <c:pt idx="87">
                  <c:v>0.289274843130033</c:v>
                </c:pt>
                <c:pt idx="88">
                  <c:v>0.296745643579473</c:v>
                </c:pt>
                <c:pt idx="89">
                  <c:v>0.30439533273245</c:v>
                </c:pt>
                <c:pt idx="90">
                  <c:v>0.312227486502383</c:v>
                </c:pt>
                <c:pt idx="91">
                  <c:v>0.320245689481024</c:v>
                </c:pt>
                <c:pt idx="92">
                  <c:v>0.328453526806886</c:v>
                </c:pt>
                <c:pt idx="93">
                  <c:v>0.336854574904849</c:v>
                </c:pt>
                <c:pt idx="94">
                  <c:v>0.345452390967526</c:v>
                </c:pt>
                <c:pt idx="95">
                  <c:v>0.354250501035466</c:v>
                </c:pt>
                <c:pt idx="96">
                  <c:v>0.363252386518624</c:v>
                </c:pt>
                <c:pt idx="97">
                  <c:v>0.372461468985604</c:v>
                </c:pt>
                <c:pt idx="98">
                  <c:v>0.381881093030048</c:v>
                </c:pt>
                <c:pt idx="99">
                  <c:v>0.391514507004942</c:v>
                </c:pt>
                <c:pt idx="100">
                  <c:v>0.401364841395941</c:v>
                </c:pt>
                <c:pt idx="101">
                  <c:v>0.411435084583521</c:v>
                </c:pt>
                <c:pt idx="102">
                  <c:v>0.421728055721519</c:v>
                </c:pt>
                <c:pt idx="103">
                  <c:v>0.432246374435978</c:v>
                </c:pt>
                <c:pt idx="104">
                  <c:v>0.442992427023732</c:v>
                </c:pt>
                <c:pt idx="105">
                  <c:v>0.453968328804806</c:v>
                </c:pt>
                <c:pt idx="106">
                  <c:v>0.465175882256922</c:v>
                </c:pt>
                <c:pt idx="107">
                  <c:v>0.476616530534598</c:v>
                </c:pt>
                <c:pt idx="108">
                  <c:v>0.488291305949917</c:v>
                </c:pt>
                <c:pt idx="109">
                  <c:v>0.50020077296814</c:v>
                </c:pt>
                <c:pt idx="110">
                  <c:v>0.512344965249165</c:v>
                </c:pt>
                <c:pt idx="111">
                  <c:v>0.524723316247396</c:v>
                </c:pt>
                <c:pt idx="112">
                  <c:v>0.537334582868422</c:v>
                </c:pt>
                <c:pt idx="113">
                  <c:v>0.55017676167348</c:v>
                </c:pt>
                <c:pt idx="114">
                  <c:v>0.563246997123453</c:v>
                </c:pt>
                <c:pt idx="115">
                  <c:v>0.576541481366118</c:v>
                </c:pt>
                <c:pt idx="116">
                  <c:v>0.590055345096119</c:v>
                </c:pt>
                <c:pt idx="117">
                  <c:v>0.60378253906026</c:v>
                </c:pt>
                <c:pt idx="118">
                  <c:v>0.617715705845452</c:v>
                </c:pt>
                <c:pt idx="119">
                  <c:v>0.631846041677043</c:v>
                </c:pt>
                <c:pt idx="120">
                  <c:v>0.646163148077378</c:v>
                </c:pt>
                <c:pt idx="121">
                  <c:v>0.660654873393133</c:v>
                </c:pt>
                <c:pt idx="122">
                  <c:v>0.675307144402695</c:v>
                </c:pt>
                <c:pt idx="123">
                  <c:v>0.690103788467469</c:v>
                </c:pt>
                <c:pt idx="124">
                  <c:v>0.705026347001551</c:v>
                </c:pt>
                <c:pt idx="125">
                  <c:v>0.720053881409427</c:v>
                </c:pt>
                <c:pt idx="126">
                  <c:v>0.735162773088579</c:v>
                </c:pt>
                <c:pt idx="127">
                  <c:v>0.750326519619109</c:v>
                </c:pt>
                <c:pt idx="128">
                  <c:v>0.765515529870972</c:v>
                </c:pt>
                <c:pt idx="129">
                  <c:v>0.780696921453648</c:v>
                </c:pt>
                <c:pt idx="130">
                  <c:v>0.795834324712558</c:v>
                </c:pt>
                <c:pt idx="131">
                  <c:v>0.810887698336916</c:v>
                </c:pt>
                <c:pt idx="132">
                  <c:v>0.825813162573743</c:v>
                </c:pt>
                <c:pt idx="133">
                  <c:v>0.840562857025426</c:v>
                </c:pt>
                <c:pt idx="134">
                  <c:v>0.855084831015695</c:v>
                </c:pt>
                <c:pt idx="135">
                  <c:v>0.86932297550472</c:v>
                </c:pt>
                <c:pt idx="136">
                  <c:v>0.883217006467856</c:v>
                </c:pt>
                <c:pt idx="137">
                  <c:v>0.896702510462056</c:v>
                </c:pt>
                <c:pt idx="138">
                  <c:v>0.909711063712224</c:v>
                </c:pt>
                <c:pt idx="139">
                  <c:v>0.922170436367637</c:v>
                </c:pt>
                <c:pt idx="140">
                  <c:v>0.93400489350434</c:v>
                </c:pt>
                <c:pt idx="141">
                  <c:v>0.945135603875013</c:v>
                </c:pt>
                <c:pt idx="142">
                  <c:v>0.955481166222571</c:v>
                </c:pt>
                <c:pt idx="143">
                  <c:v>0.964958261073144</c:v>
                </c:pt>
                <c:pt idx="144">
                  <c:v>0.973482433221474</c:v>
                </c:pt>
                <c:pt idx="145">
                  <c:v>0.980969006559021</c:v>
                </c:pt>
                <c:pt idx="146">
                  <c:v>0.987334128459131</c:v>
                </c:pt>
                <c:pt idx="147">
                  <c:v>0.992495935670305</c:v>
                </c:pt>
                <c:pt idx="148">
                  <c:v>0.996375827696943</c:v>
                </c:pt>
                <c:pt idx="149">
                  <c:v>0.998899827167993</c:v>
                </c:pt>
                <c:pt idx="150">
                  <c:v>1</c:v>
                </c:pt>
                <c:pt idx="151">
                  <c:v>0.999615901625279</c:v>
                </c:pt>
                <c:pt idx="152">
                  <c:v>0.997696009627397</c:v>
                </c:pt>
                <c:pt idx="153">
                  <c:v>0.994199098295713</c:v>
                </c:pt>
                <c:pt idx="154">
                  <c:v>0.989095507381985</c:v>
                </c:pt>
                <c:pt idx="155">
                  <c:v>0.982368256179969</c:v>
                </c:pt>
                <c:pt idx="156">
                  <c:v>0.974013955328884</c:v>
                </c:pt>
                <c:pt idx="157">
                  <c:v>0.964043472699467</c:v>
                </c:pt>
                <c:pt idx="158">
                  <c:v>0.952482316402966</c:v>
                </c:pt>
                <c:pt idx="159">
                  <c:v>0.939370707200143</c:v>
                </c:pt>
                <c:pt idx="160">
                  <c:v>0.924763323979789</c:v>
                </c:pt>
                <c:pt idx="161">
                  <c:v>0.908728718915089</c:v>
                </c:pt>
                <c:pt idx="162">
                  <c:v>0.891348412608698</c:v>
                </c:pt>
                <c:pt idx="163">
                  <c:v>0.872715693118566</c:v>
                </c:pt>
                <c:pt idx="164">
                  <c:v>0.852934155304106</c:v>
                </c:pt>
                <c:pt idx="165">
                  <c:v>0.832116027600539</c:v>
                </c:pt>
                <c:pt idx="166">
                  <c:v>0.810380341417346</c:v>
                </c:pt>
                <c:pt idx="167">
                  <c:v>0.787851003379565</c:v>
                </c:pt>
                <c:pt idx="168">
                  <c:v>0.76465483235652</c:v>
                </c:pt>
                <c:pt idx="169">
                  <c:v>0.740919621690006</c:v>
                </c:pt>
                <c:pt idx="170">
                  <c:v>0.716772282530017</c:v>
                </c:pt>
                <c:pt idx="171">
                  <c:v>0.692337117204731</c:v>
                </c:pt>
                <c:pt idx="172">
                  <c:v>0.66773426273215</c:v>
                </c:pt>
                <c:pt idx="173">
                  <c:v>0.643078334634296</c:v>
                </c:pt>
                <c:pt idx="174">
                  <c:v>0.618477290856429</c:v>
                </c:pt>
                <c:pt idx="175">
                  <c:v>0.59403152547863</c:v>
                </c:pt>
                <c:pt idx="176">
                  <c:v>0.569833192585049</c:v>
                </c:pt>
                <c:pt idx="177">
                  <c:v>0.545965752541237</c:v>
                </c:pt>
                <c:pt idx="178">
                  <c:v>0.522503726290493</c:v>
                </c:pt>
                <c:pt idx="179">
                  <c:v>0.499512638241663</c:v>
                </c:pt>
                <c:pt idx="180">
                  <c:v>0.477049124883221</c:v>
                </c:pt>
                <c:pt idx="181">
                  <c:v>0.455161184321343</c:v>
                </c:pt>
                <c:pt idx="182">
                  <c:v>0.433888541328971</c:v>
                </c:pt>
                <c:pt idx="183">
                  <c:v>0.413263102989476</c:v>
                </c:pt>
                <c:pt idx="184">
                  <c:v>0.393309481384299</c:v>
                </c:pt>
                <c:pt idx="185">
                  <c:v>0.3740455617712</c:v>
                </c:pt>
                <c:pt idx="186">
                  <c:v>0.355483097108366</c:v>
                </c:pt>
                <c:pt idx="187">
                  <c:v>0.337628312405663</c:v>
                </c:pt>
                <c:pt idx="188">
                  <c:v>0.320482505068239</c:v>
                </c:pt>
                <c:pt idx="189">
                  <c:v>0.304042630012359</c:v>
                </c:pt>
                <c:pt idx="190">
                  <c:v>0.288301860787739</c:v>
                </c:pt>
                <c:pt idx="191">
                  <c:v>0.273250120171092</c:v>
                </c:pt>
                <c:pt idx="192">
                  <c:v>0.258874575666756</c:v>
                </c:pt>
                <c:pt idx="193">
                  <c:v>0.245160097046236</c:v>
                </c:pt>
                <c:pt idx="194">
                  <c:v>0.232089674480258</c:v>
                </c:pt>
                <c:pt idx="195">
                  <c:v>0.219644796977507</c:v>
                </c:pt>
                <c:pt idx="196">
                  <c:v>0.207805791763781</c:v>
                </c:pt>
                <c:pt idx="197">
                  <c:v>0.196552125939716</c:v>
                </c:pt>
                <c:pt idx="198">
                  <c:v>0.185862672271915</c:v>
                </c:pt>
                <c:pt idx="199">
                  <c:v>0.175715941329161</c:v>
                </c:pt>
                <c:pt idx="200">
                  <c:v>0.166090282399244</c:v>
                </c:pt>
                <c:pt idx="201">
                  <c:v>0.156964055737826</c:v>
                </c:pt>
                <c:pt idx="202">
                  <c:v>0.148315778730669</c:v>
                </c:pt>
                <c:pt idx="203">
                  <c:v>0.14012424851451</c:v>
                </c:pt>
                <c:pt idx="204">
                  <c:v>0.132368643516237</c:v>
                </c:pt>
                <c:pt idx="205">
                  <c:v>0.125028606249294</c:v>
                </c:pt>
                <c:pt idx="206">
                  <c:v>0.118084309561716</c:v>
                </c:pt>
                <c:pt idx="207">
                  <c:v>0.111516508371377</c:v>
                </c:pt>
                <c:pt idx="208">
                  <c:v>0.105306578758418</c:v>
                </c:pt>
                <c:pt idx="209">
                  <c:v>0.0994365461177805</c:v>
                </c:pt>
                <c:pt idx="210">
                  <c:v>0.0938891039110519</c:v>
                </c:pt>
                <c:pt idx="211">
                  <c:v>0.0886476243991018</c:v>
                </c:pt>
                <c:pt idx="212">
                  <c:v>0.0836961625876617</c:v>
                </c:pt>
                <c:pt idx="213">
                  <c:v>0.0790194544783607</c:v>
                </c:pt>
                <c:pt idx="214">
                  <c:v>0.0746029105885561</c:v>
                </c:pt>
                <c:pt idx="215">
                  <c:v>0.0704326055848995</c:v>
                </c:pt>
                <c:pt idx="216">
                  <c:v>0.0664952647679034</c:v>
                </c:pt>
                <c:pt idx="217">
                  <c:v>0.0627782480476096</c:v>
                </c:pt>
                <c:pt idx="218">
                  <c:v>0.0592695319631878</c:v>
                </c:pt>
                <c:pt idx="219">
                  <c:v>0.0559576902214907</c:v>
                </c:pt>
                <c:pt idx="220">
                  <c:v>0.0528318731604888</c:v>
                </c:pt>
                <c:pt idx="221">
                  <c:v>0.0498817864824665</c:v>
                </c:pt>
                <c:pt idx="222">
                  <c:v>0.0470976695481569</c:v>
                </c:pt>
                <c:pt idx="223">
                  <c:v>0.0444702734759661</c:v>
                </c:pt>
                <c:pt idx="224">
                  <c:v>0.0419908392493962</c:v>
                </c:pt>
                <c:pt idx="225">
                  <c:v>0.0396510760001318</c:v>
                </c:pt>
                <c:pt idx="226">
                  <c:v>0.0374431396033808</c:v>
                </c:pt>
                <c:pt idx="227">
                  <c:v>0.0353596116954592</c:v>
                </c:pt>
                <c:pt idx="228">
                  <c:v>0.0333934792007575</c:v>
                </c:pt>
                <c:pt idx="229">
                  <c:v>0.0315381144356878</c:v>
                </c:pt>
                <c:pt idx="230">
                  <c:v>0.0297872558405688</c:v>
                </c:pt>
                <c:pt idx="231">
                  <c:v>0.0281349893763192</c:v>
                </c:pt>
                <c:pt idx="232">
                  <c:v>0.0265757306109345</c:v>
                </c:pt>
                <c:pt idx="233">
                  <c:v>0.0251042075107674</c:v>
                </c:pt>
                <c:pt idx="234">
                  <c:v>0.0237154439433298</c:v>
                </c:pt>
                <c:pt idx="235">
                  <c:v>0.0224047438914836</c:v>
                </c:pt>
                <c:pt idx="236">
                  <c:v>0.0211676763732628</c:v>
                </c:pt>
                <c:pt idx="237">
                  <c:v>0.0200000610570135</c:v>
                </c:pt>
                <c:pt idx="238">
                  <c:v>0.0188979545578953</c:v>
                </c:pt>
                <c:pt idx="239">
                  <c:v>0.0178576373989095</c:v>
                </c:pt>
                <c:pt idx="240">
                  <c:v>0.0168756016174167</c:v>
                </c:pt>
                <c:pt idx="241">
                  <c:v>0.0159485389964421</c:v>
                </c:pt>
                <c:pt idx="242">
                  <c:v>0.0150733298988868</c:v>
                </c:pt>
                <c:pt idx="243">
                  <c:v>0.0142470326819677</c:v>
                </c:pt>
                <c:pt idx="244">
                  <c:v>0.0134668736687528</c:v>
                </c:pt>
                <c:pt idx="245">
                  <c:v>0.0127302376534575</c:v>
                </c:pt>
                <c:pt idx="246">
                  <c:v>0.0120346589172077</c:v>
                </c:pt>
                <c:pt idx="247">
                  <c:v>0.0113778127311844</c:v>
                </c:pt>
                <c:pt idx="248">
                  <c:v>0.0107575073244349</c:v>
                </c:pt>
                <c:pt idx="249">
                  <c:v>0.0101716762941011</c:v>
                </c:pt>
                <c:pt idx="250">
                  <c:v>0.00961837143640031</c:v>
                </c:pt>
                <c:pt idx="251">
                  <c:v>0.00909575597732183</c:v>
                </c:pt>
                <c:pt idx="252">
                  <c:v>0.00860209818270399</c:v>
                </c:pt>
                <c:pt idx="253">
                  <c:v>0.00813576532807668</c:v>
                </c:pt>
                <c:pt idx="254">
                  <c:v>0.0076952180094137</c:v>
                </c:pt>
                <c:pt idx="255">
                  <c:v>0.00727900477669883</c:v>
                </c:pt>
                <c:pt idx="256">
                  <c:v>0.00688575707298329</c:v>
                </c:pt>
                <c:pt idx="257">
                  <c:v>0.0065141844623775</c:v>
                </c:pt>
                <c:pt idx="258">
                  <c:v>0.00616307013117977</c:v>
                </c:pt>
                <c:pt idx="259">
                  <c:v>0.0058312666470894</c:v>
                </c:pt>
                <c:pt idx="260">
                  <c:v>0.00551769196218139</c:v>
                </c:pt>
                <c:pt idx="261">
                  <c:v>0.00522132564602935</c:v>
                </c:pt>
                <c:pt idx="262">
                  <c:v>0.00494120533605006</c:v>
                </c:pt>
                <c:pt idx="263">
                  <c:v>0.00467642339280787</c:v>
                </c:pt>
                <c:pt idx="264">
                  <c:v>0.00442612374865716</c:v>
                </c:pt>
                <c:pt idx="265">
                  <c:v>0.00418949893871583</c:v>
                </c:pt>
                <c:pt idx="266">
                  <c:v>0.00396578730375084</c:v>
                </c:pt>
                <c:pt idx="267">
                  <c:v>0.00375427035512358</c:v>
                </c:pt>
                <c:pt idx="268">
                  <c:v>0.00355427029247729</c:v>
                </c:pt>
                <c:pt idx="269">
                  <c:v>0.00336514766536545</c:v>
                </c:pt>
                <c:pt idx="270">
                  <c:v>0.00318629917050727</c:v>
                </c:pt>
                <c:pt idx="271">
                  <c:v>0.00301715557682169</c:v>
                </c:pt>
                <c:pt idx="272">
                  <c:v>0.00285717977083277</c:v>
                </c:pt>
                <c:pt idx="273">
                  <c:v>0.00270586491545844</c:v>
                </c:pt>
                <c:pt idx="274">
                  <c:v>0.00256273271559159</c:v>
                </c:pt>
                <c:pt idx="275">
                  <c:v>0.00242733178425968</c:v>
                </c:pt>
                <c:pt idx="276">
                  <c:v>0.00229923610350408</c:v>
                </c:pt>
                <c:pt idx="277">
                  <c:v>0.0021780435744582</c:v>
                </c:pt>
                <c:pt idx="278">
                  <c:v>0.00206337465142189</c:v>
                </c:pt>
                <c:pt idx="279">
                  <c:v>0.00195487105503077</c:v>
                </c:pt>
                <c:pt idx="280">
                  <c:v>0.00185219455990312</c:v>
                </c:pt>
                <c:pt idx="281">
                  <c:v>0.00175502585241558</c:v>
                </c:pt>
                <c:pt idx="282">
                  <c:v>0.00166306345451284</c:v>
                </c:pt>
                <c:pt idx="283">
                  <c:v>0.00157602270969423</c:v>
                </c:pt>
                <c:pt idx="284">
                  <c:v>0.00149363482754653</c:v>
                </c:pt>
                <c:pt idx="285">
                  <c:v>0.00141564598340421</c:v>
                </c:pt>
                <c:pt idx="286">
                  <c:v>0.00134181646991898</c:v>
                </c:pt>
                <c:pt idx="287">
                  <c:v>0.00127191989750849</c:v>
                </c:pt>
                <c:pt idx="288">
                  <c:v>0.00120574244083251</c:v>
                </c:pt>
                <c:pt idx="289">
                  <c:v>0.00114308212861207</c:v>
                </c:pt>
                <c:pt idx="290">
                  <c:v>0.00108374817426434</c:v>
                </c:pt>
                <c:pt idx="291">
                  <c:v>0.00102756034497527</c:v>
                </c:pt>
                <c:pt idx="292">
                  <c:v>0.000974348366970896</c:v>
                </c:pt>
                <c:pt idx="293">
                  <c:v>0.000923951364880649</c:v>
                </c:pt>
                <c:pt idx="294">
                  <c:v>0.000876217333209063</c:v>
                </c:pt>
                <c:pt idx="295">
                  <c:v>0.000831002638049574</c:v>
                </c:pt>
                <c:pt idx="296">
                  <c:v>0.000788171547283204</c:v>
                </c:pt>
                <c:pt idx="297">
                  <c:v>0.000747595787608656</c:v>
                </c:pt>
                <c:pt idx="298">
                  <c:v>0.000709154126847041</c:v>
                </c:pt>
                <c:pt idx="299">
                  <c:v>0.000672731980056339</c:v>
                </c:pt>
                <c:pt idx="300">
                  <c:v>0.000638221038076305</c:v>
                </c:pt>
              </c:numCache>
            </c:numRef>
          </c:yVal>
          <c:smooth val="0"/>
        </c:ser>
        <c:axId val="76347464"/>
        <c:axId val="57318235"/>
      </c:scatterChart>
      <c:valAx>
        <c:axId val="7634746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7318235"/>
        <c:crosses val="autoZero"/>
        <c:crossBetween val="midCat"/>
      </c:valAx>
      <c:valAx>
        <c:axId val="573182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6347464"/>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
        <c:varyColors val="0"/>
        <c:ser>
          <c:idx val="0"/>
          <c:order val="0"/>
          <c:tx>
            <c:strRef>
              <c:f>'various models'!$AW$1</c:f>
              <c:strCache>
                <c:ptCount val="1"/>
                <c:pt idx="0">
                  <c:v>Tmax</c:v>
                </c:pt>
              </c:strCache>
            </c:strRef>
          </c:tx>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models'!$AW$2:$AW$500</c:f>
              <c:numCache>
                <c:formatCode>General</c:formatCode>
                <c:ptCount val="499"/>
                <c:pt idx="0">
                  <c:v>29.9999999999983</c:v>
                </c:pt>
                <c:pt idx="1">
                  <c:v>49.1999999999972</c:v>
                </c:pt>
                <c:pt idx="2">
                  <c:v>47.5999999999973</c:v>
                </c:pt>
                <c:pt idx="3">
                  <c:v>45.9999999999974</c:v>
                </c:pt>
                <c:pt idx="4">
                  <c:v>44.5999999999975</c:v>
                </c:pt>
                <c:pt idx="5">
                  <c:v>42.9999999999976</c:v>
                </c:pt>
                <c:pt idx="6">
                  <c:v>41.5999999999976</c:v>
                </c:pt>
                <c:pt idx="7">
                  <c:v>39.9999999999977</c:v>
                </c:pt>
                <c:pt idx="8">
                  <c:v>38.5999999999978</c:v>
                </c:pt>
                <c:pt idx="9">
                  <c:v>37.1999999999979</c:v>
                </c:pt>
                <c:pt idx="10">
                  <c:v>35.599999999998</c:v>
                </c:pt>
                <c:pt idx="11">
                  <c:v>34.1999999999981</c:v>
                </c:pt>
                <c:pt idx="12">
                  <c:v>32.7999999999981</c:v>
                </c:pt>
                <c:pt idx="13">
                  <c:v>31.3999999999982</c:v>
                </c:pt>
                <c:pt idx="14">
                  <c:v>29.9999999999983</c:v>
                </c:pt>
                <c:pt idx="15">
                  <c:v>28.5999999999984</c:v>
                </c:pt>
                <c:pt idx="16">
                  <c:v>27.3999999999984</c:v>
                </c:pt>
                <c:pt idx="17">
                  <c:v>25.9999999999985</c:v>
                </c:pt>
                <c:pt idx="18">
                  <c:v>24.5999999999986</c:v>
                </c:pt>
                <c:pt idx="19">
                  <c:v>23.1999999999987</c:v>
                </c:pt>
                <c:pt idx="20">
                  <c:v>21.9999999999987</c:v>
                </c:pt>
                <c:pt idx="21">
                  <c:v>20.5999999999988</c:v>
                </c:pt>
                <c:pt idx="22">
                  <c:v>19.3999999999989</c:v>
                </c:pt>
                <c:pt idx="23">
                  <c:v>18.199999999999</c:v>
                </c:pt>
                <c:pt idx="24">
                  <c:v>16.799999999999</c:v>
                </c:pt>
                <c:pt idx="25">
                  <c:v>14.3999999999992</c:v>
                </c:pt>
                <c:pt idx="26">
                  <c:v>11.7999999999993</c:v>
                </c:pt>
                <c:pt idx="27">
                  <c:v>9.39999999999947</c:v>
                </c:pt>
              </c:numCache>
            </c:numRef>
          </c:xVal>
          <c:yVal>
            <c:numRef>
              <c:f>'various models'!$AU$2:$AU$500</c:f>
              <c:numCache>
                <c:formatCode>General</c:formatCode>
                <c:ptCount val="499"/>
                <c:pt idx="0">
                  <c:v>5455082343693.91</c:v>
                </c:pt>
                <c:pt idx="1">
                  <c:v>657218471465.887</c:v>
                </c:pt>
                <c:pt idx="2">
                  <c:v>773464343139.7</c:v>
                </c:pt>
                <c:pt idx="3">
                  <c:v>910323706267.811</c:v>
                </c:pt>
                <c:pt idx="4">
                  <c:v>1071448918038.65</c:v>
                </c:pt>
                <c:pt idx="5">
                  <c:v>1260820571864.25</c:v>
                </c:pt>
                <c:pt idx="6">
                  <c:v>1483967612161.19</c:v>
                </c:pt>
                <c:pt idx="7">
                  <c:v>1746179844559.96</c:v>
                </c:pt>
                <c:pt idx="8">
                  <c:v>2054890192456.36</c:v>
                </c:pt>
                <c:pt idx="9">
                  <c:v>2418385833709.99</c:v>
                </c:pt>
                <c:pt idx="10">
                  <c:v>2845731021919.96</c:v>
                </c:pt>
                <c:pt idx="11">
                  <c:v>3348430731947.44</c:v>
                </c:pt>
                <c:pt idx="12">
                  <c:v>3939990660390.01</c:v>
                </c:pt>
                <c:pt idx="13">
                  <c:v>4636052665225.39</c:v>
                </c:pt>
                <c:pt idx="14">
                  <c:v>5360000000000</c:v>
                </c:pt>
                <c:pt idx="15">
                  <c:v>6418927469489.8</c:v>
                </c:pt>
                <c:pt idx="16">
                  <c:v>7552786411346.31</c:v>
                </c:pt>
                <c:pt idx="17">
                  <c:v>8885286338405.22</c:v>
                </c:pt>
                <c:pt idx="18">
                  <c:v>10453773642405.9</c:v>
                </c:pt>
                <c:pt idx="19">
                  <c:v>12301380009214.2</c:v>
                </c:pt>
                <c:pt idx="20">
                  <c:v>14469730310363.7</c:v>
                </c:pt>
                <c:pt idx="21">
                  <c:v>17025613601525.5</c:v>
                </c:pt>
                <c:pt idx="22">
                  <c:v>20026984440525.9</c:v>
                </c:pt>
                <c:pt idx="23">
                  <c:v>23564377914487.9</c:v>
                </c:pt>
                <c:pt idx="24">
                  <c:v>27717586166979</c:v>
                </c:pt>
                <c:pt idx="25">
                  <c:v>38358913729562</c:v>
                </c:pt>
                <c:pt idx="26">
                  <c:v>53081884507289.5</c:v>
                </c:pt>
                <c:pt idx="27">
                  <c:v>73442261808635</c:v>
                </c:pt>
              </c:numCache>
            </c:numRef>
          </c:yVal>
          <c:smooth val="0"/>
        </c:ser>
        <c:ser>
          <c:idx val="1"/>
          <c:order val="1"/>
          <c:tx>
            <c:strRef>
              <c:f>'various models'!$AZ$1</c:f>
              <c:strCache>
                <c:ptCount val="1"/>
                <c:pt idx="0">
                  <c:v>A predicted</c:v>
                </c:pt>
              </c:strCache>
            </c:strRef>
          </c:tx>
          <c:spPr>
            <a:solidFill>
              <a:srgbClr val="c0504d"/>
            </a:solidFill>
            <a:ln cap="rnd" w="1908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models'!$AW$2:$AW$500</c:f>
              <c:numCache>
                <c:formatCode>General</c:formatCode>
                <c:ptCount val="499"/>
                <c:pt idx="0">
                  <c:v>29.9999999999983</c:v>
                </c:pt>
                <c:pt idx="1">
                  <c:v>49.1999999999972</c:v>
                </c:pt>
                <c:pt idx="2">
                  <c:v>47.5999999999973</c:v>
                </c:pt>
                <c:pt idx="3">
                  <c:v>45.9999999999974</c:v>
                </c:pt>
                <c:pt idx="4">
                  <c:v>44.5999999999975</c:v>
                </c:pt>
                <c:pt idx="5">
                  <c:v>42.9999999999976</c:v>
                </c:pt>
                <c:pt idx="6">
                  <c:v>41.5999999999976</c:v>
                </c:pt>
                <c:pt idx="7">
                  <c:v>39.9999999999977</c:v>
                </c:pt>
                <c:pt idx="8">
                  <c:v>38.5999999999978</c:v>
                </c:pt>
                <c:pt idx="9">
                  <c:v>37.1999999999979</c:v>
                </c:pt>
                <c:pt idx="10">
                  <c:v>35.599999999998</c:v>
                </c:pt>
                <c:pt idx="11">
                  <c:v>34.1999999999981</c:v>
                </c:pt>
                <c:pt idx="12">
                  <c:v>32.7999999999981</c:v>
                </c:pt>
                <c:pt idx="13">
                  <c:v>31.3999999999982</c:v>
                </c:pt>
                <c:pt idx="14">
                  <c:v>29.9999999999983</c:v>
                </c:pt>
                <c:pt idx="15">
                  <c:v>28.5999999999984</c:v>
                </c:pt>
                <c:pt idx="16">
                  <c:v>27.3999999999984</c:v>
                </c:pt>
                <c:pt idx="17">
                  <c:v>25.9999999999985</c:v>
                </c:pt>
                <c:pt idx="18">
                  <c:v>24.5999999999986</c:v>
                </c:pt>
                <c:pt idx="19">
                  <c:v>23.1999999999987</c:v>
                </c:pt>
                <c:pt idx="20">
                  <c:v>21.9999999999987</c:v>
                </c:pt>
                <c:pt idx="21">
                  <c:v>20.5999999999988</c:v>
                </c:pt>
                <c:pt idx="22">
                  <c:v>19.3999999999989</c:v>
                </c:pt>
                <c:pt idx="23">
                  <c:v>18.199999999999</c:v>
                </c:pt>
                <c:pt idx="24">
                  <c:v>16.799999999999</c:v>
                </c:pt>
                <c:pt idx="25">
                  <c:v>14.3999999999992</c:v>
                </c:pt>
                <c:pt idx="26">
                  <c:v>11.7999999999993</c:v>
                </c:pt>
                <c:pt idx="27">
                  <c:v>9.39999999999947</c:v>
                </c:pt>
              </c:numCache>
            </c:numRef>
          </c:xVal>
          <c:yVal>
            <c:numRef>
              <c:f>'various models'!$AZ$2:$AZ$500</c:f>
              <c:numCache>
                <c:formatCode>General</c:formatCode>
                <c:ptCount val="499"/>
                <c:pt idx="0">
                  <c:v>5475432128855.14</c:v>
                </c:pt>
                <c:pt idx="1">
                  <c:v>654588636936.492</c:v>
                </c:pt>
                <c:pt idx="2">
                  <c:v>772873638978.596</c:v>
                </c:pt>
                <c:pt idx="3">
                  <c:v>914342005472.622</c:v>
                </c:pt>
                <c:pt idx="4">
                  <c:v>1060936557587.45</c:v>
                </c:pt>
                <c:pt idx="5">
                  <c:v>1259802201666.76</c:v>
                </c:pt>
                <c:pt idx="6">
                  <c:v>1466541240730.13</c:v>
                </c:pt>
                <c:pt idx="7">
                  <c:v>1747913754968.35</c:v>
                </c:pt>
                <c:pt idx="8">
                  <c:v>2041376411561.5</c:v>
                </c:pt>
                <c:pt idx="9">
                  <c:v>2387727341447.19</c:v>
                </c:pt>
                <c:pt idx="10">
                  <c:v>2861382059928.11</c:v>
                </c:pt>
                <c:pt idx="11">
                  <c:v>3357752375930.64</c:v>
                </c:pt>
                <c:pt idx="12">
                  <c:v>3946208507092.19</c:v>
                </c:pt>
                <c:pt idx="13">
                  <c:v>4644831247102.62</c:v>
                </c:pt>
                <c:pt idx="14">
                  <c:v>5475432128855.14</c:v>
                </c:pt>
                <c:pt idx="15">
                  <c:v>6464358122057.92</c:v>
                </c:pt>
                <c:pt idx="16">
                  <c:v>7462005515651.08</c:v>
                </c:pt>
                <c:pt idx="17">
                  <c:v>8834573576412.61</c:v>
                </c:pt>
                <c:pt idx="18">
                  <c:v>10475485656125.7</c:v>
                </c:pt>
                <c:pt idx="19">
                  <c:v>12440026035426.8</c:v>
                </c:pt>
                <c:pt idx="20">
                  <c:v>14432072038215.4</c:v>
                </c:pt>
                <c:pt idx="21">
                  <c:v>17186950609110</c:v>
                </c:pt>
                <c:pt idx="22">
                  <c:v>19987318309968.6</c:v>
                </c:pt>
                <c:pt idx="23">
                  <c:v>23269875530952</c:v>
                </c:pt>
                <c:pt idx="24">
                  <c:v>27826058208341.8</c:v>
                </c:pt>
                <c:pt idx="25">
                  <c:v>37941210774742.4</c:v>
                </c:pt>
                <c:pt idx="26">
                  <c:v>53355140550389.7</c:v>
                </c:pt>
                <c:pt idx="27">
                  <c:v>73429013383035.6</c:v>
                </c:pt>
              </c:numCache>
            </c:numRef>
          </c:yVal>
          <c:smooth val="0"/>
        </c:ser>
        <c:axId val="21770055"/>
        <c:axId val="71670207"/>
      </c:scatterChart>
      <c:valAx>
        <c:axId val="2177005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1670207"/>
        <c:crosses val="autoZero"/>
        <c:crossBetween val="midCat"/>
      </c:valAx>
      <c:valAx>
        <c:axId val="71670207"/>
        <c:scaling>
          <c:logBase val="10"/>
          <c:orientation val="minMax"/>
          <c:min val="10000000000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1770055"/>
        <c:crosses val="autoZero"/>
        <c:crossBetween val="midCat"/>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
        <c:varyColors val="0"/>
        <c:ser>
          <c:idx val="0"/>
          <c:order val="0"/>
          <c:tx>
            <c:strRef>
              <c:f>'various models'!$BF$1</c:f>
              <c:strCache>
                <c:ptCount val="1"/>
                <c:pt idx="0">
                  <c:v>g_min</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models'!$BE$2:$BE$31</c:f>
              <c:numCache>
                <c:formatCode>General</c:formatCode>
                <c:ptCount val="3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numCache>
            </c:numRef>
          </c:xVal>
          <c:yVal>
            <c:numRef>
              <c:f>'various models'!$BF$2:$BF$31</c:f>
              <c:numCache>
                <c:formatCode>General</c:formatCode>
                <c:ptCount val="30"/>
                <c:pt idx="0">
                  <c:v>8.83759596768754</c:v>
                </c:pt>
                <c:pt idx="1">
                  <c:v>8.92457429864655</c:v>
                </c:pt>
                <c:pt idx="2">
                  <c:v>9.01240865765708</c:v>
                </c:pt>
                <c:pt idx="3">
                  <c:v>9.10110746962241</c:v>
                </c:pt>
                <c:pt idx="4">
                  <c:v>9.19067924236248</c:v>
                </c:pt>
                <c:pt idx="5">
                  <c:v>9.28113256742995</c:v>
                </c:pt>
                <c:pt idx="6">
                  <c:v>9.37247612093431</c:v>
                </c:pt>
                <c:pt idx="7">
                  <c:v>9.46471866437401</c:v>
                </c:pt>
                <c:pt idx="8">
                  <c:v>9.55786904547694</c:v>
                </c:pt>
                <c:pt idx="9">
                  <c:v>9.651936199049</c:v>
                </c:pt>
                <c:pt idx="10">
                  <c:v>9.74692914783117</c:v>
                </c:pt>
                <c:pt idx="11">
                  <c:v>9.84285700336492</c:v>
                </c:pt>
                <c:pt idx="12">
                  <c:v>9.9397289668662</c:v>
                </c:pt>
                <c:pt idx="13">
                  <c:v>10.0375543301079</c:v>
                </c:pt>
                <c:pt idx="14">
                  <c:v>10.1363424763114</c:v>
                </c:pt>
                <c:pt idx="15">
                  <c:v>10.2361028810461</c:v>
                </c:pt>
                <c:pt idx="16">
                  <c:v>10.3368451131388</c:v>
                </c:pt>
                <c:pt idx="17">
                  <c:v>10.4385788355911</c:v>
                </c:pt>
                <c:pt idx="18">
                  <c:v>10.5413138065067</c:v>
                </c:pt>
                <c:pt idx="19">
                  <c:v>10.6450598800268</c:v>
                </c:pt>
                <c:pt idx="20">
                  <c:v>10.749827007276</c:v>
                </c:pt>
                <c:pt idx="21">
                  <c:v>10.8556252373161</c:v>
                </c:pt>
                <c:pt idx="22">
                  <c:v>10.9624647181105</c:v>
                </c:pt>
                <c:pt idx="23">
                  <c:v>11.0703556974972</c:v>
                </c:pt>
                <c:pt idx="24">
                  <c:v>11.1793085241722</c:v>
                </c:pt>
                <c:pt idx="25">
                  <c:v>11.2893336486815</c:v>
                </c:pt>
                <c:pt idx="26">
                  <c:v>11.4004416244242</c:v>
                </c:pt>
                <c:pt idx="27">
                  <c:v>11.5126431086642</c:v>
                </c:pt>
                <c:pt idx="28">
                  <c:v>11.6259488635527</c:v>
                </c:pt>
                <c:pt idx="29">
                  <c:v>11.7403697571604</c:v>
                </c:pt>
              </c:numCache>
            </c:numRef>
          </c:yVal>
          <c:smooth val="0"/>
        </c:ser>
        <c:ser>
          <c:idx val="1"/>
          <c:order val="1"/>
          <c:tx>
            <c:strRef>
              <c:f>'various models'!$BF$1</c:f>
              <c:strCache>
                <c:ptCount val="1"/>
                <c:pt idx="0">
                  <c:v>g_min</c:v>
                </c:pt>
              </c:strCache>
            </c:strRef>
          </c:tx>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models'!$BE$32:$BE$42</c:f>
              <c:numCache>
                <c:formatCode>General</c:formatCode>
                <c:ptCount val="11"/>
                <c:pt idx="0">
                  <c:v>40</c:v>
                </c:pt>
                <c:pt idx="1">
                  <c:v>41</c:v>
                </c:pt>
                <c:pt idx="2">
                  <c:v>42</c:v>
                </c:pt>
                <c:pt idx="3">
                  <c:v>43</c:v>
                </c:pt>
                <c:pt idx="4">
                  <c:v>44</c:v>
                </c:pt>
                <c:pt idx="5">
                  <c:v>45</c:v>
                </c:pt>
                <c:pt idx="6">
                  <c:v>46</c:v>
                </c:pt>
                <c:pt idx="7">
                  <c:v>47</c:v>
                </c:pt>
                <c:pt idx="8">
                  <c:v>48</c:v>
                </c:pt>
                <c:pt idx="9">
                  <c:v>49</c:v>
                </c:pt>
                <c:pt idx="10">
                  <c:v>50</c:v>
                </c:pt>
              </c:numCache>
            </c:numRef>
          </c:xVal>
          <c:yVal>
            <c:numRef>
              <c:f>'various models'!$BF$32:$BF$42</c:f>
              <c:numCache>
                <c:formatCode>General</c:formatCode>
                <c:ptCount val="11"/>
                <c:pt idx="0">
                  <c:v>11.8982391945444</c:v>
                </c:pt>
                <c:pt idx="1">
                  <c:v>12.5590662372303</c:v>
                </c:pt>
                <c:pt idx="2">
                  <c:v>13.2565955493197</c:v>
                </c:pt>
                <c:pt idx="3">
                  <c:v>13.9928655712703</c:v>
                </c:pt>
                <c:pt idx="4">
                  <c:v>14.7700279583237</c:v>
                </c:pt>
                <c:pt idx="5">
                  <c:v>15.5903538684434</c:v>
                </c:pt>
                <c:pt idx="6">
                  <c:v>16.4562405994847</c:v>
                </c:pt>
                <c:pt idx="7">
                  <c:v>17.3702185949911</c:v>
                </c:pt>
                <c:pt idx="8">
                  <c:v>18.3349588390937</c:v>
                </c:pt>
                <c:pt idx="9">
                  <c:v>19.3532806621212</c:v>
                </c:pt>
                <c:pt idx="10">
                  <c:v>20.4281599797336</c:v>
                </c:pt>
              </c:numCache>
            </c:numRef>
          </c:yVal>
          <c:smooth val="0"/>
        </c:ser>
        <c:axId val="67385210"/>
        <c:axId val="13090000"/>
      </c:scatterChart>
      <c:valAx>
        <c:axId val="6738521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3090000"/>
        <c:crosses val="autoZero"/>
        <c:crossBetween val="midCat"/>
      </c:valAx>
      <c:valAx>
        <c:axId val="1309000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738521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
        <c:varyColors val="0"/>
        <c:ser>
          <c:idx val="0"/>
          <c:order val="0"/>
          <c:tx>
            <c:strRef>
              <c:f>'various models'!$BF$1</c:f>
              <c:strCache>
                <c:ptCount val="1"/>
                <c:pt idx="0">
                  <c:v>g_min</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0000"/>
                </a:solidFill>
                <a:round/>
              </a:ln>
            </c:spPr>
            <c:trendlineType val="linear"/>
            <c:forward val="0"/>
            <c:backward val="0"/>
            <c:dispRSqr val="0"/>
            <c:dispEq val="1"/>
          </c:trendline>
          <c:xVal>
            <c:numRef>
              <c:f>'various models'!$BE$2:$BE$27</c:f>
              <c:numCache>
                <c:formatCode>General</c:formatCode>
                <c:ptCount val="26"/>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numCache>
            </c:numRef>
          </c:xVal>
          <c:yVal>
            <c:numRef>
              <c:f>'various models'!$BG$2:$BG$27</c:f>
              <c:numCache>
                <c:formatCode>General</c:formatCode>
                <c:ptCount val="26"/>
                <c:pt idx="0">
                  <c:v>9.46334142845787</c:v>
                </c:pt>
                <c:pt idx="1">
                  <c:v>9.50587509472405</c:v>
                </c:pt>
                <c:pt idx="2">
                  <c:v>9.54840876099022</c:v>
                </c:pt>
                <c:pt idx="3">
                  <c:v>9.5909424272564</c:v>
                </c:pt>
                <c:pt idx="4">
                  <c:v>9.63347609352258</c:v>
                </c:pt>
                <c:pt idx="5">
                  <c:v>9.67600975978875</c:v>
                </c:pt>
                <c:pt idx="6">
                  <c:v>9.71854342605493</c:v>
                </c:pt>
                <c:pt idx="7">
                  <c:v>9.7610770923211</c:v>
                </c:pt>
                <c:pt idx="8">
                  <c:v>9.80361075858728</c:v>
                </c:pt>
                <c:pt idx="9">
                  <c:v>9.84614442485346</c:v>
                </c:pt>
                <c:pt idx="10">
                  <c:v>9.88867809111963</c:v>
                </c:pt>
                <c:pt idx="11">
                  <c:v>9.93121175738581</c:v>
                </c:pt>
                <c:pt idx="12">
                  <c:v>9.97374542365198</c:v>
                </c:pt>
                <c:pt idx="13">
                  <c:v>10.0162790899182</c:v>
                </c:pt>
                <c:pt idx="14">
                  <c:v>10.0588127561843</c:v>
                </c:pt>
                <c:pt idx="15">
                  <c:v>10.1013464224505</c:v>
                </c:pt>
                <c:pt idx="16">
                  <c:v>10.1438800887167</c:v>
                </c:pt>
                <c:pt idx="17">
                  <c:v>10.1864137549829</c:v>
                </c:pt>
                <c:pt idx="18">
                  <c:v>10.228947421249</c:v>
                </c:pt>
                <c:pt idx="19">
                  <c:v>10.2714810875152</c:v>
                </c:pt>
                <c:pt idx="20">
                  <c:v>10.3140147537814</c:v>
                </c:pt>
                <c:pt idx="21">
                  <c:v>10.3565484200476</c:v>
                </c:pt>
                <c:pt idx="22">
                  <c:v>10.3990820863137</c:v>
                </c:pt>
                <c:pt idx="23">
                  <c:v>10.4416157525799</c:v>
                </c:pt>
                <c:pt idx="24">
                  <c:v>10.4841494188461</c:v>
                </c:pt>
                <c:pt idx="25">
                  <c:v>10.5266830851123</c:v>
                </c:pt>
              </c:numCache>
            </c:numRef>
          </c:yVal>
          <c:smooth val="0"/>
        </c:ser>
        <c:ser>
          <c:idx val="1"/>
          <c:order val="1"/>
          <c:tx>
            <c:strRef>
              <c:f>'various models'!$BF$1</c:f>
              <c:strCache>
                <c:ptCount val="1"/>
                <c:pt idx="0">
                  <c:v>g_min</c:v>
                </c:pt>
              </c:strCache>
            </c:strRef>
          </c:tx>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f81bd"/>
                </a:solidFill>
                <a:prstDash val="sysDot"/>
                <a:round/>
              </a:ln>
            </c:spPr>
            <c:trendlineType val="linear"/>
            <c:forward val="0"/>
            <c:backward val="0"/>
            <c:dispRSqr val="0"/>
            <c:dispEq val="1"/>
          </c:trendline>
          <c:xVal>
            <c:numRef>
              <c:f>'various models'!$BE$32:$BE$42</c:f>
              <c:numCache>
                <c:formatCode>General</c:formatCode>
                <c:ptCount val="11"/>
                <c:pt idx="0">
                  <c:v>40</c:v>
                </c:pt>
                <c:pt idx="1">
                  <c:v>41</c:v>
                </c:pt>
                <c:pt idx="2">
                  <c:v>42</c:v>
                </c:pt>
                <c:pt idx="3">
                  <c:v>43</c:v>
                </c:pt>
                <c:pt idx="4">
                  <c:v>44</c:v>
                </c:pt>
                <c:pt idx="5">
                  <c:v>45</c:v>
                </c:pt>
                <c:pt idx="6">
                  <c:v>46</c:v>
                </c:pt>
                <c:pt idx="7">
                  <c:v>47</c:v>
                </c:pt>
                <c:pt idx="8">
                  <c:v>48</c:v>
                </c:pt>
                <c:pt idx="9">
                  <c:v>49</c:v>
                </c:pt>
                <c:pt idx="10">
                  <c:v>50</c:v>
                </c:pt>
              </c:numCache>
            </c:numRef>
          </c:xVal>
          <c:yVal>
            <c:numRef>
              <c:f>'various models'!$BG$32:$BG$42</c:f>
              <c:numCache>
                <c:formatCode>General</c:formatCode>
                <c:ptCount val="11"/>
                <c:pt idx="0">
                  <c:v>10.7548269545351</c:v>
                </c:pt>
                <c:pt idx="1">
                  <c:v>10.9895735093833</c:v>
                </c:pt>
                <c:pt idx="2">
                  <c:v>11.2243200642316</c:v>
                </c:pt>
                <c:pt idx="3">
                  <c:v>11.4590666190798</c:v>
                </c:pt>
                <c:pt idx="4">
                  <c:v>11.693813173928</c:v>
                </c:pt>
                <c:pt idx="5">
                  <c:v>11.9285597287763</c:v>
                </c:pt>
                <c:pt idx="6">
                  <c:v>12.1633062836245</c:v>
                </c:pt>
                <c:pt idx="7">
                  <c:v>12.3980528384727</c:v>
                </c:pt>
                <c:pt idx="8">
                  <c:v>12.632799393321</c:v>
                </c:pt>
                <c:pt idx="9">
                  <c:v>12.8675459481692</c:v>
                </c:pt>
                <c:pt idx="10">
                  <c:v>13.1022925030174</c:v>
                </c:pt>
              </c:numCache>
            </c:numRef>
          </c:yVal>
          <c:smooth val="0"/>
        </c:ser>
        <c:axId val="93718937"/>
        <c:axId val="57841706"/>
      </c:scatterChart>
      <c:valAx>
        <c:axId val="93718937"/>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7841706"/>
        <c:crosses val="autoZero"/>
        <c:crossBetween val="midCat"/>
      </c:valAx>
      <c:valAx>
        <c:axId val="57841706"/>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371893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800" spc="-1" strike="noStrike">
                <a:solidFill>
                  <a:srgbClr val="000000"/>
                </a:solidFill>
                <a:latin typeface="Calibri"/>
              </a:defRPr>
            </a:pPr>
            <a:r>
              <a:rPr b="1" lang="fr-FR" sz="1800" spc="-1" strike="noStrike">
                <a:solidFill>
                  <a:srgbClr val="000000"/>
                </a:solidFill>
                <a:latin typeface="Calibri"/>
              </a:rPr>
              <a:t>N=4</a:t>
            </a:r>
          </a:p>
        </c:rich>
      </c:tx>
      <c:overlay val="0"/>
      <c:spPr>
        <a:solidFill>
          <a:srgbClr val="ffff00"/>
        </a:solidFill>
        <a:ln w="0">
          <a:noFill/>
        </a:ln>
      </c:spPr>
    </c:title>
    <c:autoTitleDeleted val="0"/>
    <c:plotArea>
      <c:layout>
        <c:manualLayout>
          <c:layoutTarget val="inner"/>
          <c:xMode val="edge"/>
          <c:yMode val="edge"/>
          <c:x val="0.0994296085040187"/>
          <c:y val="0.0345010615711253"/>
          <c:w val="0.871143375680581"/>
          <c:h val="0.868789808917197"/>
        </c:manualLayout>
      </c:layout>
      <c:scatterChart>
        <c:scatterStyle val="lineMarker"/>
        <c:varyColors val="0"/>
        <c:ser>
          <c:idx val="0"/>
          <c:order val="0"/>
          <c:tx>
            <c:strRef>
              <c:f>'various models'!$BF$1</c:f>
              <c:strCache>
                <c:ptCount val="1"/>
                <c:pt idx="0">
                  <c:v>g_min</c:v>
                </c:pt>
              </c:strCache>
            </c:strRef>
          </c:tx>
          <c:spPr>
            <a:solidFill>
              <a:srgbClr val="99ccff"/>
            </a:solidFill>
            <a:ln w="25560">
              <a:noFill/>
            </a:ln>
          </c:spPr>
          <c:marker>
            <c:symbol val="circle"/>
            <c:size val="10"/>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70c0"/>
                </a:solidFill>
                <a:round/>
              </a:ln>
            </c:spPr>
            <c:trendlineType val="linear"/>
            <c:forward val="0"/>
            <c:backward val="0"/>
            <c:dispRSqr val="0"/>
            <c:dispEq val="1"/>
          </c:trendline>
          <c:xVal>
            <c:numRef>
              <c:f>'various models'!$BN$7:$BN$9</c:f>
              <c:numCache>
                <c:formatCode>General</c:formatCode>
                <c:ptCount val="3"/>
                <c:pt idx="0">
                  <c:v>40</c:v>
                </c:pt>
                <c:pt idx="1">
                  <c:v>45</c:v>
                </c:pt>
                <c:pt idx="2">
                  <c:v>50</c:v>
                </c:pt>
              </c:numCache>
            </c:numRef>
          </c:xVal>
          <c:yVal>
            <c:numRef>
              <c:f>'various models'!$BP$7:$BP$9</c:f>
              <c:numCache>
                <c:formatCode>General</c:formatCode>
                <c:ptCount val="3"/>
                <c:pt idx="0">
                  <c:v>10.7365101685561</c:v>
                </c:pt>
                <c:pt idx="1">
                  <c:v>11.9208838612569</c:v>
                </c:pt>
                <c:pt idx="2">
                  <c:v>13.0839757170385</c:v>
                </c:pt>
              </c:numCache>
            </c:numRef>
          </c:yVal>
          <c:smooth val="0"/>
        </c:ser>
        <c:ser>
          <c:idx val="1"/>
          <c:order val="1"/>
          <c:tx>
            <c:strRef>
              <c:f>'various models'!$BF$1</c:f>
              <c:strCache>
                <c:ptCount val="1"/>
                <c:pt idx="0">
                  <c:v>g_min</c:v>
                </c:pt>
              </c:strCache>
            </c:strRef>
          </c:tx>
          <c:spPr>
            <a:solidFill>
              <a:srgbClr val="99ccff"/>
            </a:solidFill>
            <a:ln w="28440">
              <a:noFill/>
            </a:ln>
          </c:spPr>
          <c:marker>
            <c:symbol val="circle"/>
            <c:size val="8"/>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e46c0a"/>
                </a:solidFill>
                <a:round/>
              </a:ln>
            </c:spPr>
            <c:trendlineType val="linear"/>
            <c:forward val="0"/>
            <c:backward val="0"/>
            <c:dispRSqr val="0"/>
            <c:dispEq val="1"/>
          </c:trendline>
          <c:xVal>
            <c:numRef>
              <c:f>'various models'!$BN$4:$BN$7</c:f>
              <c:numCache>
                <c:formatCode>General</c:formatCode>
                <c:ptCount val="4"/>
                <c:pt idx="0">
                  <c:v>25</c:v>
                </c:pt>
                <c:pt idx="1">
                  <c:v>30</c:v>
                </c:pt>
                <c:pt idx="2">
                  <c:v>35</c:v>
                </c:pt>
                <c:pt idx="3">
                  <c:v>40</c:v>
                </c:pt>
              </c:numCache>
            </c:numRef>
          </c:xVal>
          <c:yVal>
            <c:numRef>
              <c:f>'various models'!$BP$4:$BP$7</c:f>
              <c:numCache>
                <c:formatCode>General</c:formatCode>
                <c:ptCount val="4"/>
                <c:pt idx="0">
                  <c:v>10.1013464224505</c:v>
                </c:pt>
                <c:pt idx="1">
                  <c:v>10.2816338795761</c:v>
                </c:pt>
                <c:pt idx="2">
                  <c:v>10.5028259545681</c:v>
                </c:pt>
                <c:pt idx="3">
                  <c:v>10.7365101685561</c:v>
                </c:pt>
              </c:numCache>
            </c:numRef>
          </c:yVal>
          <c:smooth val="0"/>
        </c:ser>
        <c:ser>
          <c:idx val="2"/>
          <c:order val="2"/>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models'!$BN$11</c:f>
              <c:numCache>
                <c:formatCode>General</c:formatCode>
                <c:ptCount val="1"/>
                <c:pt idx="0">
                  <c:v>20</c:v>
                </c:pt>
              </c:numCache>
            </c:numRef>
          </c:xVal>
          <c:yVal>
            <c:numRef>
              <c:f>'various models'!$BP$11</c:f>
              <c:numCache>
                <c:formatCode>General</c:formatCode>
                <c:ptCount val="1"/>
                <c:pt idx="0">
                  <c:v>9.87390827796052</c:v>
                </c:pt>
              </c:numCache>
            </c:numRef>
          </c:yVal>
          <c:smooth val="0"/>
        </c:ser>
        <c:axId val="7348461"/>
        <c:axId val="50584633"/>
      </c:scatterChart>
      <c:valAx>
        <c:axId val="7348461"/>
        <c:scaling>
          <c:orientation val="minMax"/>
          <c:min val="15"/>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0584633"/>
        <c:crosses val="autoZero"/>
        <c:crossBetween val="midCat"/>
      </c:valAx>
      <c:valAx>
        <c:axId val="50584633"/>
        <c:scaling>
          <c:orientation val="minMax"/>
          <c:min val="9"/>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348461"/>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800" spc="-1" strike="noStrike">
                <a:solidFill>
                  <a:srgbClr val="000000"/>
                </a:solidFill>
                <a:latin typeface="Calibri"/>
              </a:defRPr>
            </a:pPr>
            <a:r>
              <a:rPr b="1" lang="fr-FR" sz="1800" spc="-1" strike="noStrike">
                <a:solidFill>
                  <a:srgbClr val="000000"/>
                </a:solidFill>
                <a:latin typeface="Calibri"/>
              </a:rPr>
              <a:t>N=3</a:t>
            </a:r>
          </a:p>
        </c:rich>
      </c:tx>
      <c:overlay val="0"/>
      <c:spPr>
        <a:solidFill>
          <a:srgbClr val="ffff00"/>
        </a:solidFill>
        <a:ln w="0">
          <a:noFill/>
        </a:ln>
      </c:spPr>
    </c:title>
    <c:autoTitleDeleted val="0"/>
    <c:plotArea>
      <c:layout>
        <c:manualLayout>
          <c:layoutTarget val="inner"/>
          <c:xMode val="edge"/>
          <c:yMode val="edge"/>
          <c:x val="0.0994115437586077"/>
          <c:y val="0.0344901227976508"/>
          <c:w val="0.871165644171779"/>
          <c:h val="0.868766684463428"/>
        </c:manualLayout>
      </c:layout>
      <c:scatterChart>
        <c:scatterStyle val="lineMarker"/>
        <c:varyColors val="0"/>
        <c:ser>
          <c:idx val="0"/>
          <c:order val="0"/>
          <c:tx>
            <c:strRef>
              <c:f>'various models'!$BF$1</c:f>
              <c:strCache>
                <c:ptCount val="1"/>
                <c:pt idx="0">
                  <c:v>g_min</c:v>
                </c:pt>
              </c:strCache>
            </c:strRef>
          </c:tx>
          <c:spPr>
            <a:solidFill>
              <a:srgbClr val="99ccff"/>
            </a:solidFill>
            <a:ln w="25560">
              <a:noFill/>
            </a:ln>
          </c:spPr>
          <c:marker>
            <c:symbol val="circle"/>
            <c:size val="10"/>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70c0"/>
                </a:solidFill>
                <a:round/>
              </a:ln>
            </c:spPr>
            <c:trendlineType val="linear"/>
            <c:forward val="0"/>
            <c:backward val="0"/>
            <c:dispRSqr val="0"/>
            <c:dispEq val="1"/>
          </c:trendline>
          <c:xVal>
            <c:numRef>
              <c:f>'various models'!$BN$6:$BN$9</c:f>
              <c:numCache>
                <c:formatCode>General</c:formatCode>
                <c:ptCount val="4"/>
                <c:pt idx="0">
                  <c:v>35</c:v>
                </c:pt>
                <c:pt idx="1">
                  <c:v>40</c:v>
                </c:pt>
                <c:pt idx="2">
                  <c:v>45</c:v>
                </c:pt>
                <c:pt idx="3">
                  <c:v>50</c:v>
                </c:pt>
              </c:numCache>
            </c:numRef>
          </c:xVal>
          <c:yVal>
            <c:numRef>
              <c:f>'various models'!$BP$6:$BP$9</c:f>
              <c:numCache>
                <c:formatCode>General</c:formatCode>
                <c:ptCount val="4"/>
                <c:pt idx="0">
                  <c:v>10.5028259545681</c:v>
                </c:pt>
                <c:pt idx="1">
                  <c:v>10.7365101685561</c:v>
                </c:pt>
                <c:pt idx="2">
                  <c:v>11.9208838612569</c:v>
                </c:pt>
                <c:pt idx="3">
                  <c:v>13.0839757170385</c:v>
                </c:pt>
              </c:numCache>
            </c:numRef>
          </c:yVal>
          <c:smooth val="0"/>
        </c:ser>
        <c:ser>
          <c:idx val="1"/>
          <c:order val="1"/>
          <c:tx>
            <c:strRef>
              <c:f>'various models'!$BF$1</c:f>
              <c:strCache>
                <c:ptCount val="1"/>
                <c:pt idx="0">
                  <c:v>g_min</c:v>
                </c:pt>
              </c:strCache>
            </c:strRef>
          </c:tx>
          <c:spPr>
            <a:solidFill>
              <a:srgbClr val="99ccff"/>
            </a:solidFill>
            <a:ln w="28440">
              <a:noFill/>
            </a:ln>
          </c:spPr>
          <c:marker>
            <c:symbol val="circle"/>
            <c:size val="8"/>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e46c0a"/>
                </a:solidFill>
                <a:round/>
              </a:ln>
            </c:spPr>
            <c:trendlineType val="linear"/>
            <c:forward val="0"/>
            <c:backward val="0"/>
            <c:dispRSqr val="0"/>
            <c:dispEq val="1"/>
          </c:trendline>
          <c:xVal>
            <c:numRef>
              <c:f>'various models'!$BN$4:$BN$6</c:f>
              <c:numCache>
                <c:formatCode>General</c:formatCode>
                <c:ptCount val="3"/>
                <c:pt idx="0">
                  <c:v>25</c:v>
                </c:pt>
                <c:pt idx="1">
                  <c:v>30</c:v>
                </c:pt>
                <c:pt idx="2">
                  <c:v>35</c:v>
                </c:pt>
              </c:numCache>
            </c:numRef>
          </c:xVal>
          <c:yVal>
            <c:numRef>
              <c:f>'various models'!$BP$4:$BP$6</c:f>
              <c:numCache>
                <c:formatCode>General</c:formatCode>
                <c:ptCount val="3"/>
                <c:pt idx="0">
                  <c:v>10.1013464224505</c:v>
                </c:pt>
                <c:pt idx="1">
                  <c:v>10.2816338795761</c:v>
                </c:pt>
                <c:pt idx="2">
                  <c:v>10.5028259545681</c:v>
                </c:pt>
              </c:numCache>
            </c:numRef>
          </c:yVal>
          <c:smooth val="0"/>
        </c:ser>
        <c:ser>
          <c:idx val="2"/>
          <c:order val="2"/>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models'!$BN$11</c:f>
              <c:numCache>
                <c:formatCode>General</c:formatCode>
                <c:ptCount val="1"/>
                <c:pt idx="0">
                  <c:v>20</c:v>
                </c:pt>
              </c:numCache>
            </c:numRef>
          </c:xVal>
          <c:yVal>
            <c:numRef>
              <c:f>'various models'!$BP$11</c:f>
              <c:numCache>
                <c:formatCode>General</c:formatCode>
                <c:ptCount val="1"/>
                <c:pt idx="0">
                  <c:v>9.87390827796052</c:v>
                </c:pt>
              </c:numCache>
            </c:numRef>
          </c:yVal>
          <c:smooth val="0"/>
        </c:ser>
        <c:axId val="34973046"/>
        <c:axId val="12736091"/>
      </c:scatterChart>
      <c:valAx>
        <c:axId val="34973046"/>
        <c:scaling>
          <c:orientation val="minMax"/>
          <c:min val="15"/>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2736091"/>
        <c:crosses val="autoZero"/>
        <c:crossBetween val="midCat"/>
      </c:valAx>
      <c:valAx>
        <c:axId val="12736091"/>
        <c:scaling>
          <c:orientation val="minMax"/>
          <c:min val="9"/>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4973046"/>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800" spc="-1" strike="noStrike">
                <a:solidFill>
                  <a:srgbClr val="000000"/>
                </a:solidFill>
                <a:latin typeface="Calibri"/>
              </a:defRPr>
            </a:pPr>
            <a:r>
              <a:rPr b="1" lang="fr-FR" sz="1800" spc="-1" strike="noStrike">
                <a:solidFill>
                  <a:srgbClr val="000000"/>
                </a:solidFill>
                <a:latin typeface="Calibri"/>
              </a:rPr>
              <a:t>N=2</a:t>
            </a:r>
          </a:p>
        </c:rich>
      </c:tx>
      <c:overlay val="0"/>
      <c:spPr>
        <a:solidFill>
          <a:srgbClr val="ffff00"/>
        </a:solidFill>
        <a:ln w="0">
          <a:noFill/>
        </a:ln>
      </c:spPr>
    </c:title>
    <c:autoTitleDeleted val="0"/>
    <c:plotArea>
      <c:layout>
        <c:manualLayout>
          <c:layoutTarget val="inner"/>
          <c:xMode val="edge"/>
          <c:yMode val="edge"/>
          <c:x val="0.0994296085040187"/>
          <c:y val="0.0344901227976508"/>
          <c:w val="0.871143375680581"/>
          <c:h val="0.868766684463428"/>
        </c:manualLayout>
      </c:layout>
      <c:scatterChart>
        <c:scatterStyle val="lineMarker"/>
        <c:varyColors val="0"/>
        <c:ser>
          <c:idx val="0"/>
          <c:order val="0"/>
          <c:tx>
            <c:strRef>
              <c:f>'various models'!$BF$1</c:f>
              <c:strCache>
                <c:ptCount val="1"/>
                <c:pt idx="0">
                  <c:v>g_min</c:v>
                </c:pt>
              </c:strCache>
            </c:strRef>
          </c:tx>
          <c:spPr>
            <a:solidFill>
              <a:srgbClr val="99ccff"/>
            </a:solidFill>
            <a:ln w="25560">
              <a:noFill/>
            </a:ln>
          </c:spPr>
          <c:marker>
            <c:symbol val="circle"/>
            <c:size val="10"/>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70c0"/>
                </a:solidFill>
                <a:round/>
              </a:ln>
            </c:spPr>
            <c:trendlineType val="linear"/>
            <c:forward val="0"/>
            <c:backward val="0"/>
            <c:dispRSqr val="0"/>
            <c:dispEq val="1"/>
          </c:trendline>
          <c:xVal>
            <c:numRef>
              <c:f>'various models'!$BN$5:$BN$9</c:f>
              <c:numCache>
                <c:formatCode>General</c:formatCode>
                <c:ptCount val="5"/>
                <c:pt idx="0">
                  <c:v>30</c:v>
                </c:pt>
                <c:pt idx="1">
                  <c:v>35</c:v>
                </c:pt>
                <c:pt idx="2">
                  <c:v>40</c:v>
                </c:pt>
                <c:pt idx="3">
                  <c:v>45</c:v>
                </c:pt>
                <c:pt idx="4">
                  <c:v>50</c:v>
                </c:pt>
              </c:numCache>
            </c:numRef>
          </c:xVal>
          <c:yVal>
            <c:numRef>
              <c:f>'various models'!$BP$5:$BP$9</c:f>
              <c:numCache>
                <c:formatCode>General</c:formatCode>
                <c:ptCount val="5"/>
                <c:pt idx="0">
                  <c:v>10.2816338795761</c:v>
                </c:pt>
                <c:pt idx="1">
                  <c:v>10.5028259545681</c:v>
                </c:pt>
                <c:pt idx="2">
                  <c:v>10.7365101685561</c:v>
                </c:pt>
                <c:pt idx="3">
                  <c:v>11.9208838612569</c:v>
                </c:pt>
                <c:pt idx="4">
                  <c:v>13.0839757170385</c:v>
                </c:pt>
              </c:numCache>
            </c:numRef>
          </c:yVal>
          <c:smooth val="0"/>
        </c:ser>
        <c:ser>
          <c:idx val="1"/>
          <c:order val="1"/>
          <c:tx>
            <c:strRef>
              <c:f>'various models'!$BF$1</c:f>
              <c:strCache>
                <c:ptCount val="1"/>
                <c:pt idx="0">
                  <c:v>g_min</c:v>
                </c:pt>
              </c:strCache>
            </c:strRef>
          </c:tx>
          <c:spPr>
            <a:solidFill>
              <a:srgbClr val="99ccff"/>
            </a:solidFill>
            <a:ln w="28440">
              <a:noFill/>
            </a:ln>
          </c:spPr>
          <c:marker>
            <c:symbol val="circle"/>
            <c:size val="8"/>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e46c0a"/>
                </a:solidFill>
                <a:round/>
              </a:ln>
            </c:spPr>
            <c:trendlineType val="linear"/>
            <c:forward val="0"/>
            <c:backward val="0"/>
            <c:dispRSqr val="0"/>
            <c:dispEq val="1"/>
          </c:trendline>
          <c:xVal>
            <c:numRef>
              <c:f>'various models'!$BN$4:$BN$5</c:f>
              <c:numCache>
                <c:formatCode>General</c:formatCode>
                <c:ptCount val="2"/>
                <c:pt idx="0">
                  <c:v>25</c:v>
                </c:pt>
                <c:pt idx="1">
                  <c:v>30</c:v>
                </c:pt>
              </c:numCache>
            </c:numRef>
          </c:xVal>
          <c:yVal>
            <c:numRef>
              <c:f>'various models'!$BP$4:$BP$5</c:f>
              <c:numCache>
                <c:formatCode>General</c:formatCode>
                <c:ptCount val="2"/>
                <c:pt idx="0">
                  <c:v>10.1013464224505</c:v>
                </c:pt>
                <c:pt idx="1">
                  <c:v>10.2816338795761</c:v>
                </c:pt>
              </c:numCache>
            </c:numRef>
          </c:yVal>
          <c:smooth val="0"/>
        </c:ser>
        <c:ser>
          <c:idx val="2"/>
          <c:order val="2"/>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models'!$BN$11</c:f>
              <c:numCache>
                <c:formatCode>General</c:formatCode>
                <c:ptCount val="1"/>
                <c:pt idx="0">
                  <c:v>20</c:v>
                </c:pt>
              </c:numCache>
            </c:numRef>
          </c:xVal>
          <c:yVal>
            <c:numRef>
              <c:f>'various models'!$BP$11</c:f>
              <c:numCache>
                <c:formatCode>General</c:formatCode>
                <c:ptCount val="1"/>
                <c:pt idx="0">
                  <c:v>9.87390827796052</c:v>
                </c:pt>
              </c:numCache>
            </c:numRef>
          </c:yVal>
          <c:smooth val="0"/>
        </c:ser>
        <c:axId val="59348158"/>
        <c:axId val="93237733"/>
      </c:scatterChart>
      <c:valAx>
        <c:axId val="59348158"/>
        <c:scaling>
          <c:orientation val="minMax"/>
          <c:min val="15"/>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3237733"/>
        <c:crosses val="autoZero"/>
        <c:crossBetween val="midCat"/>
      </c:valAx>
      <c:valAx>
        <c:axId val="93237733"/>
        <c:scaling>
          <c:orientation val="minMax"/>
          <c:min val="9"/>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9348158"/>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800" spc="-1" strike="noStrike">
                <a:solidFill>
                  <a:srgbClr val="000000"/>
                </a:solidFill>
                <a:latin typeface="Calibri"/>
              </a:defRPr>
            </a:pPr>
            <a:r>
              <a:rPr b="1" lang="fr-FR" sz="1800" spc="-1" strike="noStrike">
                <a:solidFill>
                  <a:srgbClr val="000000"/>
                </a:solidFill>
                <a:latin typeface="Calibri"/>
              </a:rPr>
              <a:t>N=5</a:t>
            </a:r>
          </a:p>
        </c:rich>
      </c:tx>
      <c:overlay val="0"/>
      <c:spPr>
        <a:solidFill>
          <a:srgbClr val="ffff00"/>
        </a:solidFill>
        <a:ln w="0">
          <a:noFill/>
        </a:ln>
      </c:spPr>
    </c:title>
    <c:autoTitleDeleted val="0"/>
    <c:plotArea>
      <c:layout>
        <c:manualLayout>
          <c:layoutTarget val="inner"/>
          <c:xMode val="edge"/>
          <c:yMode val="edge"/>
          <c:x val="0.0994115437586077"/>
          <c:y val="0.0345010615711253"/>
          <c:w val="0.871165644171779"/>
          <c:h val="0.868789808917197"/>
        </c:manualLayout>
      </c:layout>
      <c:scatterChart>
        <c:scatterStyle val="lineMarker"/>
        <c:varyColors val="0"/>
        <c:ser>
          <c:idx val="0"/>
          <c:order val="0"/>
          <c:tx>
            <c:strRef>
              <c:f>'various models'!$BF$1</c:f>
              <c:strCache>
                <c:ptCount val="1"/>
                <c:pt idx="0">
                  <c:v>g_min</c:v>
                </c:pt>
              </c:strCache>
            </c:strRef>
          </c:tx>
          <c:spPr>
            <a:solidFill>
              <a:srgbClr val="99ccff"/>
            </a:solidFill>
            <a:ln w="25560">
              <a:noFill/>
            </a:ln>
          </c:spPr>
          <c:marker>
            <c:symbol val="circle"/>
            <c:size val="10"/>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0070c0"/>
                </a:solidFill>
                <a:round/>
              </a:ln>
            </c:spPr>
            <c:trendlineType val="linear"/>
            <c:forward val="0"/>
            <c:backward val="0"/>
            <c:dispRSqr val="0"/>
            <c:dispEq val="1"/>
          </c:trendline>
          <c:xVal>
            <c:numRef>
              <c:f>'various models'!$BN$8:$BN$9</c:f>
              <c:numCache>
                <c:formatCode>General</c:formatCode>
                <c:ptCount val="2"/>
                <c:pt idx="0">
                  <c:v>45</c:v>
                </c:pt>
                <c:pt idx="1">
                  <c:v>50</c:v>
                </c:pt>
              </c:numCache>
            </c:numRef>
          </c:xVal>
          <c:yVal>
            <c:numRef>
              <c:f>'various models'!$BP$8:$BP$9</c:f>
              <c:numCache>
                <c:formatCode>General</c:formatCode>
                <c:ptCount val="2"/>
                <c:pt idx="0">
                  <c:v>11.9208838612569</c:v>
                </c:pt>
                <c:pt idx="1">
                  <c:v>13.0839757170385</c:v>
                </c:pt>
              </c:numCache>
            </c:numRef>
          </c:yVal>
          <c:smooth val="0"/>
        </c:ser>
        <c:ser>
          <c:idx val="1"/>
          <c:order val="1"/>
          <c:tx>
            <c:strRef>
              <c:f>'various models'!$BF$1</c:f>
              <c:strCache>
                <c:ptCount val="1"/>
                <c:pt idx="0">
                  <c:v>g_min</c:v>
                </c:pt>
              </c:strCache>
            </c:strRef>
          </c:tx>
          <c:spPr>
            <a:solidFill>
              <a:srgbClr val="99ccff"/>
            </a:solidFill>
            <a:ln w="28440">
              <a:noFill/>
            </a:ln>
          </c:spPr>
          <c:marker>
            <c:symbol val="circle"/>
            <c:size val="8"/>
            <c:spPr>
              <a:solidFill>
                <a:srgbClr val="99cc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9360">
                <a:solidFill>
                  <a:srgbClr val="e46c0a"/>
                </a:solidFill>
                <a:round/>
              </a:ln>
            </c:spPr>
            <c:trendlineType val="linear"/>
            <c:forward val="0"/>
            <c:backward val="0"/>
            <c:dispRSqr val="0"/>
            <c:dispEq val="1"/>
          </c:trendline>
          <c:xVal>
            <c:numRef>
              <c:f>'various models'!$BN$4:$BN$8</c:f>
              <c:numCache>
                <c:formatCode>General</c:formatCode>
                <c:ptCount val="5"/>
                <c:pt idx="0">
                  <c:v>25</c:v>
                </c:pt>
                <c:pt idx="1">
                  <c:v>30</c:v>
                </c:pt>
                <c:pt idx="2">
                  <c:v>35</c:v>
                </c:pt>
                <c:pt idx="3">
                  <c:v>40</c:v>
                </c:pt>
                <c:pt idx="4">
                  <c:v>45</c:v>
                </c:pt>
              </c:numCache>
            </c:numRef>
          </c:xVal>
          <c:yVal>
            <c:numRef>
              <c:f>'various models'!$BP$4:$BP$8</c:f>
              <c:numCache>
                <c:formatCode>General</c:formatCode>
                <c:ptCount val="5"/>
                <c:pt idx="0">
                  <c:v>10.1013464224505</c:v>
                </c:pt>
                <c:pt idx="1">
                  <c:v>10.2816338795761</c:v>
                </c:pt>
                <c:pt idx="2">
                  <c:v>10.5028259545681</c:v>
                </c:pt>
                <c:pt idx="3">
                  <c:v>10.7365101685561</c:v>
                </c:pt>
                <c:pt idx="4">
                  <c:v>11.9208838612569</c:v>
                </c:pt>
              </c:numCache>
            </c:numRef>
          </c:yVal>
          <c:smooth val="0"/>
        </c:ser>
        <c:ser>
          <c:idx val="2"/>
          <c:order val="2"/>
          <c:spPr>
            <a:solidFill>
              <a:srgbClr val="99ccff"/>
            </a:solidFill>
            <a:ln w="28440">
              <a:noFill/>
            </a:ln>
          </c:spP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models'!$BN$11</c:f>
              <c:numCache>
                <c:formatCode>General</c:formatCode>
                <c:ptCount val="1"/>
                <c:pt idx="0">
                  <c:v>20</c:v>
                </c:pt>
              </c:numCache>
            </c:numRef>
          </c:xVal>
          <c:yVal>
            <c:numRef>
              <c:f>'various models'!$BP$11</c:f>
              <c:numCache>
                <c:formatCode>General</c:formatCode>
                <c:ptCount val="1"/>
                <c:pt idx="0">
                  <c:v>9.87390827796052</c:v>
                </c:pt>
              </c:numCache>
            </c:numRef>
          </c:yVal>
          <c:smooth val="0"/>
        </c:ser>
        <c:axId val="67137920"/>
        <c:axId val="58606071"/>
      </c:scatterChart>
      <c:valAx>
        <c:axId val="67137920"/>
        <c:scaling>
          <c:orientation val="minMax"/>
          <c:min val="15"/>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8606071"/>
        <c:crosses val="autoZero"/>
        <c:crossBetween val="midCat"/>
      </c:valAx>
      <c:valAx>
        <c:axId val="58606071"/>
        <c:scaling>
          <c:orientation val="minMax"/>
          <c:min val="9"/>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713792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2000" spc="-1" strike="noStrike">
                <a:solidFill>
                  <a:srgbClr val="595959"/>
                </a:solidFill>
                <a:latin typeface="Calibri"/>
              </a:defRPr>
            </a:pPr>
            <a:r>
              <a:rPr b="0" lang="fr-FR" sz="2000" spc="-1" strike="noStrike">
                <a:solidFill>
                  <a:srgbClr val="595959"/>
                </a:solidFill>
                <a:latin typeface="Calibri"/>
              </a:rPr>
              <a:t>Root distribution</a:t>
            </a:r>
          </a:p>
        </c:rich>
      </c:tx>
      <c:overlay val="0"/>
      <c:spPr>
        <a:noFill/>
        <a:ln w="0">
          <a:noFill/>
        </a:ln>
      </c:spPr>
    </c:title>
    <c:autoTitleDeleted val="0"/>
    <c:plotArea>
      <c:scatterChart>
        <c:scatterStyle val="line"/>
        <c:varyColors val="0"/>
        <c:ser>
          <c:idx val="0"/>
          <c:order val="0"/>
          <c:tx>
            <c:strRef>
              <c:f>'sureau_ini.txt'!$A$1</c:f>
              <c:strCache>
                <c:ptCount val="1"/>
                <c:pt idx="0">
                  <c:v>SUREAU</c:v>
                </c:pt>
              </c:strCache>
            </c:strRef>
          </c:tx>
          <c:spPr>
            <a:solidFill>
              <a:srgbClr val="4f81bd"/>
            </a:solidFill>
            <a:ln cap="rnd" w="31680">
              <a:solidFill>
                <a:srgbClr val="4f81bd"/>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models'!$CJ$5:$CJ$38</c:f>
              <c:numCache>
                <c:formatCode>General</c:formatCode>
                <c:ptCount val="34"/>
                <c:pt idx="0">
                  <c:v>0</c:v>
                </c:pt>
                <c:pt idx="1">
                  <c:v>0.1412659743</c:v>
                </c:pt>
                <c:pt idx="2">
                  <c:v>0.262575873105072</c:v>
                </c:pt>
                <c:pt idx="3">
                  <c:v>0.366748810863211</c:v>
                </c:pt>
                <c:pt idx="4">
                  <c:v>0.456205657073253</c:v>
                </c:pt>
                <c:pt idx="5">
                  <c:v>0.533025294745628</c:v>
                </c:pt>
                <c:pt idx="6">
                  <c:v>0.637708412424616</c:v>
                </c:pt>
                <c:pt idx="7">
                  <c:v>0.688887886524146</c:v>
                </c:pt>
                <c:pt idx="8">
                  <c:v>0.732837442350845</c:v>
                </c:pt>
                <c:pt idx="9">
                  <c:v>0.770578421353633</c:v>
                </c:pt>
                <c:pt idx="10">
                  <c:v>0.802987884186556</c:v>
                </c:pt>
                <c:pt idx="11">
                  <c:v>0.830818992675847</c:v>
                </c:pt>
                <c:pt idx="12">
                  <c:v>0.868744805572108</c:v>
                </c:pt>
                <c:pt idx="13">
                  <c:v>0.8872866984949</c:v>
                </c:pt>
                <c:pt idx="14">
                  <c:v>0.903209252848587</c:v>
                </c:pt>
                <c:pt idx="15">
                  <c:v>0.916882492048157</c:v>
                </c:pt>
                <c:pt idx="16">
                  <c:v>0.928624167790362</c:v>
                </c:pt>
                <c:pt idx="17">
                  <c:v>0.93870714426893</c:v>
                </c:pt>
                <c:pt idx="18">
                  <c:v>0.947365739251409</c:v>
                </c:pt>
                <c:pt idx="19">
                  <c:v>0.95097679595319</c:v>
                </c:pt>
              </c:numCache>
            </c:numRef>
          </c:xVal>
          <c:yVal>
            <c:numRef>
              <c:f>'various models'!$CH$5:$CH$38</c:f>
              <c:numCache>
                <c:formatCode>General</c:formatCode>
                <c:ptCount val="34"/>
                <c:pt idx="0">
                  <c:v>-0</c:v>
                </c:pt>
                <c:pt idx="1">
                  <c:v>-0.05</c:v>
                </c:pt>
                <c:pt idx="2">
                  <c:v>-0.1</c:v>
                </c:pt>
                <c:pt idx="3">
                  <c:v>-0.15</c:v>
                </c:pt>
                <c:pt idx="4">
                  <c:v>-0.2</c:v>
                </c:pt>
                <c:pt idx="5">
                  <c:v>-0.25</c:v>
                </c:pt>
                <c:pt idx="6">
                  <c:v>-0.333333</c:v>
                </c:pt>
                <c:pt idx="7">
                  <c:v>-0.383333</c:v>
                </c:pt>
                <c:pt idx="8">
                  <c:v>-0.433333</c:v>
                </c:pt>
                <c:pt idx="9">
                  <c:v>-0.483333</c:v>
                </c:pt>
                <c:pt idx="10">
                  <c:v>-0.533333</c:v>
                </c:pt>
                <c:pt idx="11">
                  <c:v>-0.583333</c:v>
                </c:pt>
                <c:pt idx="12">
                  <c:v>-0.666666</c:v>
                </c:pt>
                <c:pt idx="13">
                  <c:v>-0.716666</c:v>
                </c:pt>
                <c:pt idx="14">
                  <c:v>-0.766666</c:v>
                </c:pt>
                <c:pt idx="15">
                  <c:v>-0.816666</c:v>
                </c:pt>
                <c:pt idx="16">
                  <c:v>-0.866666</c:v>
                </c:pt>
                <c:pt idx="17">
                  <c:v>-0.916666</c:v>
                </c:pt>
                <c:pt idx="18">
                  <c:v>-0.966666</c:v>
                </c:pt>
                <c:pt idx="19">
                  <c:v>-0.99</c:v>
                </c:pt>
              </c:numCache>
            </c:numRef>
          </c:yVal>
          <c:smooth val="0"/>
        </c:ser>
        <c:ser>
          <c:idx val="1"/>
          <c:order val="1"/>
          <c:tx>
            <c:strRef>
              <c:f>'sureau_ini.txt'!$A$1</c:f>
              <c:strCache>
                <c:ptCount val="1"/>
                <c:pt idx="0">
                  <c:v>SUREAU</c:v>
                </c:pt>
              </c:strCache>
            </c:strRef>
          </c:tx>
          <c:spPr>
            <a:solidFill>
              <a:srgbClr val="c0504d"/>
            </a:solidFill>
            <a:ln cap="rnd" w="31680">
              <a:solidFill>
                <a:srgbClr val="c0504d"/>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models'!$CK$5:$CK$38</c:f>
              <c:numCache>
                <c:formatCode>General</c:formatCode>
                <c:ptCount val="34"/>
                <c:pt idx="0">
                  <c:v>0</c:v>
                </c:pt>
                <c:pt idx="1">
                  <c:v>0.2262190625</c:v>
                </c:pt>
                <c:pt idx="2">
                  <c:v>0.401263060761621</c:v>
                </c:pt>
                <c:pt idx="3">
                  <c:v>0.536708769840247</c:v>
                </c:pt>
                <c:pt idx="4">
                  <c:v>0.641514077591458</c:v>
                </c:pt>
                <c:pt idx="5">
                  <c:v>0.722610426878166</c:v>
                </c:pt>
                <c:pt idx="6">
                  <c:v>0.819093466357896</c:v>
                </c:pt>
                <c:pt idx="7">
                  <c:v>0.860017972798537</c:v>
                </c:pt>
                <c:pt idx="8">
                  <c:v>0.891684575758902</c:v>
                </c:pt>
                <c:pt idx="9">
                  <c:v>0.916187589485013</c:v>
                </c:pt>
                <c:pt idx="10">
                  <c:v>0.935147554417578</c:v>
                </c:pt>
                <c:pt idx="11">
                  <c:v>0.949818413858066</c:v>
                </c:pt>
                <c:pt idx="12">
                  <c:v>0.967272826085598</c:v>
                </c:pt>
                <c:pt idx="13">
                  <c:v>0.974676336686789</c:v>
                </c:pt>
                <c:pt idx="14">
                  <c:v>0.980405032060569</c:v>
                </c:pt>
                <c:pt idx="15">
                  <c:v>0.984837787337545</c:v>
                </c:pt>
                <c:pt idx="16">
                  <c:v>0.988267768871471</c:v>
                </c:pt>
                <c:pt idx="17">
                  <c:v>0.9909218231984</c:v>
                </c:pt>
                <c:pt idx="18">
                  <c:v>0.992975479843667</c:v>
                </c:pt>
                <c:pt idx="19">
                  <c:v>0.993767863978596</c:v>
                </c:pt>
              </c:numCache>
            </c:numRef>
          </c:xVal>
          <c:yVal>
            <c:numRef>
              <c:f>'various models'!$CH$5:$CH$38</c:f>
              <c:numCache>
                <c:formatCode>General</c:formatCode>
                <c:ptCount val="34"/>
                <c:pt idx="0">
                  <c:v>-0</c:v>
                </c:pt>
                <c:pt idx="1">
                  <c:v>-0.05</c:v>
                </c:pt>
                <c:pt idx="2">
                  <c:v>-0.1</c:v>
                </c:pt>
                <c:pt idx="3">
                  <c:v>-0.15</c:v>
                </c:pt>
                <c:pt idx="4">
                  <c:v>-0.2</c:v>
                </c:pt>
                <c:pt idx="5">
                  <c:v>-0.25</c:v>
                </c:pt>
                <c:pt idx="6">
                  <c:v>-0.333333</c:v>
                </c:pt>
                <c:pt idx="7">
                  <c:v>-0.383333</c:v>
                </c:pt>
                <c:pt idx="8">
                  <c:v>-0.433333</c:v>
                </c:pt>
                <c:pt idx="9">
                  <c:v>-0.483333</c:v>
                </c:pt>
                <c:pt idx="10">
                  <c:v>-0.533333</c:v>
                </c:pt>
                <c:pt idx="11">
                  <c:v>-0.583333</c:v>
                </c:pt>
                <c:pt idx="12">
                  <c:v>-0.666666</c:v>
                </c:pt>
                <c:pt idx="13">
                  <c:v>-0.716666</c:v>
                </c:pt>
                <c:pt idx="14">
                  <c:v>-0.766666</c:v>
                </c:pt>
                <c:pt idx="15">
                  <c:v>-0.816666</c:v>
                </c:pt>
                <c:pt idx="16">
                  <c:v>-0.866666</c:v>
                </c:pt>
                <c:pt idx="17">
                  <c:v>-0.916666</c:v>
                </c:pt>
                <c:pt idx="18">
                  <c:v>-0.966666</c:v>
                </c:pt>
                <c:pt idx="19">
                  <c:v>-0.99</c:v>
                </c:pt>
              </c:numCache>
            </c:numRef>
          </c:yVal>
          <c:smooth val="0"/>
        </c:ser>
        <c:ser>
          <c:idx val="2"/>
          <c:order val="2"/>
          <c:tx>
            <c:strRef>
              <c:f>'sureau_ini.txt'!$A$1</c:f>
              <c:strCache>
                <c:ptCount val="1"/>
                <c:pt idx="0">
                  <c:v>SUREAU</c:v>
                </c:pt>
              </c:strCache>
            </c:strRef>
          </c:tx>
          <c:spPr>
            <a:solidFill>
              <a:srgbClr val="9bbb59"/>
            </a:solidFill>
            <a:ln cap="rnd" w="31680">
              <a:solidFill>
                <a:srgbClr val="9bbb59"/>
              </a:solidFill>
              <a:round/>
            </a:ln>
          </c:spPr>
          <c:marker>
            <c:symbol val="none"/>
          </c:marker>
          <c:dLbls>
            <c:txPr>
              <a:bodyPr wrap="square"/>
              <a:lstStyle/>
              <a:p>
                <a:pPr>
                  <a:defRPr b="0" sz="14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models'!$CL$5:$CL$24</c:f>
              <c:numCache>
                <c:formatCode>General</c:formatCode>
                <c:ptCount val="20"/>
                <c:pt idx="0">
                  <c:v>0</c:v>
                </c:pt>
                <c:pt idx="1">
                  <c:v>0.40951</c:v>
                </c:pt>
                <c:pt idx="2">
                  <c:v>0.6513215599</c:v>
                </c:pt>
                <c:pt idx="3">
                  <c:v>0.794108867905351</c:v>
                </c:pt>
                <c:pt idx="4">
                  <c:v>0.878423345409431</c:v>
                </c:pt>
                <c:pt idx="5">
                  <c:v>0.928210201230815</c:v>
                </c:pt>
                <c:pt idx="6">
                  <c:v>0.970163227705666</c:v>
                </c:pt>
                <c:pt idx="7">
                  <c:v>0.982381684327919</c:v>
                </c:pt>
                <c:pt idx="8">
                  <c:v>0.989596560778793</c:v>
                </c:pt>
                <c:pt idx="9">
                  <c:v>0.993856873174269</c:v>
                </c:pt>
                <c:pt idx="10">
                  <c:v>0.996372545040674</c:v>
                </c:pt>
                <c:pt idx="11">
                  <c:v>0.997858024121068</c:v>
                </c:pt>
                <c:pt idx="12">
                  <c:v>0.999109767019056</c:v>
                </c:pt>
                <c:pt idx="13">
                  <c:v>0.999474326327082</c:v>
                </c:pt>
                <c:pt idx="14">
                  <c:v>0.999689594952879</c:v>
                </c:pt>
                <c:pt idx="15">
                  <c:v>0.999816708923725</c:v>
                </c:pt>
                <c:pt idx="16">
                  <c:v>0.999891768452371</c:v>
                </c:pt>
                <c:pt idx="17">
                  <c:v>0.99993609035344</c:v>
                </c:pt>
                <c:pt idx="18">
                  <c:v>0.999962261992803</c:v>
                </c:pt>
                <c:pt idx="19">
                  <c:v>0.999970487334569</c:v>
                </c:pt>
              </c:numCache>
            </c:numRef>
          </c:xVal>
          <c:yVal>
            <c:numRef>
              <c:f>'various models'!$CH$5:$CH$24</c:f>
              <c:numCache>
                <c:formatCode>General</c:formatCode>
                <c:ptCount val="20"/>
                <c:pt idx="0">
                  <c:v>-0</c:v>
                </c:pt>
                <c:pt idx="1">
                  <c:v>-0.05</c:v>
                </c:pt>
                <c:pt idx="2">
                  <c:v>-0.1</c:v>
                </c:pt>
                <c:pt idx="3">
                  <c:v>-0.15</c:v>
                </c:pt>
                <c:pt idx="4">
                  <c:v>-0.2</c:v>
                </c:pt>
                <c:pt idx="5">
                  <c:v>-0.25</c:v>
                </c:pt>
                <c:pt idx="6">
                  <c:v>-0.333333</c:v>
                </c:pt>
                <c:pt idx="7">
                  <c:v>-0.383333</c:v>
                </c:pt>
                <c:pt idx="8">
                  <c:v>-0.433333</c:v>
                </c:pt>
                <c:pt idx="9">
                  <c:v>-0.483333</c:v>
                </c:pt>
                <c:pt idx="10">
                  <c:v>-0.533333</c:v>
                </c:pt>
                <c:pt idx="11">
                  <c:v>-0.583333</c:v>
                </c:pt>
                <c:pt idx="12">
                  <c:v>-0.666666</c:v>
                </c:pt>
                <c:pt idx="13">
                  <c:v>-0.716666</c:v>
                </c:pt>
                <c:pt idx="14">
                  <c:v>-0.766666</c:v>
                </c:pt>
                <c:pt idx="15">
                  <c:v>-0.816666</c:v>
                </c:pt>
                <c:pt idx="16">
                  <c:v>-0.866666</c:v>
                </c:pt>
                <c:pt idx="17">
                  <c:v>-0.916666</c:v>
                </c:pt>
                <c:pt idx="18">
                  <c:v>-0.966666</c:v>
                </c:pt>
                <c:pt idx="19">
                  <c:v>-0.99</c:v>
                </c:pt>
              </c:numCache>
            </c:numRef>
          </c:yVal>
          <c:smooth val="0"/>
        </c:ser>
        <c:axId val="77279136"/>
        <c:axId val="88212153"/>
      </c:scatterChart>
      <c:valAx>
        <c:axId val="77279136"/>
        <c:scaling>
          <c:orientation val="minMax"/>
          <c:max val="1.05"/>
          <c:min val="0"/>
        </c:scaling>
        <c:delete val="0"/>
        <c:axPos val="b"/>
        <c:numFmt formatCode="General" sourceLinked="0"/>
        <c:majorTickMark val="in"/>
        <c:minorTickMark val="none"/>
        <c:tickLblPos val="high"/>
        <c:spPr>
          <a:ln w="9360">
            <a:solidFill>
              <a:srgbClr val="bfbfbf"/>
            </a:solidFill>
            <a:round/>
          </a:ln>
        </c:spPr>
        <c:txPr>
          <a:bodyPr/>
          <a:lstStyle/>
          <a:p>
            <a:pPr>
              <a:defRPr b="0" sz="1400" spc="-1" strike="noStrike">
                <a:solidFill>
                  <a:srgbClr val="595959"/>
                </a:solidFill>
                <a:latin typeface="Calibri"/>
              </a:defRPr>
            </a:pPr>
          </a:p>
        </c:txPr>
        <c:crossAx val="88212153"/>
        <c:crosses val="autoZero"/>
        <c:crossBetween val="midCat"/>
      </c:valAx>
      <c:valAx>
        <c:axId val="88212153"/>
        <c:scaling>
          <c:orientation val="minMax"/>
          <c:min val="-1"/>
        </c:scaling>
        <c:delete val="0"/>
        <c:axPos val="l"/>
        <c:title>
          <c:tx>
            <c:rich>
              <a:bodyPr rot="-5400000"/>
              <a:lstStyle/>
              <a:p>
                <a:pPr>
                  <a:defRPr b="0" lang="fr-FR" sz="2000" spc="-1" strike="noStrike">
                    <a:solidFill>
                      <a:srgbClr val="595959"/>
                    </a:solidFill>
                    <a:latin typeface="Calibri"/>
                  </a:defRPr>
                </a:pPr>
                <a:r>
                  <a:rPr b="0" lang="fr-FR" sz="2000" spc="-1" strike="noStrike">
                    <a:solidFill>
                      <a:srgbClr val="595959"/>
                    </a:solidFill>
                    <a:latin typeface="Calibri"/>
                  </a:rPr>
                  <a:t>Soil depth, m</a:t>
                </a:r>
              </a:p>
            </c:rich>
          </c:tx>
          <c:overlay val="0"/>
          <c:spPr>
            <a:noFill/>
            <a:ln w="0">
              <a:noFill/>
            </a:ln>
          </c:spPr>
        </c:title>
        <c:numFmt formatCode="General" sourceLinked="0"/>
        <c:majorTickMark val="out"/>
        <c:minorTickMark val="none"/>
        <c:tickLblPos val="nextTo"/>
        <c:spPr>
          <a:ln w="9360">
            <a:solidFill>
              <a:srgbClr val="bfbfbf"/>
            </a:solidFill>
            <a:round/>
          </a:ln>
        </c:spPr>
        <c:txPr>
          <a:bodyPr/>
          <a:lstStyle/>
          <a:p>
            <a:pPr>
              <a:defRPr b="0" sz="1400" spc="-1" strike="noStrike">
                <a:solidFill>
                  <a:srgbClr val="595959"/>
                </a:solidFill>
                <a:latin typeface="Calibri"/>
              </a:defRPr>
            </a:pPr>
          </a:p>
        </c:txPr>
        <c:crossAx val="77279136"/>
        <c:crosses val="autoZero"/>
        <c:crossBetween val="midCat"/>
        <c:majorUnit val="0.2"/>
      </c:valAx>
      <c:spPr>
        <a:noFill/>
        <a:ln w="0">
          <a:noFill/>
        </a:ln>
      </c:spPr>
    </c:plotArea>
    <c:legend>
      <c:legendPos val="b"/>
      <c:layout>
        <c:manualLayout>
          <c:xMode val="edge"/>
          <c:yMode val="edge"/>
          <c:x val="0.40766073871409"/>
          <c:y val="0.502391594134713"/>
          <c:w val="0.200934845807445"/>
          <c:h val="0.143506900878294"/>
        </c:manualLayout>
      </c:layout>
      <c:overlay val="0"/>
      <c:spPr>
        <a:noFill/>
        <a:ln w="0">
          <a:noFill/>
        </a:ln>
      </c:spPr>
      <c:txPr>
        <a:bodyPr/>
        <a:lstStyle/>
        <a:p>
          <a:pPr>
            <a:defRPr b="0" sz="1400" spc="-1" strike="noStrike">
              <a:solidFill>
                <a:srgbClr val="595959"/>
              </a:solidFill>
              <a:latin typeface="Calibri"/>
            </a:defRPr>
          </a:pPr>
        </a:p>
      </c:txPr>
    </c:legend>
    <c:plotVisOnly val="1"/>
    <c:dispBlanksAs val="gap"/>
  </c:chart>
  <c:spPr>
    <a:solidFill>
      <a:srgbClr val="ffffff"/>
    </a:solidFill>
    <a:ln w="9360">
      <a:noFill/>
    </a:ln>
  </c:spPr>
  <c:userShapes r:id="rId1"/>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
        <c:varyColors val="0"/>
        <c:ser>
          <c:idx val="0"/>
          <c:order val="0"/>
          <c:tx>
            <c:strRef>
              <c:f>'various models'!$CX$3</c:f>
              <c:strCache>
                <c:ptCount val="1"/>
                <c:pt idx="0">
                  <c:v>Uper</c:v>
                </c:pt>
              </c:strCache>
            </c:strRef>
          </c:tx>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models'!$CW$4:$CW$37</c:f>
              <c:numCache>
                <c:formatCode>General</c:formatCode>
                <c:ptCount val="34"/>
                <c:pt idx="0">
                  <c:v>0.999</c:v>
                </c:pt>
                <c:pt idx="1">
                  <c:v>0.998</c:v>
                </c:pt>
                <c:pt idx="2">
                  <c:v>0.997</c:v>
                </c:pt>
                <c:pt idx="3">
                  <c:v>0.996</c:v>
                </c:pt>
                <c:pt idx="4">
                  <c:v>0.995</c:v>
                </c:pt>
                <c:pt idx="5">
                  <c:v>0.994</c:v>
                </c:pt>
                <c:pt idx="6">
                  <c:v>0.993</c:v>
                </c:pt>
                <c:pt idx="7">
                  <c:v>0.992</c:v>
                </c:pt>
                <c:pt idx="8">
                  <c:v>0.991</c:v>
                </c:pt>
                <c:pt idx="9">
                  <c:v>0.99</c:v>
                </c:pt>
                <c:pt idx="10">
                  <c:v>0.985</c:v>
                </c:pt>
                <c:pt idx="11">
                  <c:v>0.98</c:v>
                </c:pt>
                <c:pt idx="12">
                  <c:v>0.975</c:v>
                </c:pt>
                <c:pt idx="13">
                  <c:v>0.97</c:v>
                </c:pt>
                <c:pt idx="14">
                  <c:v>0.965</c:v>
                </c:pt>
                <c:pt idx="15">
                  <c:v>0.96</c:v>
                </c:pt>
                <c:pt idx="16">
                  <c:v>0.955</c:v>
                </c:pt>
                <c:pt idx="17">
                  <c:v>0.95</c:v>
                </c:pt>
                <c:pt idx="18">
                  <c:v>0.945</c:v>
                </c:pt>
                <c:pt idx="19">
                  <c:v>0.94</c:v>
                </c:pt>
                <c:pt idx="20">
                  <c:v>0.935</c:v>
                </c:pt>
                <c:pt idx="21">
                  <c:v>0.93</c:v>
                </c:pt>
                <c:pt idx="22">
                  <c:v>0.925</c:v>
                </c:pt>
                <c:pt idx="23">
                  <c:v>0.92</c:v>
                </c:pt>
                <c:pt idx="24">
                  <c:v>0.915</c:v>
                </c:pt>
                <c:pt idx="25">
                  <c:v>0.91</c:v>
                </c:pt>
                <c:pt idx="26">
                  <c:v>0.905</c:v>
                </c:pt>
                <c:pt idx="27">
                  <c:v>0.9</c:v>
                </c:pt>
                <c:pt idx="28">
                  <c:v>0.895</c:v>
                </c:pt>
                <c:pt idx="29">
                  <c:v>0.89</c:v>
                </c:pt>
                <c:pt idx="30">
                  <c:v>0.885</c:v>
                </c:pt>
                <c:pt idx="31">
                  <c:v>0.88</c:v>
                </c:pt>
                <c:pt idx="32">
                  <c:v>0.875</c:v>
                </c:pt>
                <c:pt idx="33">
                  <c:v>0.87</c:v>
                </c:pt>
              </c:numCache>
            </c:numRef>
          </c:xVal>
          <c:yVal>
            <c:numRef>
              <c:f>'various models'!$CX$4:$CX$37</c:f>
              <c:numCache>
                <c:formatCode>General</c:formatCode>
                <c:ptCount val="34"/>
                <c:pt idx="0">
                  <c:v>0.0328000304067012</c:v>
                </c:pt>
                <c:pt idx="1">
                  <c:v>0.0645554632973522</c:v>
                </c:pt>
                <c:pt idx="2">
                  <c:v>0.0952985694203561</c:v>
                </c:pt>
                <c:pt idx="3">
                  <c:v>0.125060653446016</c:v>
                </c:pt>
                <c:pt idx="4">
                  <c:v>0.153872081961941</c:v>
                </c:pt>
                <c:pt idx="5">
                  <c:v>0.181762310684065</c:v>
                </c:pt>
                <c:pt idx="6">
                  <c:v>0.208759910904514</c:v>
                </c:pt>
                <c:pt idx="7">
                  <c:v>0.234892595196971</c:v>
                </c:pt>
                <c:pt idx="8">
                  <c:v>0.260187242399691</c:v>
                </c:pt>
                <c:pt idx="9">
                  <c:v>0.284669921895741</c:v>
                </c:pt>
                <c:pt idx="10">
                  <c:v>0.395762488269794</c:v>
                </c:pt>
                <c:pt idx="11">
                  <c:v>0.490040300640587</c:v>
                </c:pt>
                <c:pt idx="12">
                  <c:v>0.569981450481058</c:v>
                </c:pt>
                <c:pt idx="13">
                  <c:v>0.637708780261216</c:v>
                </c:pt>
                <c:pt idx="14">
                  <c:v>0.695039368606366</c:v>
                </c:pt>
                <c:pt idx="15">
                  <c:v>0.743527325106007</c:v>
                </c:pt>
                <c:pt idx="16">
                  <c:v>0.784500771619433</c:v>
                </c:pt>
                <c:pt idx="17">
                  <c:v>0.819093775667058</c:v>
                </c:pt>
                <c:pt idx="18">
                  <c:v>0.848273903886752</c:v>
                </c:pt>
                <c:pt idx="19">
                  <c:v>0.872865977956022</c:v>
                </c:pt>
                <c:pt idx="20">
                  <c:v>0.893572540402366</c:v>
                </c:pt>
                <c:pt idx="21">
                  <c:v>0.910991472078003</c:v>
                </c:pt>
                <c:pt idx="22">
                  <c:v>0.925631145640267</c:v>
                </c:pt>
                <c:pt idx="23">
                  <c:v>0.937923449163656</c:v>
                </c:pt>
                <c:pt idx="24">
                  <c:v>0.948234970137807</c:v>
                </c:pt>
                <c:pt idx="25">
                  <c:v>0.956876591803825</c:v>
                </c:pt>
                <c:pt idx="26">
                  <c:v>0.964111720366771</c:v>
                </c:pt>
                <c:pt idx="27">
                  <c:v>0.970163332492634</c:v>
                </c:pt>
                <c:pt idx="28">
                  <c:v>0.975220007123205</c:v>
                </c:pt>
                <c:pt idx="29">
                  <c:v>0.979441083554707</c:v>
                </c:pt>
                <c:pt idx="30">
                  <c:v>0.982961068514598</c:v>
                </c:pt>
                <c:pt idx="31">
                  <c:v>0.985893398274047</c:v>
                </c:pt>
                <c:pt idx="32">
                  <c:v>0.988333647333383</c:v>
                </c:pt>
                <c:pt idx="33">
                  <c:v>0.990362262635278</c:v>
                </c:pt>
              </c:numCache>
            </c:numRef>
          </c:yVal>
          <c:smooth val="0"/>
        </c:ser>
        <c:ser>
          <c:idx val="1"/>
          <c:order val="1"/>
          <c:tx>
            <c:strRef>
              <c:f>'various models'!$CY$3</c:f>
              <c:strCache>
                <c:ptCount val="1"/>
                <c:pt idx="0">
                  <c:v>Middle</c:v>
                </c:pt>
              </c:strCache>
            </c:strRef>
          </c:tx>
          <c:spPr>
            <a:solidFill>
              <a:srgbClr val="c0504d"/>
            </a:solidFill>
            <a:ln cap="rnd" w="1908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models'!$CW$4:$CW$37</c:f>
              <c:numCache>
                <c:formatCode>General</c:formatCode>
                <c:ptCount val="34"/>
                <c:pt idx="0">
                  <c:v>0.999</c:v>
                </c:pt>
                <c:pt idx="1">
                  <c:v>0.998</c:v>
                </c:pt>
                <c:pt idx="2">
                  <c:v>0.997</c:v>
                </c:pt>
                <c:pt idx="3">
                  <c:v>0.996</c:v>
                </c:pt>
                <c:pt idx="4">
                  <c:v>0.995</c:v>
                </c:pt>
                <c:pt idx="5">
                  <c:v>0.994</c:v>
                </c:pt>
                <c:pt idx="6">
                  <c:v>0.993</c:v>
                </c:pt>
                <c:pt idx="7">
                  <c:v>0.992</c:v>
                </c:pt>
                <c:pt idx="8">
                  <c:v>0.991</c:v>
                </c:pt>
                <c:pt idx="9">
                  <c:v>0.99</c:v>
                </c:pt>
                <c:pt idx="10">
                  <c:v>0.985</c:v>
                </c:pt>
                <c:pt idx="11">
                  <c:v>0.98</c:v>
                </c:pt>
                <c:pt idx="12">
                  <c:v>0.975</c:v>
                </c:pt>
                <c:pt idx="13">
                  <c:v>0.97</c:v>
                </c:pt>
                <c:pt idx="14">
                  <c:v>0.965</c:v>
                </c:pt>
                <c:pt idx="15">
                  <c:v>0.96</c:v>
                </c:pt>
                <c:pt idx="16">
                  <c:v>0.955</c:v>
                </c:pt>
                <c:pt idx="17">
                  <c:v>0.95</c:v>
                </c:pt>
                <c:pt idx="18">
                  <c:v>0.945</c:v>
                </c:pt>
                <c:pt idx="19">
                  <c:v>0.94</c:v>
                </c:pt>
                <c:pt idx="20">
                  <c:v>0.935</c:v>
                </c:pt>
                <c:pt idx="21">
                  <c:v>0.93</c:v>
                </c:pt>
                <c:pt idx="22">
                  <c:v>0.925</c:v>
                </c:pt>
                <c:pt idx="23">
                  <c:v>0.92</c:v>
                </c:pt>
                <c:pt idx="24">
                  <c:v>0.915</c:v>
                </c:pt>
                <c:pt idx="25">
                  <c:v>0.91</c:v>
                </c:pt>
                <c:pt idx="26">
                  <c:v>0.905</c:v>
                </c:pt>
                <c:pt idx="27">
                  <c:v>0.9</c:v>
                </c:pt>
                <c:pt idx="28">
                  <c:v>0.895</c:v>
                </c:pt>
                <c:pt idx="29">
                  <c:v>0.89</c:v>
                </c:pt>
                <c:pt idx="30">
                  <c:v>0.885</c:v>
                </c:pt>
                <c:pt idx="31">
                  <c:v>0.88</c:v>
                </c:pt>
                <c:pt idx="32">
                  <c:v>0.875</c:v>
                </c:pt>
                <c:pt idx="33">
                  <c:v>0.87</c:v>
                </c:pt>
              </c:numCache>
            </c:numRef>
          </c:xVal>
          <c:yVal>
            <c:numRef>
              <c:f>'various models'!$CY$4:$CY$37</c:f>
              <c:numCache>
                <c:formatCode>General</c:formatCode>
                <c:ptCount val="34"/>
                <c:pt idx="0">
                  <c:v>0.0317241884058436</c:v>
                </c:pt>
                <c:pt idx="1">
                  <c:v>0.0603880554442541</c:v>
                </c:pt>
                <c:pt idx="2">
                  <c:v>0.0862167520705594</c:v>
                </c:pt>
                <c:pt idx="3">
                  <c:v>0.109420486385422</c:v>
                </c:pt>
                <c:pt idx="4">
                  <c:v>0.130195464330954</c:v>
                </c:pt>
                <c:pt idx="5">
                  <c:v>0.148724773072262</c:v>
                </c:pt>
                <c:pt idx="6">
                  <c:v>0.165179210474628</c:v>
                </c:pt>
                <c:pt idx="7">
                  <c:v>0.17971806388757</c:v>
                </c:pt>
                <c:pt idx="8">
                  <c:v>0.192489841259477</c:v>
                </c:pt>
                <c:pt idx="9">
                  <c:v>0.203632957429672</c:v>
                </c:pt>
                <c:pt idx="10">
                  <c:v>0.239134541111876</c:v>
                </c:pt>
                <c:pt idx="11">
                  <c:v>0.249900804353995</c:v>
                </c:pt>
                <c:pt idx="12">
                  <c:v>0.245102596557668</c:v>
                </c:pt>
                <c:pt idx="13">
                  <c:v>0.231036291812582</c:v>
                </c:pt>
                <c:pt idx="14">
                  <c:v>0.211959644671762</c:v>
                </c:pt>
                <c:pt idx="15">
                  <c:v>0.190694441908991</c:v>
                </c:pt>
                <c:pt idx="16">
                  <c:v>0.169059310933835</c:v>
                </c:pt>
                <c:pt idx="17">
                  <c:v>0.148179162319462</c:v>
                </c:pt>
                <c:pt idx="18">
                  <c:v>0.128705287862886</c:v>
                </c:pt>
                <c:pt idx="19">
                  <c:v>0.110970962476299</c:v>
                </c:pt>
                <c:pt idx="20">
                  <c:v>0.0951006554362038</c:v>
                </c:pt>
                <c:pt idx="21">
                  <c:v>0.0810860098753614</c:v>
                </c:pt>
                <c:pt idx="22">
                  <c:v>0.0688381278581081</c:v>
                </c:pt>
                <c:pt idx="23">
                  <c:v>0.0582230526704861</c:v>
                </c:pt>
                <c:pt idx="24">
                  <c:v>0.0490854115439882</c:v>
                </c:pt>
                <c:pt idx="25">
                  <c:v>0.0412637798605633</c:v>
                </c:pt>
                <c:pt idx="26">
                  <c:v>0.0346003110173473</c:v>
                </c:pt>
                <c:pt idx="27">
                  <c:v>0.0289464407788014</c:v>
                </c:pt>
                <c:pt idx="28">
                  <c:v>0.024165944829371</c:v>
                </c:pt>
                <c:pt idx="29">
                  <c:v>0.0201362473995632</c:v>
                </c:pt>
                <c:pt idx="30">
                  <c:v>0.0167486062990035</c:v>
                </c:pt>
                <c:pt idx="31">
                  <c:v>0.0139076055135302</c:v>
                </c:pt>
                <c:pt idx="32">
                  <c:v>0.0115302488819554</c:v>
                </c:pt>
                <c:pt idx="33">
                  <c:v>0.00954485138312489</c:v>
                </c:pt>
              </c:numCache>
            </c:numRef>
          </c:yVal>
          <c:smooth val="0"/>
        </c:ser>
        <c:ser>
          <c:idx val="2"/>
          <c:order val="2"/>
          <c:tx>
            <c:strRef>
              <c:f>'various models'!$CZ$3</c:f>
              <c:strCache>
                <c:ptCount val="1"/>
                <c:pt idx="0">
                  <c:v>lower</c:v>
                </c:pt>
              </c:strCache>
            </c:strRef>
          </c:tx>
          <c:spPr>
            <a:solidFill>
              <a:srgbClr val="9bbb59"/>
            </a:solidFill>
            <a:ln cap="rnd" w="1908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'various models'!$CW$4:$CW$37</c:f>
              <c:numCache>
                <c:formatCode>General</c:formatCode>
                <c:ptCount val="34"/>
                <c:pt idx="0">
                  <c:v>0.999</c:v>
                </c:pt>
                <c:pt idx="1">
                  <c:v>0.998</c:v>
                </c:pt>
                <c:pt idx="2">
                  <c:v>0.997</c:v>
                </c:pt>
                <c:pt idx="3">
                  <c:v>0.996</c:v>
                </c:pt>
                <c:pt idx="4">
                  <c:v>0.995</c:v>
                </c:pt>
                <c:pt idx="5">
                  <c:v>0.994</c:v>
                </c:pt>
                <c:pt idx="6">
                  <c:v>0.993</c:v>
                </c:pt>
                <c:pt idx="7">
                  <c:v>0.992</c:v>
                </c:pt>
                <c:pt idx="8">
                  <c:v>0.991</c:v>
                </c:pt>
                <c:pt idx="9">
                  <c:v>0.99</c:v>
                </c:pt>
                <c:pt idx="10">
                  <c:v>0.985</c:v>
                </c:pt>
                <c:pt idx="11">
                  <c:v>0.98</c:v>
                </c:pt>
                <c:pt idx="12">
                  <c:v>0.975</c:v>
                </c:pt>
                <c:pt idx="13">
                  <c:v>0.97</c:v>
                </c:pt>
                <c:pt idx="14">
                  <c:v>0.965</c:v>
                </c:pt>
                <c:pt idx="15">
                  <c:v>0.96</c:v>
                </c:pt>
                <c:pt idx="16">
                  <c:v>0.955</c:v>
                </c:pt>
                <c:pt idx="17">
                  <c:v>0.95</c:v>
                </c:pt>
                <c:pt idx="18">
                  <c:v>0.945</c:v>
                </c:pt>
                <c:pt idx="19">
                  <c:v>0.94</c:v>
                </c:pt>
                <c:pt idx="20">
                  <c:v>0.935</c:v>
                </c:pt>
                <c:pt idx="21">
                  <c:v>0.93</c:v>
                </c:pt>
                <c:pt idx="22">
                  <c:v>0.925</c:v>
                </c:pt>
                <c:pt idx="23">
                  <c:v>0.92</c:v>
                </c:pt>
                <c:pt idx="24">
                  <c:v>0.915</c:v>
                </c:pt>
                <c:pt idx="25">
                  <c:v>0.91</c:v>
                </c:pt>
                <c:pt idx="26">
                  <c:v>0.905</c:v>
                </c:pt>
                <c:pt idx="27">
                  <c:v>0.9</c:v>
                </c:pt>
                <c:pt idx="28">
                  <c:v>0.895</c:v>
                </c:pt>
                <c:pt idx="29">
                  <c:v>0.89</c:v>
                </c:pt>
                <c:pt idx="30">
                  <c:v>0.885</c:v>
                </c:pt>
                <c:pt idx="31">
                  <c:v>0.88</c:v>
                </c:pt>
                <c:pt idx="32">
                  <c:v>0.875</c:v>
                </c:pt>
                <c:pt idx="33">
                  <c:v>0.87</c:v>
                </c:pt>
              </c:numCache>
            </c:numRef>
          </c:xVal>
          <c:yVal>
            <c:numRef>
              <c:f>'various models'!$CZ$4:$CZ$37</c:f>
              <c:numCache>
                <c:formatCode>General</c:formatCode>
                <c:ptCount val="34"/>
                <c:pt idx="0">
                  <c:v>0.935475781187455</c:v>
                </c:pt>
                <c:pt idx="1">
                  <c:v>0.875056481258394</c:v>
                </c:pt>
                <c:pt idx="2">
                  <c:v>0.818484678509085</c:v>
                </c:pt>
                <c:pt idx="3">
                  <c:v>0.765518860168562</c:v>
                </c:pt>
                <c:pt idx="4">
                  <c:v>0.715932453707105</c:v>
                </c:pt>
                <c:pt idx="5">
                  <c:v>0.669512916243673</c:v>
                </c:pt>
                <c:pt idx="6">
                  <c:v>0.626060878620859</c:v>
                </c:pt>
                <c:pt idx="7">
                  <c:v>0.585389340915458</c:v>
                </c:pt>
                <c:pt idx="8">
                  <c:v>0.547322916340832</c:v>
                </c:pt>
                <c:pt idx="9">
                  <c:v>0.511697120674587</c:v>
                </c:pt>
                <c:pt idx="10">
                  <c:v>0.36510297061833</c:v>
                </c:pt>
                <c:pt idx="11">
                  <c:v>0.260058895005418</c:v>
                </c:pt>
                <c:pt idx="12">
                  <c:v>0.184915952961274</c:v>
                </c:pt>
                <c:pt idx="13">
                  <c:v>0.131254927926202</c:v>
                </c:pt>
                <c:pt idx="14">
                  <c:v>0.0930009867218721</c:v>
                </c:pt>
                <c:pt idx="15">
                  <c:v>0.0657782329850021</c:v>
                </c:pt>
                <c:pt idx="16">
                  <c:v>0.0464399174467326</c:v>
                </c:pt>
                <c:pt idx="17">
                  <c:v>0.0327270620134799</c:v>
                </c:pt>
                <c:pt idx="18">
                  <c:v>0.0230208082503616</c:v>
                </c:pt>
                <c:pt idx="19">
                  <c:v>0.0161630595676793</c:v>
                </c:pt>
                <c:pt idx="20">
                  <c:v>0.0113268041614304</c:v>
                </c:pt>
                <c:pt idx="21">
                  <c:v>0.00792251804663557</c:v>
                </c:pt>
                <c:pt idx="22">
                  <c:v>0.00553072650162501</c:v>
                </c:pt>
                <c:pt idx="23">
                  <c:v>0.00385349816585789</c:v>
                </c:pt>
                <c:pt idx="24">
                  <c:v>0.00267961831820473</c:v>
                </c:pt>
                <c:pt idx="25">
                  <c:v>0.00185962833561149</c:v>
                </c:pt>
                <c:pt idx="26">
                  <c:v>0.00128796861588132</c:v>
                </c:pt>
                <c:pt idx="27">
                  <c:v>0.000890226728564092</c:v>
                </c:pt>
                <c:pt idx="28">
                  <c:v>0.000614048047423599</c:v>
                </c:pt>
                <c:pt idx="29">
                  <c:v>0.000422669045729629</c:v>
                </c:pt>
                <c:pt idx="30">
                  <c:v>0.000290325186398266</c:v>
                </c:pt>
                <c:pt idx="31">
                  <c:v>0.000198996212422586</c:v>
                </c:pt>
                <c:pt idx="32">
                  <c:v>0.00013610378466189</c:v>
                </c:pt>
                <c:pt idx="33">
                  <c:v>9.28859815967353E-005</c:v>
                </c:pt>
              </c:numCache>
            </c:numRef>
          </c:yVal>
          <c:smooth val="0"/>
        </c:ser>
        <c:axId val="37709820"/>
        <c:axId val="39393150"/>
      </c:scatterChart>
      <c:valAx>
        <c:axId val="37709820"/>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9393150"/>
        <c:crosses val="autoZero"/>
        <c:crossBetween val="midCat"/>
      </c:valAx>
      <c:valAx>
        <c:axId val="39393150"/>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7709820"/>
        <c:crosses val="autoZero"/>
        <c:crossBetween val="midCat"/>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w="0">
          <a:noFill/>
        </a:ln>
      </c:spPr>
    </c:title>
    <c:autoTitleDeleted val="0"/>
    <c:plotArea>
      <c:scatterChart>
        <c:scatterStyle val="line"/>
        <c:varyColors val="0"/>
        <c:ser>
          <c:idx val="0"/>
          <c:order val="0"/>
          <c:spPr>
            <a:solidFill>
              <a:srgbClr val="4f81bd"/>
            </a:solidFill>
            <a:ln cap="rnd" w="1908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calcul!$V$2:$V$102</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calcul!$W$2:$W$102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0.0500000000000012</c:v>
                </c:pt>
                <c:pt idx="54">
                  <c:v>0.100000000000001</c:v>
                </c:pt>
                <c:pt idx="55">
                  <c:v>0.150000000000001</c:v>
                </c:pt>
                <c:pt idx="56">
                  <c:v>0.200000000000001</c:v>
                </c:pt>
                <c:pt idx="57">
                  <c:v>0.250000000000001</c:v>
                </c:pt>
                <c:pt idx="58">
                  <c:v>0.300000000000001</c:v>
                </c:pt>
                <c:pt idx="59">
                  <c:v>0.350000000000001</c:v>
                </c:pt>
                <c:pt idx="60">
                  <c:v>0.400000000000001</c:v>
                </c:pt>
                <c:pt idx="61">
                  <c:v>0.450000000000002</c:v>
                </c:pt>
                <c:pt idx="62">
                  <c:v>0.500000000000002</c:v>
                </c:pt>
                <c:pt idx="63">
                  <c:v>0.550000000000002</c:v>
                </c:pt>
                <c:pt idx="64">
                  <c:v>0.600000000000002</c:v>
                </c:pt>
                <c:pt idx="65">
                  <c:v>0.650000000000002</c:v>
                </c:pt>
                <c:pt idx="66">
                  <c:v>0.700000000000002</c:v>
                </c:pt>
                <c:pt idx="67">
                  <c:v>0.750000000000002</c:v>
                </c:pt>
                <c:pt idx="68">
                  <c:v>0.800000000000002</c:v>
                </c:pt>
                <c:pt idx="69">
                  <c:v>0.850000000000002</c:v>
                </c:pt>
                <c:pt idx="70">
                  <c:v>0.900000000000002</c:v>
                </c:pt>
                <c:pt idx="71">
                  <c:v>0.950000000000002</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0.949999999999997</c:v>
                </c:pt>
                <c:pt idx="94">
                  <c:v>0.899999999999997</c:v>
                </c:pt>
                <c:pt idx="95">
                  <c:v>0.849999999999997</c:v>
                </c:pt>
                <c:pt idx="96">
                  <c:v>0.799999999999997</c:v>
                </c:pt>
                <c:pt idx="97">
                  <c:v>0.749999999999997</c:v>
                </c:pt>
                <c:pt idx="98">
                  <c:v>0.699999999999997</c:v>
                </c:pt>
                <c:pt idx="99">
                  <c:v>0.649999999999997</c:v>
                </c:pt>
                <c:pt idx="100">
                  <c:v>0.599999999999997</c:v>
                </c:pt>
              </c:numCache>
            </c:numRef>
          </c:yVal>
          <c:smooth val="0"/>
        </c:ser>
        <c:ser>
          <c:idx val="1"/>
          <c:order val="1"/>
          <c:spPr>
            <a:solidFill>
              <a:srgbClr val="c0504d"/>
            </a:solidFill>
            <a:ln cap="rnd" w="1908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calcul!$V$2:$V$102</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calcul!$X$2:$X$102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0.0499999999999999</c:v>
                </c:pt>
                <c:pt idx="14">
                  <c:v>0.1</c:v>
                </c:pt>
                <c:pt idx="15">
                  <c:v>0.15</c:v>
                </c:pt>
                <c:pt idx="16">
                  <c:v>0.2</c:v>
                </c:pt>
                <c:pt idx="17">
                  <c:v>0.25</c:v>
                </c:pt>
                <c:pt idx="18">
                  <c:v>0.3</c:v>
                </c:pt>
                <c:pt idx="19">
                  <c:v>0.35</c:v>
                </c:pt>
                <c:pt idx="20">
                  <c:v>0.4</c:v>
                </c:pt>
                <c:pt idx="21">
                  <c:v>0.45</c:v>
                </c:pt>
                <c:pt idx="22">
                  <c:v>0.5</c:v>
                </c:pt>
                <c:pt idx="23">
                  <c:v>0.55</c:v>
                </c:pt>
                <c:pt idx="24">
                  <c:v>0.6</c:v>
                </c:pt>
                <c:pt idx="25">
                  <c:v>0.65</c:v>
                </c:pt>
                <c:pt idx="26">
                  <c:v>0.7</c:v>
                </c:pt>
                <c:pt idx="27">
                  <c:v>0.75</c:v>
                </c:pt>
                <c:pt idx="28">
                  <c:v>0.8</c:v>
                </c:pt>
                <c:pt idx="29">
                  <c:v>0.850000000000001</c:v>
                </c:pt>
                <c:pt idx="30">
                  <c:v>0.900000000000001</c:v>
                </c:pt>
                <c:pt idx="31">
                  <c:v>0.950000000000001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0.949999999999998</c:v>
                </c:pt>
                <c:pt idx="74">
                  <c:v>0.899999999999998</c:v>
                </c:pt>
                <c:pt idx="75">
                  <c:v>0.849999999999998</c:v>
                </c:pt>
                <c:pt idx="76">
                  <c:v>0.799999999999998</c:v>
                </c:pt>
                <c:pt idx="77">
                  <c:v>0.749999999999998</c:v>
                </c:pt>
                <c:pt idx="78">
                  <c:v>0.699999999999998</c:v>
                </c:pt>
                <c:pt idx="79">
                  <c:v>0.649999999999997</c:v>
                </c:pt>
                <c:pt idx="80">
                  <c:v>0.599999999999997</c:v>
                </c:pt>
                <c:pt idx="81">
                  <c:v>0.549999999999997</c:v>
                </c:pt>
                <c:pt idx="82">
                  <c:v>0.499999999999997</c:v>
                </c:pt>
                <c:pt idx="83">
                  <c:v>0.449999999999997</c:v>
                </c:pt>
                <c:pt idx="84">
                  <c:v>0.399999999999997</c:v>
                </c:pt>
                <c:pt idx="85">
                  <c:v>0.349999999999997</c:v>
                </c:pt>
                <c:pt idx="86">
                  <c:v>0.299999999999997</c:v>
                </c:pt>
                <c:pt idx="87">
                  <c:v>0.249999999999997</c:v>
                </c:pt>
                <c:pt idx="88">
                  <c:v>0.199999999999997</c:v>
                </c:pt>
                <c:pt idx="89">
                  <c:v>0.149999999999997</c:v>
                </c:pt>
                <c:pt idx="90">
                  <c:v>0.099999999999997</c:v>
                </c:pt>
                <c:pt idx="91">
                  <c:v>0.0499999999999969</c:v>
                </c:pt>
                <c:pt idx="92">
                  <c:v>0</c:v>
                </c:pt>
                <c:pt idx="93">
                  <c:v>0</c:v>
                </c:pt>
                <c:pt idx="94">
                  <c:v>0</c:v>
                </c:pt>
                <c:pt idx="95">
                  <c:v>0</c:v>
                </c:pt>
                <c:pt idx="96">
                  <c:v>0</c:v>
                </c:pt>
                <c:pt idx="97">
                  <c:v>0</c:v>
                </c:pt>
                <c:pt idx="98">
                  <c:v>0</c:v>
                </c:pt>
                <c:pt idx="99">
                  <c:v>0</c:v>
                </c:pt>
                <c:pt idx="100">
                  <c:v>0</c:v>
                </c:pt>
              </c:numCache>
            </c:numRef>
          </c:yVal>
          <c:smooth val="0"/>
        </c:ser>
        <c:ser>
          <c:idx val="2"/>
          <c:order val="2"/>
          <c:spPr>
            <a:solidFill>
              <a:srgbClr val="9bbb59"/>
            </a:solidFill>
            <a:ln cap="rnd" w="1908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calcul!$V$2:$V$102</c:f>
              <c:numCache>
                <c:formatCode>General</c:formatCod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0.790000000000001</c:v>
                </c:pt>
                <c:pt idx="80">
                  <c:v>0.8</c:v>
                </c:pt>
                <c:pt idx="81">
                  <c:v>0.810000000000001</c:v>
                </c:pt>
                <c:pt idx="82">
                  <c:v>0.82</c:v>
                </c:pt>
                <c:pt idx="83">
                  <c:v>0.83</c:v>
                </c:pt>
                <c:pt idx="84">
                  <c:v>0.84</c:v>
                </c:pt>
                <c:pt idx="85">
                  <c:v>0.850000000000001</c:v>
                </c:pt>
                <c:pt idx="86">
                  <c:v>0.860000000000001</c:v>
                </c:pt>
                <c:pt idx="87">
                  <c:v>0.87</c:v>
                </c:pt>
                <c:pt idx="88">
                  <c:v>0.88</c:v>
                </c:pt>
                <c:pt idx="89">
                  <c:v>0.890000000000001</c:v>
                </c:pt>
                <c:pt idx="90">
                  <c:v>0.900000000000001</c:v>
                </c:pt>
                <c:pt idx="91">
                  <c:v>0.910000000000001</c:v>
                </c:pt>
                <c:pt idx="92">
                  <c:v>0.92</c:v>
                </c:pt>
                <c:pt idx="93">
                  <c:v>0.930000000000001</c:v>
                </c:pt>
                <c:pt idx="94">
                  <c:v>0.940000000000001</c:v>
                </c:pt>
                <c:pt idx="95">
                  <c:v>0.950000000000001</c:v>
                </c:pt>
                <c:pt idx="96">
                  <c:v>0.960000000000001</c:v>
                </c:pt>
                <c:pt idx="97">
                  <c:v>0.970000000000001</c:v>
                </c:pt>
                <c:pt idx="98">
                  <c:v>0.980000000000001</c:v>
                </c:pt>
                <c:pt idx="99">
                  <c:v>0.990000000000001</c:v>
                </c:pt>
                <c:pt idx="100">
                  <c:v>1</c:v>
                </c:pt>
              </c:numCache>
            </c:numRef>
          </c:xVal>
          <c:yVal>
            <c:numRef>
              <c:f>calcul!$X$2:$X$102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0.0499999999999999</c:v>
                </c:pt>
                <c:pt idx="14">
                  <c:v>0.1</c:v>
                </c:pt>
                <c:pt idx="15">
                  <c:v>0.15</c:v>
                </c:pt>
                <c:pt idx="16">
                  <c:v>0.2</c:v>
                </c:pt>
                <c:pt idx="17">
                  <c:v>0.25</c:v>
                </c:pt>
                <c:pt idx="18">
                  <c:v>0.3</c:v>
                </c:pt>
                <c:pt idx="19">
                  <c:v>0.35</c:v>
                </c:pt>
                <c:pt idx="20">
                  <c:v>0.4</c:v>
                </c:pt>
                <c:pt idx="21">
                  <c:v>0.45</c:v>
                </c:pt>
                <c:pt idx="22">
                  <c:v>0.5</c:v>
                </c:pt>
                <c:pt idx="23">
                  <c:v>0.55</c:v>
                </c:pt>
                <c:pt idx="24">
                  <c:v>0.6</c:v>
                </c:pt>
                <c:pt idx="25">
                  <c:v>0.65</c:v>
                </c:pt>
                <c:pt idx="26">
                  <c:v>0.7</c:v>
                </c:pt>
                <c:pt idx="27">
                  <c:v>0.75</c:v>
                </c:pt>
                <c:pt idx="28">
                  <c:v>0.8</c:v>
                </c:pt>
                <c:pt idx="29">
                  <c:v>0.850000000000001</c:v>
                </c:pt>
                <c:pt idx="30">
                  <c:v>0.900000000000001</c:v>
                </c:pt>
                <c:pt idx="31">
                  <c:v>0.950000000000001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0.949999999999998</c:v>
                </c:pt>
                <c:pt idx="74">
                  <c:v>0.899999999999998</c:v>
                </c:pt>
                <c:pt idx="75">
                  <c:v>0.849999999999998</c:v>
                </c:pt>
                <c:pt idx="76">
                  <c:v>0.799999999999998</c:v>
                </c:pt>
                <c:pt idx="77">
                  <c:v>0.749999999999998</c:v>
                </c:pt>
                <c:pt idx="78">
                  <c:v>0.699999999999998</c:v>
                </c:pt>
                <c:pt idx="79">
                  <c:v>0.649999999999997</c:v>
                </c:pt>
                <c:pt idx="80">
                  <c:v>0.599999999999997</c:v>
                </c:pt>
                <c:pt idx="81">
                  <c:v>0.549999999999997</c:v>
                </c:pt>
                <c:pt idx="82">
                  <c:v>0.499999999999997</c:v>
                </c:pt>
                <c:pt idx="83">
                  <c:v>0.449999999999997</c:v>
                </c:pt>
                <c:pt idx="84">
                  <c:v>0.399999999999997</c:v>
                </c:pt>
                <c:pt idx="85">
                  <c:v>0.349999999999997</c:v>
                </c:pt>
                <c:pt idx="86">
                  <c:v>0.299999999999997</c:v>
                </c:pt>
                <c:pt idx="87">
                  <c:v>0.249999999999997</c:v>
                </c:pt>
                <c:pt idx="88">
                  <c:v>0.199999999999997</c:v>
                </c:pt>
                <c:pt idx="89">
                  <c:v>0.149999999999997</c:v>
                </c:pt>
                <c:pt idx="90">
                  <c:v>0.099999999999997</c:v>
                </c:pt>
                <c:pt idx="91">
                  <c:v>0.0499999999999969</c:v>
                </c:pt>
                <c:pt idx="92">
                  <c:v>0</c:v>
                </c:pt>
                <c:pt idx="93">
                  <c:v>0</c:v>
                </c:pt>
                <c:pt idx="94">
                  <c:v>0</c:v>
                </c:pt>
                <c:pt idx="95">
                  <c:v>0</c:v>
                </c:pt>
                <c:pt idx="96">
                  <c:v>0</c:v>
                </c:pt>
                <c:pt idx="97">
                  <c:v>0</c:v>
                </c:pt>
                <c:pt idx="98">
                  <c:v>0</c:v>
                </c:pt>
                <c:pt idx="99">
                  <c:v>0</c:v>
                </c:pt>
                <c:pt idx="100">
                  <c:v>0</c:v>
                </c:pt>
              </c:numCache>
            </c:numRef>
          </c:yVal>
          <c:smooth val="0"/>
        </c:ser>
        <c:axId val="80126962"/>
        <c:axId val="92786110"/>
      </c:scatterChart>
      <c:valAx>
        <c:axId val="8012696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2786110"/>
        <c:crosses val="autoZero"/>
        <c:crossBetween val="midCat"/>
      </c:valAx>
      <c:valAx>
        <c:axId val="9278611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0126962"/>
        <c:crosses val="autoZero"/>
        <c:crossBetween val="midCat"/>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920" spc="-1" strike="noStrike">
                <a:solidFill>
                  <a:srgbClr val="595959"/>
                </a:solidFill>
                <a:latin typeface="Calibri"/>
              </a:defRPr>
            </a:pPr>
            <a:r>
              <a:rPr b="0" lang="en-US" sz="1920" spc="-1" strike="noStrike">
                <a:solidFill>
                  <a:srgbClr val="595959"/>
                </a:solidFill>
                <a:latin typeface="Calibri"/>
              </a:rPr>
              <a:t>Height, m</a:t>
            </a:r>
          </a:p>
        </c:rich>
      </c:tx>
      <c:layout>
        <c:manualLayout>
          <c:xMode val="edge"/>
          <c:yMode val="edge"/>
          <c:x val="0.755922884942308"/>
          <c:y val="0.00882805539807241"/>
        </c:manualLayout>
      </c:layout>
      <c:overlay val="0"/>
      <c:spPr>
        <a:noFill/>
        <a:ln w="0">
          <a:noFill/>
        </a:ln>
      </c:spPr>
    </c:title>
    <c:autoTitleDeleted val="0"/>
    <c:plotArea>
      <c:layout>
        <c:manualLayout>
          <c:layoutTarget val="inner"/>
          <c:xMode val="edge"/>
          <c:yMode val="edge"/>
          <c:x val="0.117951314790031"/>
          <c:y val="0.0695310601765611"/>
          <c:w val="0.80055702246175"/>
          <c:h val="0.908722766663967"/>
        </c:manualLayout>
      </c:layout>
      <c:scatterChart>
        <c:scatterStyle val="line"/>
        <c:varyColors val="0"/>
        <c:ser>
          <c:idx val="0"/>
          <c:order val="0"/>
          <c:tx>
            <c:strRef>
              <c:f>'Fractal map'!$F$2</c:f>
              <c:strCache>
                <c:ptCount val="1"/>
                <c:pt idx="0">
                  <c:v>Nb segments</c:v>
                </c:pt>
              </c:strCache>
            </c:strRef>
          </c:tx>
          <c:spPr>
            <a:solidFill>
              <a:srgbClr val="3d97af"/>
            </a:solidFill>
            <a:ln w="28440">
              <a:solidFill>
                <a:srgbClr val="3d97af"/>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map'!$F$8:$F$211</c:f>
              <c:numCache>
                <c:formatCode>General</c:formatCode>
                <c:ptCount val="204"/>
                <c:pt idx="0">
                  <c:v>25</c:v>
                </c:pt>
                <c:pt idx="1">
                  <c:v>11.6196391836202</c:v>
                </c:pt>
                <c:pt idx="2">
                  <c:v>5.40064059030087</c:v>
                </c:pt>
                <c:pt idx="3">
                  <c:v>2.51013980078838</c:v>
                </c:pt>
                <c:pt idx="4">
                  <c:v>1.16667675142421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3">
                  <c:v>4244.12189118072</c:v>
                </c:pt>
                <c:pt idx="104">
                  <c:v>577.679313357967</c:v>
                </c:pt>
                <c:pt idx="105">
                  <c:v>78.6295487354378</c:v>
                </c:pt>
                <c:pt idx="106">
                  <c:v>10.7024880264449</c:v>
                </c:pt>
                <c:pt idx="107">
                  <c:v>1.45674561024886</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1"/>
          <c:order val="1"/>
          <c:tx>
            <c:strRef>
              <c:f>'Fractal map'!$E$2</c:f>
              <c:strCache>
                <c:ptCount val="1"/>
                <c:pt idx="0">
                  <c:v>Diam, cm</c:v>
                </c:pt>
              </c:strCache>
            </c:strRef>
          </c:tx>
          <c:spPr>
            <a:solidFill>
              <a:srgbClr val="ffc000"/>
            </a:solidFill>
            <a:ln w="28440">
              <a:solidFill>
                <a:srgbClr val="ffc000"/>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map'!$E$8:$E$211</c:f>
              <c:numCache>
                <c:formatCode>General</c:formatCode>
                <c:ptCount val="204"/>
                <c:pt idx="0">
                  <c:v>0.5</c:v>
                </c:pt>
                <c:pt idx="1">
                  <c:v>0.589689302750872</c:v>
                </c:pt>
                <c:pt idx="2">
                  <c:v>0.695466947557618</c:v>
                </c:pt>
                <c:pt idx="3">
                  <c:v>0.820218838783057</c:v>
                </c:pt>
                <c:pt idx="4">
                  <c:v>0.967348550290221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3">
                  <c:v>0.1</c:v>
                </c:pt>
                <c:pt idx="104">
                  <c:v>0.173276958550849</c:v>
                </c:pt>
                <c:pt idx="105">
                  <c:v>0.300249043646327</c:v>
                </c:pt>
                <c:pt idx="106">
                  <c:v>0.520262410908367</c:v>
                </c:pt>
                <c:pt idx="107">
                  <c:v>0.901494882105341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2"/>
          <c:order val="2"/>
          <c:tx>
            <c:strRef>
              <c:f>'Fractal map'!$G$2</c:f>
              <c:strCache>
                <c:ptCount val="1"/>
                <c:pt idx="0">
                  <c:v>Cross section, cm2</c:v>
                </c:pt>
              </c:strCache>
            </c:strRef>
          </c:tx>
          <c:spPr>
            <a:solidFill>
              <a:srgbClr val="db8238"/>
            </a:solidFill>
            <a:ln w="28440">
              <a:solidFill>
                <a:srgbClr val="db8238"/>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map'!$G$8:$G$211</c:f>
              <c:numCache>
                <c:formatCode>General</c:formatCode>
                <c:ptCount val="204"/>
                <c:pt idx="0">
                  <c:v>0.19635</c:v>
                </c:pt>
                <c:pt idx="1">
                  <c:v>0.273109870305877</c:v>
                </c:pt>
                <c:pt idx="2">
                  <c:v>0.37987777569897</c:v>
                </c:pt>
                <c:pt idx="3">
                  <c:v>0.52838487422068</c:v>
                </c:pt>
                <c:pt idx="4">
                  <c:v>0.734948431219744</c:v>
                </c:pt>
                <c:pt idx="5">
                  <c:v>0.7854</c:v>
                </c:pt>
                <c:pt idx="6">
                  <c:v>0.7854</c:v>
                </c:pt>
                <c:pt idx="7">
                  <c:v>0.7854</c:v>
                </c:pt>
                <c:pt idx="8">
                  <c:v>0.7854</c:v>
                </c:pt>
                <c:pt idx="9">
                  <c:v>0.7854</c:v>
                </c:pt>
                <c:pt idx="10">
                  <c:v>0.7854</c:v>
                </c:pt>
                <c:pt idx="11">
                  <c:v>0.7854</c:v>
                </c:pt>
                <c:pt idx="12">
                  <c:v>0.7854</c:v>
                </c:pt>
                <c:pt idx="13">
                  <c:v>0.7854</c:v>
                </c:pt>
                <c:pt idx="14">
                  <c:v>0.7854</c:v>
                </c:pt>
                <c:pt idx="15">
                  <c:v>0.7854</c:v>
                </c:pt>
                <c:pt idx="16">
                  <c:v>0.7854</c:v>
                </c:pt>
                <c:pt idx="17">
                  <c:v>0.7854</c:v>
                </c:pt>
                <c:pt idx="18">
                  <c:v>0.7854</c:v>
                </c:pt>
                <c:pt idx="19">
                  <c:v>0.7854</c:v>
                </c:pt>
                <c:pt idx="20">
                  <c:v>0.7854</c:v>
                </c:pt>
                <c:pt idx="21">
                  <c:v>0.7854</c:v>
                </c:pt>
                <c:pt idx="22">
                  <c:v>0.7854</c:v>
                </c:pt>
                <c:pt idx="23">
                  <c:v>0.7854</c:v>
                </c:pt>
                <c:pt idx="24">
                  <c:v>0.7854</c:v>
                </c:pt>
                <c:pt idx="25">
                  <c:v>0.7854</c:v>
                </c:pt>
                <c:pt idx="26">
                  <c:v>0.7854</c:v>
                </c:pt>
                <c:pt idx="27">
                  <c:v>0.7854</c:v>
                </c:pt>
                <c:pt idx="28">
                  <c:v>0.7854</c:v>
                </c:pt>
                <c:pt idx="29">
                  <c:v>0.7854</c:v>
                </c:pt>
                <c:pt idx="30">
                  <c:v>0.7854</c:v>
                </c:pt>
                <c:pt idx="31">
                  <c:v>0.7854</c:v>
                </c:pt>
                <c:pt idx="32">
                  <c:v>0.7854</c:v>
                </c:pt>
                <c:pt idx="33">
                  <c:v>0.7854</c:v>
                </c:pt>
                <c:pt idx="34">
                  <c:v>0.7854</c:v>
                </c:pt>
                <c:pt idx="35">
                  <c:v>0.7854</c:v>
                </c:pt>
                <c:pt idx="36">
                  <c:v>0.7854</c:v>
                </c:pt>
                <c:pt idx="37">
                  <c:v>0.7854</c:v>
                </c:pt>
                <c:pt idx="38">
                  <c:v>0.7854</c:v>
                </c:pt>
                <c:pt idx="39">
                  <c:v>0.7854</c:v>
                </c:pt>
                <c:pt idx="40">
                  <c:v>0.7854</c:v>
                </c:pt>
                <c:pt idx="41">
                  <c:v>0.7854</c:v>
                </c:pt>
                <c:pt idx="42">
                  <c:v>0.7854</c:v>
                </c:pt>
                <c:pt idx="43">
                  <c:v>0.7854</c:v>
                </c:pt>
                <c:pt idx="44">
                  <c:v>0.7854</c:v>
                </c:pt>
                <c:pt idx="45">
                  <c:v>0.7854</c:v>
                </c:pt>
                <c:pt idx="46">
                  <c:v>0.7854</c:v>
                </c:pt>
                <c:pt idx="47">
                  <c:v>0.7854</c:v>
                </c:pt>
                <c:pt idx="48">
                  <c:v>0.7854</c:v>
                </c:pt>
                <c:pt idx="49">
                  <c:v>0.7854</c:v>
                </c:pt>
                <c:pt idx="50">
                  <c:v>0.7854</c:v>
                </c:pt>
                <c:pt idx="51">
                  <c:v>0.7854</c:v>
                </c:pt>
                <c:pt idx="52">
                  <c:v>0.7854</c:v>
                </c:pt>
                <c:pt idx="53">
                  <c:v>0.7854</c:v>
                </c:pt>
                <c:pt idx="54">
                  <c:v>0.7854</c:v>
                </c:pt>
                <c:pt idx="55">
                  <c:v>0.7854</c:v>
                </c:pt>
                <c:pt idx="56">
                  <c:v>0.7854</c:v>
                </c:pt>
                <c:pt idx="57">
                  <c:v>0.7854</c:v>
                </c:pt>
                <c:pt idx="58">
                  <c:v>0.7854</c:v>
                </c:pt>
                <c:pt idx="59">
                  <c:v>0.7854</c:v>
                </c:pt>
                <c:pt idx="60">
                  <c:v>0.7854</c:v>
                </c:pt>
                <c:pt idx="61">
                  <c:v>0.7854</c:v>
                </c:pt>
                <c:pt idx="62">
                  <c:v>0.7854</c:v>
                </c:pt>
                <c:pt idx="63">
                  <c:v>0.7854</c:v>
                </c:pt>
                <c:pt idx="64">
                  <c:v>0.7854</c:v>
                </c:pt>
                <c:pt idx="65">
                  <c:v>0.7854</c:v>
                </c:pt>
                <c:pt idx="66">
                  <c:v>0.7854</c:v>
                </c:pt>
                <c:pt idx="67">
                  <c:v>0.7854</c:v>
                </c:pt>
                <c:pt idx="68">
                  <c:v>0.7854</c:v>
                </c:pt>
                <c:pt idx="69">
                  <c:v>0.7854</c:v>
                </c:pt>
                <c:pt idx="70">
                  <c:v>0.7854</c:v>
                </c:pt>
                <c:pt idx="71">
                  <c:v>0.7854</c:v>
                </c:pt>
                <c:pt idx="72">
                  <c:v>0.7854</c:v>
                </c:pt>
                <c:pt idx="73">
                  <c:v>0.7854</c:v>
                </c:pt>
                <c:pt idx="74">
                  <c:v>0.7854</c:v>
                </c:pt>
                <c:pt idx="75">
                  <c:v>0.7854</c:v>
                </c:pt>
                <c:pt idx="76">
                  <c:v>0.7854</c:v>
                </c:pt>
                <c:pt idx="77">
                  <c:v>0.7854</c:v>
                </c:pt>
                <c:pt idx="78">
                  <c:v>0.7854</c:v>
                </c:pt>
                <c:pt idx="79">
                  <c:v>0.7854</c:v>
                </c:pt>
                <c:pt idx="80">
                  <c:v>0.7854</c:v>
                </c:pt>
                <c:pt idx="81">
                  <c:v>0.7854</c:v>
                </c:pt>
                <c:pt idx="82">
                  <c:v>0.7854</c:v>
                </c:pt>
                <c:pt idx="83">
                  <c:v>0.7854</c:v>
                </c:pt>
                <c:pt idx="84">
                  <c:v>0.7854</c:v>
                </c:pt>
                <c:pt idx="85">
                  <c:v>0.7854</c:v>
                </c:pt>
                <c:pt idx="86">
                  <c:v>0.7854</c:v>
                </c:pt>
                <c:pt idx="87">
                  <c:v>0.7854</c:v>
                </c:pt>
                <c:pt idx="88">
                  <c:v>0.7854</c:v>
                </c:pt>
                <c:pt idx="89">
                  <c:v>0.7854</c:v>
                </c:pt>
                <c:pt idx="90">
                  <c:v>0.7854</c:v>
                </c:pt>
                <c:pt idx="91">
                  <c:v>0.7854</c:v>
                </c:pt>
                <c:pt idx="92">
                  <c:v>0.7854</c:v>
                </c:pt>
                <c:pt idx="93">
                  <c:v>0.7854</c:v>
                </c:pt>
                <c:pt idx="94">
                  <c:v>0.7854</c:v>
                </c:pt>
                <c:pt idx="95">
                  <c:v>0.7854</c:v>
                </c:pt>
                <c:pt idx="96">
                  <c:v>0.7854</c:v>
                </c:pt>
                <c:pt idx="97">
                  <c:v>0.7854</c:v>
                </c:pt>
                <c:pt idx="98">
                  <c:v>0.7854</c:v>
                </c:pt>
                <c:pt idx="99">
                  <c:v>0.7854</c:v>
                </c:pt>
                <c:pt idx="100">
                  <c:v>0.7854</c:v>
                </c:pt>
                <c:pt idx="103">
                  <c:v>0.023562</c:v>
                </c:pt>
                <c:pt idx="104">
                  <c:v>0.0707446796639476</c:v>
                </c:pt>
                <c:pt idx="105">
                  <c:v>0.21241022412166</c:v>
                </c:pt>
                <c:pt idx="106">
                  <c:v>0.637759666532305</c:v>
                </c:pt>
                <c:pt idx="107">
                  <c:v>1.91486729952525</c:v>
                </c:pt>
                <c:pt idx="108">
                  <c:v>2.3562</c:v>
                </c:pt>
                <c:pt idx="109">
                  <c:v>2.3562</c:v>
                </c:pt>
                <c:pt idx="110">
                  <c:v>2.3562</c:v>
                </c:pt>
                <c:pt idx="111">
                  <c:v>2.3562</c:v>
                </c:pt>
                <c:pt idx="112">
                  <c:v>2.3562</c:v>
                </c:pt>
                <c:pt idx="113">
                  <c:v>2.3562</c:v>
                </c:pt>
                <c:pt idx="114">
                  <c:v>2.3562</c:v>
                </c:pt>
                <c:pt idx="115">
                  <c:v>2.3562</c:v>
                </c:pt>
                <c:pt idx="116">
                  <c:v>2.3562</c:v>
                </c:pt>
                <c:pt idx="117">
                  <c:v>2.3562</c:v>
                </c:pt>
                <c:pt idx="118">
                  <c:v>2.3562</c:v>
                </c:pt>
                <c:pt idx="119">
                  <c:v>2.3562</c:v>
                </c:pt>
                <c:pt idx="120">
                  <c:v>2.3562</c:v>
                </c:pt>
                <c:pt idx="121">
                  <c:v>2.3562</c:v>
                </c:pt>
                <c:pt idx="122">
                  <c:v>2.3562</c:v>
                </c:pt>
                <c:pt idx="123">
                  <c:v>2.3562</c:v>
                </c:pt>
                <c:pt idx="124">
                  <c:v>2.3562</c:v>
                </c:pt>
                <c:pt idx="125">
                  <c:v>2.3562</c:v>
                </c:pt>
                <c:pt idx="126">
                  <c:v>2.3562</c:v>
                </c:pt>
                <c:pt idx="127">
                  <c:v>2.3562</c:v>
                </c:pt>
                <c:pt idx="128">
                  <c:v>2.3562</c:v>
                </c:pt>
                <c:pt idx="129">
                  <c:v>2.3562</c:v>
                </c:pt>
                <c:pt idx="130">
                  <c:v>2.3562</c:v>
                </c:pt>
                <c:pt idx="131">
                  <c:v>2.3562</c:v>
                </c:pt>
                <c:pt idx="132">
                  <c:v>2.3562</c:v>
                </c:pt>
                <c:pt idx="133">
                  <c:v>2.3562</c:v>
                </c:pt>
                <c:pt idx="134">
                  <c:v>2.3562</c:v>
                </c:pt>
                <c:pt idx="135">
                  <c:v>2.3562</c:v>
                </c:pt>
                <c:pt idx="136">
                  <c:v>2.3562</c:v>
                </c:pt>
                <c:pt idx="137">
                  <c:v>2.3562</c:v>
                </c:pt>
                <c:pt idx="138">
                  <c:v>2.3562</c:v>
                </c:pt>
                <c:pt idx="139">
                  <c:v>2.3562</c:v>
                </c:pt>
                <c:pt idx="140">
                  <c:v>2.3562</c:v>
                </c:pt>
                <c:pt idx="141">
                  <c:v>2.3562</c:v>
                </c:pt>
                <c:pt idx="142">
                  <c:v>2.3562</c:v>
                </c:pt>
                <c:pt idx="143">
                  <c:v>2.3562</c:v>
                </c:pt>
                <c:pt idx="144">
                  <c:v>2.3562</c:v>
                </c:pt>
                <c:pt idx="145">
                  <c:v>2.3562</c:v>
                </c:pt>
                <c:pt idx="146">
                  <c:v>2.3562</c:v>
                </c:pt>
                <c:pt idx="147">
                  <c:v>2.3562</c:v>
                </c:pt>
                <c:pt idx="148">
                  <c:v>2.3562</c:v>
                </c:pt>
                <c:pt idx="149">
                  <c:v>2.3562</c:v>
                </c:pt>
                <c:pt idx="150">
                  <c:v>2.3562</c:v>
                </c:pt>
                <c:pt idx="151">
                  <c:v>2.3562</c:v>
                </c:pt>
                <c:pt idx="152">
                  <c:v>2.3562</c:v>
                </c:pt>
                <c:pt idx="153">
                  <c:v>2.3562</c:v>
                </c:pt>
                <c:pt idx="154">
                  <c:v>2.3562</c:v>
                </c:pt>
                <c:pt idx="155">
                  <c:v>2.3562</c:v>
                </c:pt>
                <c:pt idx="156">
                  <c:v>2.3562</c:v>
                </c:pt>
                <c:pt idx="157">
                  <c:v>2.3562</c:v>
                </c:pt>
                <c:pt idx="158">
                  <c:v>2.3562</c:v>
                </c:pt>
                <c:pt idx="159">
                  <c:v>2.3562</c:v>
                </c:pt>
                <c:pt idx="160">
                  <c:v>2.3562</c:v>
                </c:pt>
                <c:pt idx="161">
                  <c:v>2.3562</c:v>
                </c:pt>
                <c:pt idx="162">
                  <c:v>2.3562</c:v>
                </c:pt>
                <c:pt idx="163">
                  <c:v>2.3562</c:v>
                </c:pt>
                <c:pt idx="164">
                  <c:v>2.3562</c:v>
                </c:pt>
                <c:pt idx="165">
                  <c:v>2.3562</c:v>
                </c:pt>
                <c:pt idx="166">
                  <c:v>2.3562</c:v>
                </c:pt>
                <c:pt idx="167">
                  <c:v>2.3562</c:v>
                </c:pt>
                <c:pt idx="168">
                  <c:v>2.3562</c:v>
                </c:pt>
                <c:pt idx="169">
                  <c:v>2.3562</c:v>
                </c:pt>
                <c:pt idx="170">
                  <c:v>2.3562</c:v>
                </c:pt>
                <c:pt idx="171">
                  <c:v>2.3562</c:v>
                </c:pt>
                <c:pt idx="172">
                  <c:v>2.3562</c:v>
                </c:pt>
                <c:pt idx="173">
                  <c:v>2.3562</c:v>
                </c:pt>
                <c:pt idx="174">
                  <c:v>2.3562</c:v>
                </c:pt>
                <c:pt idx="175">
                  <c:v>2.3562</c:v>
                </c:pt>
                <c:pt idx="176">
                  <c:v>2.3562</c:v>
                </c:pt>
                <c:pt idx="177">
                  <c:v>2.3562</c:v>
                </c:pt>
                <c:pt idx="178">
                  <c:v>2.3562</c:v>
                </c:pt>
                <c:pt idx="179">
                  <c:v>2.3562</c:v>
                </c:pt>
                <c:pt idx="180">
                  <c:v>2.3562</c:v>
                </c:pt>
                <c:pt idx="181">
                  <c:v>2.3562</c:v>
                </c:pt>
                <c:pt idx="182">
                  <c:v>2.3562</c:v>
                </c:pt>
                <c:pt idx="183">
                  <c:v>2.3562</c:v>
                </c:pt>
                <c:pt idx="184">
                  <c:v>2.3562</c:v>
                </c:pt>
                <c:pt idx="185">
                  <c:v>2.3562</c:v>
                </c:pt>
                <c:pt idx="186">
                  <c:v>2.3562</c:v>
                </c:pt>
                <c:pt idx="187">
                  <c:v>2.3562</c:v>
                </c:pt>
                <c:pt idx="188">
                  <c:v>2.3562</c:v>
                </c:pt>
                <c:pt idx="189">
                  <c:v>2.3562</c:v>
                </c:pt>
                <c:pt idx="190">
                  <c:v>2.3562</c:v>
                </c:pt>
                <c:pt idx="191">
                  <c:v>2.3562</c:v>
                </c:pt>
                <c:pt idx="192">
                  <c:v>2.3562</c:v>
                </c:pt>
                <c:pt idx="193">
                  <c:v>2.3562</c:v>
                </c:pt>
                <c:pt idx="194">
                  <c:v>2.3562</c:v>
                </c:pt>
                <c:pt idx="195">
                  <c:v>2.3562</c:v>
                </c:pt>
                <c:pt idx="196">
                  <c:v>2.3562</c:v>
                </c:pt>
                <c:pt idx="197">
                  <c:v>2.3562</c:v>
                </c:pt>
                <c:pt idx="198">
                  <c:v>2.3562</c:v>
                </c:pt>
                <c:pt idx="199">
                  <c:v>2.3562</c:v>
                </c:pt>
                <c:pt idx="200">
                  <c:v>2.3562</c:v>
                </c:pt>
                <c:pt idx="201">
                  <c:v>2.3562</c:v>
                </c:pt>
                <c:pt idx="202">
                  <c:v>2.3562</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3"/>
          <c:order val="3"/>
          <c:tx>
            <c:strRef>
              <c:f>'Fractal map'!$H$2</c:f>
              <c:strCache>
                <c:ptCount val="1"/>
                <c:pt idx="0">
                  <c:v>Cumul cross-section, cm2</c:v>
                </c:pt>
              </c:strCache>
            </c:strRef>
          </c:tx>
          <c:spPr>
            <a:solidFill>
              <a:srgbClr val="aa433f"/>
            </a:solidFill>
            <a:ln w="28440">
              <a:solidFill>
                <a:srgbClr val="aa433f"/>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map'!$H$8:$H$263</c:f>
              <c:numCache>
                <c:formatCode>General</c:formatCode>
                <c:ptCount val="256"/>
                <c:pt idx="0">
                  <c:v>4.90875</c:v>
                </c:pt>
                <c:pt idx="1">
                  <c:v>3.17343815043959</c:v>
                </c:pt>
                <c:pt idx="2">
                  <c:v>2.05158333479306</c:v>
                </c:pt>
                <c:pt idx="3">
                  <c:v>1.32631990291589</c:v>
                </c:pt>
                <c:pt idx="4">
                  <c:v>0.857447248199772</c:v>
                </c:pt>
                <c:pt idx="5">
                  <c:v>0.7854</c:v>
                </c:pt>
                <c:pt idx="6">
                  <c:v>0.7854</c:v>
                </c:pt>
                <c:pt idx="7">
                  <c:v>0.7854</c:v>
                </c:pt>
                <c:pt idx="8">
                  <c:v>0.7854</c:v>
                </c:pt>
                <c:pt idx="9">
                  <c:v>0.7854</c:v>
                </c:pt>
                <c:pt idx="10">
                  <c:v>0.7854</c:v>
                </c:pt>
                <c:pt idx="11">
                  <c:v>0.7854</c:v>
                </c:pt>
                <c:pt idx="12">
                  <c:v>0.7854</c:v>
                </c:pt>
                <c:pt idx="13">
                  <c:v>0.7854</c:v>
                </c:pt>
                <c:pt idx="14">
                  <c:v>0.7854</c:v>
                </c:pt>
                <c:pt idx="15">
                  <c:v>0.7854</c:v>
                </c:pt>
                <c:pt idx="16">
                  <c:v>0.7854</c:v>
                </c:pt>
                <c:pt idx="17">
                  <c:v>0.7854</c:v>
                </c:pt>
                <c:pt idx="18">
                  <c:v>0.7854</c:v>
                </c:pt>
                <c:pt idx="19">
                  <c:v>0.7854</c:v>
                </c:pt>
                <c:pt idx="20">
                  <c:v>0.7854</c:v>
                </c:pt>
                <c:pt idx="21">
                  <c:v>0.7854</c:v>
                </c:pt>
                <c:pt idx="22">
                  <c:v>0.7854</c:v>
                </c:pt>
                <c:pt idx="23">
                  <c:v>0.7854</c:v>
                </c:pt>
                <c:pt idx="24">
                  <c:v>0.7854</c:v>
                </c:pt>
                <c:pt idx="25">
                  <c:v>0.7854</c:v>
                </c:pt>
                <c:pt idx="26">
                  <c:v>0.7854</c:v>
                </c:pt>
                <c:pt idx="27">
                  <c:v>0.7854</c:v>
                </c:pt>
                <c:pt idx="28">
                  <c:v>0.7854</c:v>
                </c:pt>
                <c:pt idx="29">
                  <c:v>0.7854</c:v>
                </c:pt>
                <c:pt idx="30">
                  <c:v>0.7854</c:v>
                </c:pt>
                <c:pt idx="31">
                  <c:v>0.7854</c:v>
                </c:pt>
                <c:pt idx="32">
                  <c:v>0.7854</c:v>
                </c:pt>
                <c:pt idx="33">
                  <c:v>0.7854</c:v>
                </c:pt>
                <c:pt idx="34">
                  <c:v>0.7854</c:v>
                </c:pt>
                <c:pt idx="35">
                  <c:v>0.7854</c:v>
                </c:pt>
                <c:pt idx="36">
                  <c:v>0.7854</c:v>
                </c:pt>
                <c:pt idx="37">
                  <c:v>0.7854</c:v>
                </c:pt>
                <c:pt idx="38">
                  <c:v>0.7854</c:v>
                </c:pt>
                <c:pt idx="39">
                  <c:v>0.7854</c:v>
                </c:pt>
                <c:pt idx="40">
                  <c:v>0.7854</c:v>
                </c:pt>
                <c:pt idx="41">
                  <c:v>0.7854</c:v>
                </c:pt>
                <c:pt idx="42">
                  <c:v>0.7854</c:v>
                </c:pt>
                <c:pt idx="43">
                  <c:v>0.7854</c:v>
                </c:pt>
                <c:pt idx="44">
                  <c:v>0.7854</c:v>
                </c:pt>
                <c:pt idx="45">
                  <c:v>0.7854</c:v>
                </c:pt>
                <c:pt idx="46">
                  <c:v>0.7854</c:v>
                </c:pt>
                <c:pt idx="47">
                  <c:v>0.7854</c:v>
                </c:pt>
                <c:pt idx="48">
                  <c:v>0.7854</c:v>
                </c:pt>
                <c:pt idx="49">
                  <c:v>0.7854</c:v>
                </c:pt>
                <c:pt idx="50">
                  <c:v>0.7854</c:v>
                </c:pt>
                <c:pt idx="51">
                  <c:v>0.7854</c:v>
                </c:pt>
                <c:pt idx="52">
                  <c:v>0.7854</c:v>
                </c:pt>
                <c:pt idx="53">
                  <c:v>0.7854</c:v>
                </c:pt>
                <c:pt idx="54">
                  <c:v>0.7854</c:v>
                </c:pt>
                <c:pt idx="55">
                  <c:v>0.7854</c:v>
                </c:pt>
                <c:pt idx="56">
                  <c:v>0.7854</c:v>
                </c:pt>
                <c:pt idx="57">
                  <c:v>0.7854</c:v>
                </c:pt>
                <c:pt idx="58">
                  <c:v>0.7854</c:v>
                </c:pt>
                <c:pt idx="59">
                  <c:v>0.7854</c:v>
                </c:pt>
                <c:pt idx="60">
                  <c:v>0.7854</c:v>
                </c:pt>
                <c:pt idx="61">
                  <c:v>0.7854</c:v>
                </c:pt>
                <c:pt idx="62">
                  <c:v>0.7854</c:v>
                </c:pt>
                <c:pt idx="63">
                  <c:v>0.7854</c:v>
                </c:pt>
                <c:pt idx="64">
                  <c:v>0.7854</c:v>
                </c:pt>
                <c:pt idx="65">
                  <c:v>0.7854</c:v>
                </c:pt>
                <c:pt idx="66">
                  <c:v>0.7854</c:v>
                </c:pt>
                <c:pt idx="67">
                  <c:v>0.7854</c:v>
                </c:pt>
                <c:pt idx="68">
                  <c:v>0.7854</c:v>
                </c:pt>
                <c:pt idx="69">
                  <c:v>0.7854</c:v>
                </c:pt>
                <c:pt idx="70">
                  <c:v>0.7854</c:v>
                </c:pt>
                <c:pt idx="71">
                  <c:v>0.7854</c:v>
                </c:pt>
                <c:pt idx="72">
                  <c:v>0.7854</c:v>
                </c:pt>
                <c:pt idx="73">
                  <c:v>0.7854</c:v>
                </c:pt>
                <c:pt idx="74">
                  <c:v>0.7854</c:v>
                </c:pt>
                <c:pt idx="75">
                  <c:v>0.7854</c:v>
                </c:pt>
                <c:pt idx="76">
                  <c:v>0.7854</c:v>
                </c:pt>
                <c:pt idx="77">
                  <c:v>0.7854</c:v>
                </c:pt>
                <c:pt idx="78">
                  <c:v>0.7854</c:v>
                </c:pt>
                <c:pt idx="79">
                  <c:v>0.7854</c:v>
                </c:pt>
                <c:pt idx="80">
                  <c:v>0.7854</c:v>
                </c:pt>
                <c:pt idx="81">
                  <c:v>0.7854</c:v>
                </c:pt>
                <c:pt idx="82">
                  <c:v>0.7854</c:v>
                </c:pt>
                <c:pt idx="83">
                  <c:v>0.7854</c:v>
                </c:pt>
                <c:pt idx="84">
                  <c:v>0.7854</c:v>
                </c:pt>
                <c:pt idx="85">
                  <c:v>0.7854</c:v>
                </c:pt>
                <c:pt idx="86">
                  <c:v>0.7854</c:v>
                </c:pt>
                <c:pt idx="87">
                  <c:v>0.7854</c:v>
                </c:pt>
                <c:pt idx="88">
                  <c:v>0.7854</c:v>
                </c:pt>
                <c:pt idx="89">
                  <c:v>0.7854</c:v>
                </c:pt>
                <c:pt idx="90">
                  <c:v>0.7854</c:v>
                </c:pt>
                <c:pt idx="91">
                  <c:v>0.7854</c:v>
                </c:pt>
                <c:pt idx="92">
                  <c:v>0.7854</c:v>
                </c:pt>
                <c:pt idx="93">
                  <c:v>0.7854</c:v>
                </c:pt>
                <c:pt idx="94">
                  <c:v>0.7854</c:v>
                </c:pt>
                <c:pt idx="95">
                  <c:v>0.7854</c:v>
                </c:pt>
                <c:pt idx="96">
                  <c:v>0.7854</c:v>
                </c:pt>
                <c:pt idx="97">
                  <c:v>0.7854</c:v>
                </c:pt>
                <c:pt idx="98">
                  <c:v>0.7854</c:v>
                </c:pt>
                <c:pt idx="99">
                  <c:v>0.7854</c:v>
                </c:pt>
                <c:pt idx="100">
                  <c:v>0.7854</c:v>
                </c:pt>
                <c:pt idx="103">
                  <c:v>100</c:v>
                </c:pt>
                <c:pt idx="104">
                  <c:v>40.8677379719986</c:v>
                </c:pt>
                <c:pt idx="105">
                  <c:v>16.7017200694793</c:v>
                </c:pt>
                <c:pt idx="106">
                  <c:v>6.82561519481152</c:v>
                </c:pt>
                <c:pt idx="107">
                  <c:v>2.78947453279249</c:v>
                </c:pt>
                <c:pt idx="108">
                  <c:v>2.3562</c:v>
                </c:pt>
                <c:pt idx="109">
                  <c:v>2.3562</c:v>
                </c:pt>
                <c:pt idx="110">
                  <c:v>2.3562</c:v>
                </c:pt>
                <c:pt idx="111">
                  <c:v>2.3562</c:v>
                </c:pt>
                <c:pt idx="112">
                  <c:v>2.3562</c:v>
                </c:pt>
                <c:pt idx="113">
                  <c:v>2.3562</c:v>
                </c:pt>
                <c:pt idx="114">
                  <c:v>2.3562</c:v>
                </c:pt>
                <c:pt idx="115">
                  <c:v>2.3562</c:v>
                </c:pt>
                <c:pt idx="116">
                  <c:v>2.3562</c:v>
                </c:pt>
                <c:pt idx="117">
                  <c:v>2.3562</c:v>
                </c:pt>
                <c:pt idx="118">
                  <c:v>2.3562</c:v>
                </c:pt>
                <c:pt idx="119">
                  <c:v>2.3562</c:v>
                </c:pt>
                <c:pt idx="120">
                  <c:v>2.3562</c:v>
                </c:pt>
                <c:pt idx="121">
                  <c:v>2.3562</c:v>
                </c:pt>
                <c:pt idx="122">
                  <c:v>2.3562</c:v>
                </c:pt>
                <c:pt idx="123">
                  <c:v>2.3562</c:v>
                </c:pt>
                <c:pt idx="124">
                  <c:v>2.3562</c:v>
                </c:pt>
                <c:pt idx="125">
                  <c:v>2.3562</c:v>
                </c:pt>
                <c:pt idx="126">
                  <c:v>2.3562</c:v>
                </c:pt>
                <c:pt idx="127">
                  <c:v>2.3562</c:v>
                </c:pt>
                <c:pt idx="128">
                  <c:v>2.3562</c:v>
                </c:pt>
                <c:pt idx="129">
                  <c:v>2.3562</c:v>
                </c:pt>
                <c:pt idx="130">
                  <c:v>2.3562</c:v>
                </c:pt>
                <c:pt idx="131">
                  <c:v>2.3562</c:v>
                </c:pt>
                <c:pt idx="132">
                  <c:v>2.3562</c:v>
                </c:pt>
                <c:pt idx="133">
                  <c:v>2.3562</c:v>
                </c:pt>
                <c:pt idx="134">
                  <c:v>2.3562</c:v>
                </c:pt>
                <c:pt idx="135">
                  <c:v>2.3562</c:v>
                </c:pt>
                <c:pt idx="136">
                  <c:v>2.3562</c:v>
                </c:pt>
                <c:pt idx="137">
                  <c:v>2.3562</c:v>
                </c:pt>
                <c:pt idx="138">
                  <c:v>2.3562</c:v>
                </c:pt>
                <c:pt idx="139">
                  <c:v>2.3562</c:v>
                </c:pt>
                <c:pt idx="140">
                  <c:v>2.3562</c:v>
                </c:pt>
                <c:pt idx="141">
                  <c:v>2.3562</c:v>
                </c:pt>
                <c:pt idx="142">
                  <c:v>2.3562</c:v>
                </c:pt>
                <c:pt idx="143">
                  <c:v>2.3562</c:v>
                </c:pt>
                <c:pt idx="144">
                  <c:v>2.3562</c:v>
                </c:pt>
                <c:pt idx="145">
                  <c:v>2.3562</c:v>
                </c:pt>
                <c:pt idx="146">
                  <c:v>2.3562</c:v>
                </c:pt>
                <c:pt idx="147">
                  <c:v>2.3562</c:v>
                </c:pt>
                <c:pt idx="148">
                  <c:v>2.3562</c:v>
                </c:pt>
                <c:pt idx="149">
                  <c:v>2.3562</c:v>
                </c:pt>
                <c:pt idx="150">
                  <c:v>2.3562</c:v>
                </c:pt>
                <c:pt idx="151">
                  <c:v>2.3562</c:v>
                </c:pt>
                <c:pt idx="152">
                  <c:v>2.3562</c:v>
                </c:pt>
                <c:pt idx="153">
                  <c:v>2.3562</c:v>
                </c:pt>
                <c:pt idx="154">
                  <c:v>2.3562</c:v>
                </c:pt>
                <c:pt idx="155">
                  <c:v>2.3562</c:v>
                </c:pt>
                <c:pt idx="156">
                  <c:v>2.3562</c:v>
                </c:pt>
                <c:pt idx="157">
                  <c:v>2.3562</c:v>
                </c:pt>
                <c:pt idx="158">
                  <c:v>2.3562</c:v>
                </c:pt>
                <c:pt idx="159">
                  <c:v>2.3562</c:v>
                </c:pt>
                <c:pt idx="160">
                  <c:v>2.3562</c:v>
                </c:pt>
                <c:pt idx="161">
                  <c:v>2.3562</c:v>
                </c:pt>
                <c:pt idx="162">
                  <c:v>2.3562</c:v>
                </c:pt>
                <c:pt idx="163">
                  <c:v>2.3562</c:v>
                </c:pt>
                <c:pt idx="164">
                  <c:v>2.3562</c:v>
                </c:pt>
                <c:pt idx="165">
                  <c:v>2.3562</c:v>
                </c:pt>
                <c:pt idx="166">
                  <c:v>2.3562</c:v>
                </c:pt>
                <c:pt idx="167">
                  <c:v>2.3562</c:v>
                </c:pt>
                <c:pt idx="168">
                  <c:v>2.3562</c:v>
                </c:pt>
                <c:pt idx="169">
                  <c:v>2.3562</c:v>
                </c:pt>
                <c:pt idx="170">
                  <c:v>2.3562</c:v>
                </c:pt>
                <c:pt idx="171">
                  <c:v>2.3562</c:v>
                </c:pt>
                <c:pt idx="172">
                  <c:v>2.3562</c:v>
                </c:pt>
                <c:pt idx="173">
                  <c:v>2.3562</c:v>
                </c:pt>
                <c:pt idx="174">
                  <c:v>2.3562</c:v>
                </c:pt>
                <c:pt idx="175">
                  <c:v>2.3562</c:v>
                </c:pt>
                <c:pt idx="176">
                  <c:v>2.3562</c:v>
                </c:pt>
                <c:pt idx="177">
                  <c:v>2.3562</c:v>
                </c:pt>
                <c:pt idx="178">
                  <c:v>2.3562</c:v>
                </c:pt>
                <c:pt idx="179">
                  <c:v>2.3562</c:v>
                </c:pt>
                <c:pt idx="180">
                  <c:v>2.3562</c:v>
                </c:pt>
                <c:pt idx="181">
                  <c:v>2.3562</c:v>
                </c:pt>
                <c:pt idx="182">
                  <c:v>2.3562</c:v>
                </c:pt>
                <c:pt idx="183">
                  <c:v>2.3562</c:v>
                </c:pt>
                <c:pt idx="184">
                  <c:v>2.3562</c:v>
                </c:pt>
                <c:pt idx="185">
                  <c:v>2.3562</c:v>
                </c:pt>
                <c:pt idx="186">
                  <c:v>2.3562</c:v>
                </c:pt>
                <c:pt idx="187">
                  <c:v>2.3562</c:v>
                </c:pt>
                <c:pt idx="188">
                  <c:v>2.3562</c:v>
                </c:pt>
                <c:pt idx="189">
                  <c:v>2.3562</c:v>
                </c:pt>
                <c:pt idx="190">
                  <c:v>2.3562</c:v>
                </c:pt>
                <c:pt idx="191">
                  <c:v>2.3562</c:v>
                </c:pt>
                <c:pt idx="192">
                  <c:v>2.3562</c:v>
                </c:pt>
                <c:pt idx="193">
                  <c:v>2.3562</c:v>
                </c:pt>
                <c:pt idx="194">
                  <c:v>2.3562</c:v>
                </c:pt>
                <c:pt idx="195">
                  <c:v>2.3562</c:v>
                </c:pt>
                <c:pt idx="196">
                  <c:v>2.3562</c:v>
                </c:pt>
                <c:pt idx="197">
                  <c:v>2.3562</c:v>
                </c:pt>
                <c:pt idx="198">
                  <c:v>2.3562</c:v>
                </c:pt>
                <c:pt idx="199">
                  <c:v>2.3562</c:v>
                </c:pt>
                <c:pt idx="200">
                  <c:v>2.3562</c:v>
                </c:pt>
                <c:pt idx="201">
                  <c:v>2.3562</c:v>
                </c:pt>
                <c:pt idx="202">
                  <c:v>2.3562</c:v>
                </c:pt>
              </c:numCache>
            </c:numRef>
          </c:xVal>
          <c:yVal>
            <c:numRef>
              <c:f>'Fractal map'!$A$8:$A$263</c:f>
              <c:numCache>
                <c:formatCode>General</c:formatCode>
                <c:ptCount val="256"/>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4"/>
          <c:order val="4"/>
          <c:tx>
            <c:strRef>
              <c:f>'Fractal map'!$B$2</c:f>
              <c:strCache>
                <c:ptCount val="1"/>
                <c:pt idx="0">
                  <c:v>Surface, m2</c:v>
                </c:pt>
              </c:strCache>
            </c:strRef>
          </c:tx>
          <c:spPr>
            <a:solidFill>
              <a:srgbClr val="00b050"/>
            </a:solidFill>
            <a:ln cap="rnd" w="19080">
              <a:solidFill>
                <a:srgbClr val="00b050"/>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map'!$B$8:$B$211</c:f>
              <c:numCache>
                <c:formatCode>General</c:formatCode>
                <c:ptCount val="204"/>
                <c:pt idx="0">
                  <c:v>0.0490875</c:v>
                </c:pt>
                <c:pt idx="1">
                  <c:v>0.0264121852105224</c:v>
                </c:pt>
                <c:pt idx="2">
                  <c:v>0.0142064268787472</c:v>
                </c:pt>
                <c:pt idx="3">
                  <c:v>0.00763847373408884</c:v>
                </c:pt>
                <c:pt idx="4">
                  <c:v>0.0041054736537466</c:v>
                </c:pt>
                <c:pt idx="5">
                  <c:v>0.00356540495049505</c:v>
                </c:pt>
                <c:pt idx="6">
                  <c:v>0.00349308594059406</c:v>
                </c:pt>
                <c:pt idx="7">
                  <c:v>0.00342076693069307</c:v>
                </c:pt>
                <c:pt idx="8">
                  <c:v>0.00334844792079208</c:v>
                </c:pt>
                <c:pt idx="9">
                  <c:v>0.00327612891089109</c:v>
                </c:pt>
                <c:pt idx="10">
                  <c:v>0.0032038099009901</c:v>
                </c:pt>
                <c:pt idx="11">
                  <c:v>0.00313149089108911</c:v>
                </c:pt>
                <c:pt idx="12">
                  <c:v>0.00305917188118812</c:v>
                </c:pt>
                <c:pt idx="13">
                  <c:v>0.00298685287128713</c:v>
                </c:pt>
                <c:pt idx="14">
                  <c:v>0.00291453386138614</c:v>
                </c:pt>
                <c:pt idx="15">
                  <c:v>0.00284221485148515</c:v>
                </c:pt>
                <c:pt idx="16">
                  <c:v>0.00276989584158416</c:v>
                </c:pt>
                <c:pt idx="17">
                  <c:v>0.00269757683168317</c:v>
                </c:pt>
                <c:pt idx="18">
                  <c:v>0.00262525782178218</c:v>
                </c:pt>
                <c:pt idx="19">
                  <c:v>0.00255293881188119</c:v>
                </c:pt>
                <c:pt idx="20">
                  <c:v>0.0024806198019802</c:v>
                </c:pt>
                <c:pt idx="21">
                  <c:v>0.00240830079207921</c:v>
                </c:pt>
                <c:pt idx="22">
                  <c:v>0.00233598178217822</c:v>
                </c:pt>
                <c:pt idx="23">
                  <c:v>0.00226366277227723</c:v>
                </c:pt>
                <c:pt idx="24">
                  <c:v>0.00219134376237624</c:v>
                </c:pt>
                <c:pt idx="25">
                  <c:v>0.00211902475247525</c:v>
                </c:pt>
                <c:pt idx="26">
                  <c:v>0.00204670574257426</c:v>
                </c:pt>
                <c:pt idx="27">
                  <c:v>0.00197438673267327</c:v>
                </c:pt>
                <c:pt idx="28">
                  <c:v>0.00190206772277228</c:v>
                </c:pt>
                <c:pt idx="29">
                  <c:v>0.00182974871287129</c:v>
                </c:pt>
                <c:pt idx="30">
                  <c:v>0.0017574297029703</c:v>
                </c:pt>
                <c:pt idx="31">
                  <c:v>0.00168511069306931</c:v>
                </c:pt>
                <c:pt idx="32">
                  <c:v>0.00161279168316832</c:v>
                </c:pt>
                <c:pt idx="33">
                  <c:v>0.00154047267326733</c:v>
                </c:pt>
                <c:pt idx="34">
                  <c:v>0.00146815366336634</c:v>
                </c:pt>
                <c:pt idx="35">
                  <c:v>0.00139583465346535</c:v>
                </c:pt>
                <c:pt idx="36">
                  <c:v>0.00132351564356436</c:v>
                </c:pt>
                <c:pt idx="37">
                  <c:v>0.00125119663366337</c:v>
                </c:pt>
                <c:pt idx="38">
                  <c:v>0.00117887762376238</c:v>
                </c:pt>
                <c:pt idx="39">
                  <c:v>0.00110655861386139</c:v>
                </c:pt>
                <c:pt idx="40">
                  <c:v>0.0010342396039604</c:v>
                </c:pt>
                <c:pt idx="41">
                  <c:v>0.000961920594059406</c:v>
                </c:pt>
                <c:pt idx="42">
                  <c:v>0.000889601584158416</c:v>
                </c:pt>
                <c:pt idx="43">
                  <c:v>0.000817282574257426</c:v>
                </c:pt>
                <c:pt idx="44">
                  <c:v>0.000744963564356436</c:v>
                </c:pt>
                <c:pt idx="45">
                  <c:v>0.000672644554455446</c:v>
                </c:pt>
                <c:pt idx="46">
                  <c:v>0.000600325544554455</c:v>
                </c:pt>
                <c:pt idx="47">
                  <c:v>0.000528006534653465</c:v>
                </c:pt>
                <c:pt idx="48">
                  <c:v>0.000455687524752476</c:v>
                </c:pt>
                <c:pt idx="49">
                  <c:v>0.000383368514851485</c:v>
                </c:pt>
                <c:pt idx="50">
                  <c:v>0.000311049504950495</c:v>
                </c:pt>
                <c:pt idx="51">
                  <c:v>0.000238730495049505</c:v>
                </c:pt>
                <c:pt idx="52">
                  <c:v>0.000166411485148515</c:v>
                </c:pt>
                <c:pt idx="53">
                  <c:v>9.40924752475248E-005</c:v>
                </c:pt>
                <c:pt idx="54">
                  <c:v>2.17734653465347E-005</c:v>
                </c:pt>
                <c:pt idx="55">
                  <c:v>-5.05455445544555E-005</c:v>
                </c:pt>
                <c:pt idx="56">
                  <c:v>-0.000122864554455446</c:v>
                </c:pt>
                <c:pt idx="57">
                  <c:v>-0.000195183564356436</c:v>
                </c:pt>
                <c:pt idx="58">
                  <c:v>-0.000267502574257425</c:v>
                </c:pt>
                <c:pt idx="59">
                  <c:v>-0.000339821584158415</c:v>
                </c:pt>
                <c:pt idx="60">
                  <c:v>-0.000412140594059405</c:v>
                </c:pt>
                <c:pt idx="61">
                  <c:v>-0.000484459603960396</c:v>
                </c:pt>
                <c:pt idx="62">
                  <c:v>-0.000556778613861386</c:v>
                </c:pt>
                <c:pt idx="63">
                  <c:v>-0.000629097623762376</c:v>
                </c:pt>
                <c:pt idx="64">
                  <c:v>-0.000701416633663366</c:v>
                </c:pt>
                <c:pt idx="65">
                  <c:v>-0.000773735643564356</c:v>
                </c:pt>
                <c:pt idx="66">
                  <c:v>-0.000846054653465346</c:v>
                </c:pt>
                <c:pt idx="67">
                  <c:v>-0.000918373663366336</c:v>
                </c:pt>
                <c:pt idx="68">
                  <c:v>-0.000990692673267326</c:v>
                </c:pt>
                <c:pt idx="69">
                  <c:v>-0.00106301168316832</c:v>
                </c:pt>
                <c:pt idx="70">
                  <c:v>-0.00113533069306931</c:v>
                </c:pt>
                <c:pt idx="71">
                  <c:v>-0.0012076497029703</c:v>
                </c:pt>
                <c:pt idx="72">
                  <c:v>-0.00127996871287129</c:v>
                </c:pt>
                <c:pt idx="73">
                  <c:v>-0.00135228772277228</c:v>
                </c:pt>
                <c:pt idx="74">
                  <c:v>-0.00142460673267327</c:v>
                </c:pt>
                <c:pt idx="75">
                  <c:v>-0.00149692574257426</c:v>
                </c:pt>
                <c:pt idx="76">
                  <c:v>-0.00156924475247525</c:v>
                </c:pt>
                <c:pt idx="77">
                  <c:v>-0.00164156376237624</c:v>
                </c:pt>
                <c:pt idx="78">
                  <c:v>-0.00171388277227723</c:v>
                </c:pt>
                <c:pt idx="79">
                  <c:v>-0.00178620178217822</c:v>
                </c:pt>
                <c:pt idx="80">
                  <c:v>-0.00185852079207921</c:v>
                </c:pt>
                <c:pt idx="81">
                  <c:v>-0.0019308398019802</c:v>
                </c:pt>
                <c:pt idx="82">
                  <c:v>-0.00200315881188119</c:v>
                </c:pt>
                <c:pt idx="83">
                  <c:v>-0.00207547782178218</c:v>
                </c:pt>
                <c:pt idx="84">
                  <c:v>-0.00214779683168317</c:v>
                </c:pt>
                <c:pt idx="85">
                  <c:v>-0.00222011584158416</c:v>
                </c:pt>
                <c:pt idx="86">
                  <c:v>-0.00229243485148515</c:v>
                </c:pt>
                <c:pt idx="87">
                  <c:v>-0.00236475386138614</c:v>
                </c:pt>
                <c:pt idx="88">
                  <c:v>-0.00243707287128713</c:v>
                </c:pt>
                <c:pt idx="89">
                  <c:v>-0.00250939188118812</c:v>
                </c:pt>
                <c:pt idx="90">
                  <c:v>-0.00258171089108911</c:v>
                </c:pt>
                <c:pt idx="91">
                  <c:v>-0.0026540299009901</c:v>
                </c:pt>
                <c:pt idx="92">
                  <c:v>-0.00272634891089109</c:v>
                </c:pt>
                <c:pt idx="93">
                  <c:v>-0.00279866792079208</c:v>
                </c:pt>
                <c:pt idx="94">
                  <c:v>-0.00287098693069307</c:v>
                </c:pt>
                <c:pt idx="95">
                  <c:v>-0.00294330594059406</c:v>
                </c:pt>
                <c:pt idx="96">
                  <c:v>-0.00301562495049505</c:v>
                </c:pt>
                <c:pt idx="97">
                  <c:v>-0.00308794396039604</c:v>
                </c:pt>
                <c:pt idx="98">
                  <c:v>-0.00316026297029703</c:v>
                </c:pt>
                <c:pt idx="99">
                  <c:v>-0.00323258198019802</c:v>
                </c:pt>
                <c:pt idx="100">
                  <c:v>-0.00323258198019802</c:v>
                </c:pt>
                <c:pt idx="103">
                  <c:v>1.5</c:v>
                </c:pt>
                <c:pt idx="104">
                  <c:v>0.347636683782009</c:v>
                </c:pt>
                <c:pt idx="105">
                  <c:v>0.0805423639602709</c:v>
                </c:pt>
                <c:pt idx="106">
                  <c:v>0.0186544590563353</c:v>
                </c:pt>
                <c:pt idx="107">
                  <c:v>0.00431911997296026</c:v>
                </c:pt>
                <c:pt idx="108">
                  <c:v>0.00322752742574258</c:v>
                </c:pt>
                <c:pt idx="109">
                  <c:v>0.00316617291089109</c:v>
                </c:pt>
                <c:pt idx="110">
                  <c:v>0.0031048183960396</c:v>
                </c:pt>
                <c:pt idx="111">
                  <c:v>0.00304346388118812</c:v>
                </c:pt>
                <c:pt idx="112">
                  <c:v>0.00298210936633663</c:v>
                </c:pt>
                <c:pt idx="113">
                  <c:v>0.00292075485148515</c:v>
                </c:pt>
                <c:pt idx="114">
                  <c:v>0.00285940033663366</c:v>
                </c:pt>
                <c:pt idx="115">
                  <c:v>0.00279804582178218</c:v>
                </c:pt>
                <c:pt idx="116">
                  <c:v>0.00273669130693069</c:v>
                </c:pt>
                <c:pt idx="117">
                  <c:v>0.00267533679207921</c:v>
                </c:pt>
                <c:pt idx="118">
                  <c:v>0.00261398227722772</c:v>
                </c:pt>
                <c:pt idx="119">
                  <c:v>0.00255262776237624</c:v>
                </c:pt>
                <c:pt idx="120">
                  <c:v>0.00249127324752475</c:v>
                </c:pt>
                <c:pt idx="121">
                  <c:v>0.00242991873267327</c:v>
                </c:pt>
                <c:pt idx="122">
                  <c:v>0.00236856421782178</c:v>
                </c:pt>
                <c:pt idx="123">
                  <c:v>0.0023072097029703</c:v>
                </c:pt>
                <c:pt idx="124">
                  <c:v>0.00224585518811881</c:v>
                </c:pt>
                <c:pt idx="125">
                  <c:v>0.00218450067326733</c:v>
                </c:pt>
                <c:pt idx="126">
                  <c:v>0.00212314615841584</c:v>
                </c:pt>
                <c:pt idx="127">
                  <c:v>0.00206179164356436</c:v>
                </c:pt>
                <c:pt idx="128">
                  <c:v>0.00200043712871287</c:v>
                </c:pt>
                <c:pt idx="129">
                  <c:v>0.00193908261386139</c:v>
                </c:pt>
                <c:pt idx="130">
                  <c:v>0.0018777280990099</c:v>
                </c:pt>
                <c:pt idx="131">
                  <c:v>0.00181637358415842</c:v>
                </c:pt>
                <c:pt idx="132">
                  <c:v>0.00175501906930693</c:v>
                </c:pt>
                <c:pt idx="133">
                  <c:v>0.00169366455445545</c:v>
                </c:pt>
                <c:pt idx="134">
                  <c:v>0.00163231003960396</c:v>
                </c:pt>
                <c:pt idx="135">
                  <c:v>0.00157095552475248</c:v>
                </c:pt>
                <c:pt idx="136">
                  <c:v>0.00150960100990099</c:v>
                </c:pt>
                <c:pt idx="137">
                  <c:v>0.00144824649504951</c:v>
                </c:pt>
                <c:pt idx="138">
                  <c:v>0.00138689198019802</c:v>
                </c:pt>
                <c:pt idx="139">
                  <c:v>0.00132553746534654</c:v>
                </c:pt>
                <c:pt idx="140">
                  <c:v>0.00126418295049505</c:v>
                </c:pt>
                <c:pt idx="141">
                  <c:v>0.00120282843564356</c:v>
                </c:pt>
                <c:pt idx="142">
                  <c:v>0.00114147392079208</c:v>
                </c:pt>
                <c:pt idx="143">
                  <c:v>0.00108011940594059</c:v>
                </c:pt>
                <c:pt idx="144">
                  <c:v>0.00101876489108911</c:v>
                </c:pt>
                <c:pt idx="145">
                  <c:v>0.000957410376237624</c:v>
                </c:pt>
                <c:pt idx="146">
                  <c:v>0.000896055861386139</c:v>
                </c:pt>
                <c:pt idx="147">
                  <c:v>0.000834701346534654</c:v>
                </c:pt>
                <c:pt idx="148">
                  <c:v>0.000773346831683169</c:v>
                </c:pt>
                <c:pt idx="149">
                  <c:v>0.000711992316831684</c:v>
                </c:pt>
                <c:pt idx="150">
                  <c:v>0.000650637801980198</c:v>
                </c:pt>
                <c:pt idx="151">
                  <c:v>0.000589283287128713</c:v>
                </c:pt>
                <c:pt idx="152">
                  <c:v>0.000527928772277228</c:v>
                </c:pt>
                <c:pt idx="153">
                  <c:v>0.000466574257425743</c:v>
                </c:pt>
                <c:pt idx="154">
                  <c:v>0.000405219742574258</c:v>
                </c:pt>
                <c:pt idx="155">
                  <c:v>0.000343865227722773</c:v>
                </c:pt>
                <c:pt idx="156">
                  <c:v>0.000282510712871287</c:v>
                </c:pt>
                <c:pt idx="157">
                  <c:v>0.000221156198019802</c:v>
                </c:pt>
                <c:pt idx="158">
                  <c:v>0.000159801683168317</c:v>
                </c:pt>
                <c:pt idx="159">
                  <c:v>9.84471683168318E-005</c:v>
                </c:pt>
                <c:pt idx="160">
                  <c:v>3.70926534653466E-005</c:v>
                </c:pt>
                <c:pt idx="161">
                  <c:v>-2.42618613861386E-005</c:v>
                </c:pt>
                <c:pt idx="162">
                  <c:v>-8.56163762376232E-005</c:v>
                </c:pt>
                <c:pt idx="163">
                  <c:v>-0.000146970891089108</c:v>
                </c:pt>
                <c:pt idx="164">
                  <c:v>-0.000208325405940594</c:v>
                </c:pt>
                <c:pt idx="165">
                  <c:v>-0.000269679920792079</c:v>
                </c:pt>
                <c:pt idx="166">
                  <c:v>-0.000331034435643564</c:v>
                </c:pt>
                <c:pt idx="167">
                  <c:v>-0.000392388950495049</c:v>
                </c:pt>
                <c:pt idx="168">
                  <c:v>-0.000453743465346534</c:v>
                </c:pt>
                <c:pt idx="169">
                  <c:v>-0.00051509798019802</c:v>
                </c:pt>
                <c:pt idx="170">
                  <c:v>-0.000576452495049505</c:v>
                </c:pt>
                <c:pt idx="171">
                  <c:v>-0.00063780700990099</c:v>
                </c:pt>
                <c:pt idx="172">
                  <c:v>-0.000699161524752475</c:v>
                </c:pt>
                <c:pt idx="173">
                  <c:v>-0.00076051603960396</c:v>
                </c:pt>
                <c:pt idx="174">
                  <c:v>-0.000821870554455445</c:v>
                </c:pt>
                <c:pt idx="175">
                  <c:v>-0.00088322506930693</c:v>
                </c:pt>
                <c:pt idx="176">
                  <c:v>-0.000944579584158415</c:v>
                </c:pt>
                <c:pt idx="177">
                  <c:v>-0.0010059340990099</c:v>
                </c:pt>
                <c:pt idx="178">
                  <c:v>-0.00106728861386139</c:v>
                </c:pt>
                <c:pt idx="179">
                  <c:v>-0.00112864312871287</c:v>
                </c:pt>
                <c:pt idx="180">
                  <c:v>-0.00118999764356436</c:v>
                </c:pt>
                <c:pt idx="181">
                  <c:v>-0.00125135215841584</c:v>
                </c:pt>
                <c:pt idx="182">
                  <c:v>-0.00131270667326733</c:v>
                </c:pt>
                <c:pt idx="183">
                  <c:v>-0.00137406118811881</c:v>
                </c:pt>
                <c:pt idx="184">
                  <c:v>-0.0014354157029703</c:v>
                </c:pt>
                <c:pt idx="185">
                  <c:v>-0.00149677021782178</c:v>
                </c:pt>
                <c:pt idx="186">
                  <c:v>-0.00155812473267327</c:v>
                </c:pt>
                <c:pt idx="187">
                  <c:v>-0.00161947924752475</c:v>
                </c:pt>
                <c:pt idx="188">
                  <c:v>-0.00168083376237624</c:v>
                </c:pt>
                <c:pt idx="189">
                  <c:v>-0.00174218827722772</c:v>
                </c:pt>
                <c:pt idx="190">
                  <c:v>-0.00180354279207921</c:v>
                </c:pt>
                <c:pt idx="191">
                  <c:v>-0.00186489730693069</c:v>
                </c:pt>
                <c:pt idx="192">
                  <c:v>-0.00192625182178218</c:v>
                </c:pt>
                <c:pt idx="193">
                  <c:v>-0.00198760633663366</c:v>
                </c:pt>
                <c:pt idx="194">
                  <c:v>-0.00204896085148515</c:v>
                </c:pt>
                <c:pt idx="195">
                  <c:v>-0.00211031536633663</c:v>
                </c:pt>
                <c:pt idx="196">
                  <c:v>-0.00217166988118812</c:v>
                </c:pt>
                <c:pt idx="197">
                  <c:v>-0.0022330243960396</c:v>
                </c:pt>
                <c:pt idx="198">
                  <c:v>-0.00229437891089109</c:v>
                </c:pt>
                <c:pt idx="199">
                  <c:v>-0.00235573342574257</c:v>
                </c:pt>
                <c:pt idx="200">
                  <c:v>-0.00241708794059406</c:v>
                </c:pt>
                <c:pt idx="201">
                  <c:v>-0.00247844245544554</c:v>
                </c:pt>
                <c:pt idx="202">
                  <c:v>-0.00253979697029703</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5"/>
          <c:order val="5"/>
          <c:tx>
            <c:strRef>
              <c:f>'sureau_ini.txt'!$A$1</c:f>
              <c:strCache>
                <c:ptCount val="1"/>
                <c:pt idx="0">
                  <c:v>SUREAU</c:v>
                </c:pt>
              </c:strCache>
            </c:strRef>
          </c:tx>
          <c:spPr>
            <a:solidFill>
              <a:srgbClr val="00b050"/>
            </a:solidFill>
            <a:ln w="28440">
              <a:solidFill>
                <a:srgbClr val="00b050"/>
              </a:solidFill>
              <a:prstDash val="sysDash"/>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map'!$B$3:$B$5</c:f>
              <c:numCache>
                <c:formatCode>General</c:formatCode>
                <c:ptCount val="3"/>
                <c:pt idx="0">
                  <c:v>0.5</c:v>
                </c:pt>
                <c:pt idx="1">
                  <c:v>0.0490875</c:v>
                </c:pt>
              </c:numCache>
            </c:numRef>
          </c:xVal>
          <c:yVal>
            <c:numRef>
              <c:f>'Fractal map'!$A$3:$A$5</c:f>
              <c:numCache>
                <c:formatCode>General</c:formatCode>
                <c:ptCount val="3"/>
                <c:pt idx="0">
                  <c:v>1</c:v>
                </c:pt>
                <c:pt idx="1">
                  <c:v>1</c:v>
                </c:pt>
              </c:numCache>
            </c:numRef>
          </c:yVal>
          <c:smooth val="0"/>
        </c:ser>
        <c:ser>
          <c:idx val="6"/>
          <c:order val="6"/>
          <c:tx>
            <c:strRef>
              <c:f>'Fractal map'!$J$2</c:f>
              <c:strCache>
                <c:ptCount val="1"/>
                <c:pt idx="0">
                  <c:v>Volume Cum, m3</c:v>
                </c:pt>
              </c:strCache>
            </c:strRef>
          </c:tx>
          <c:spPr>
            <a:solidFill>
              <a:srgbClr val="8ea5ca"/>
            </a:solidFill>
            <a:ln w="28440">
              <a:solidFill>
                <a:srgbClr val="8ea5ca"/>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map'!$J$8:$J$211</c:f>
              <c:numCache>
                <c:formatCode>General</c:formatCode>
                <c:ptCount val="204"/>
                <c:pt idx="0">
                  <c:v>6.1359375E-005</c:v>
                </c:pt>
                <c:pt idx="1">
                  <c:v>0.0001002968327023</c:v>
                </c:pt>
                <c:pt idx="2">
                  <c:v>0.000124997083544957</c:v>
                </c:pt>
                <c:pt idx="3">
                  <c:v>0.00014066013368558</c:v>
                </c:pt>
                <c:pt idx="4">
                  <c:v>0.000150588693653596</c:v>
                </c:pt>
                <c:pt idx="5">
                  <c:v>0.000159502206029834</c:v>
                </c:pt>
                <c:pt idx="6">
                  <c:v>0.000168234920881319</c:v>
                </c:pt>
                <c:pt idx="7">
                  <c:v>0.000176786838208051</c:v>
                </c:pt>
                <c:pt idx="8">
                  <c:v>0.000185157958010032</c:v>
                </c:pt>
                <c:pt idx="9">
                  <c:v>0.000193348280287259</c:v>
                </c:pt>
                <c:pt idx="10">
                  <c:v>0.000201357805039735</c:v>
                </c:pt>
                <c:pt idx="11">
                  <c:v>0.000209186532267457</c:v>
                </c:pt>
                <c:pt idx="12">
                  <c:v>0.000216834461970428</c:v>
                </c:pt>
                <c:pt idx="13">
                  <c:v>0.000224301594148645</c:v>
                </c:pt>
                <c:pt idx="14">
                  <c:v>0.000231587928802111</c:v>
                </c:pt>
                <c:pt idx="15">
                  <c:v>0.000238693465930824</c:v>
                </c:pt>
                <c:pt idx="16">
                  <c:v>0.000245618205534784</c:v>
                </c:pt>
                <c:pt idx="17">
                  <c:v>0.000252362147613992</c:v>
                </c:pt>
                <c:pt idx="18">
                  <c:v>0.000258925292168447</c:v>
                </c:pt>
                <c:pt idx="19">
                  <c:v>0.00026530763919815</c:v>
                </c:pt>
                <c:pt idx="20">
                  <c:v>0.000271509188703101</c:v>
                </c:pt>
                <c:pt idx="21">
                  <c:v>0.000277529940683299</c:v>
                </c:pt>
                <c:pt idx="22">
                  <c:v>0.000283369895138744</c:v>
                </c:pt>
                <c:pt idx="23">
                  <c:v>0.000289029052069437</c:v>
                </c:pt>
                <c:pt idx="24">
                  <c:v>0.000294507411475378</c:v>
                </c:pt>
                <c:pt idx="25">
                  <c:v>0.000299804973356566</c:v>
                </c:pt>
                <c:pt idx="26">
                  <c:v>0.000304921737713002</c:v>
                </c:pt>
                <c:pt idx="27">
                  <c:v>0.000309857704544685</c:v>
                </c:pt>
                <c:pt idx="28">
                  <c:v>0.000314612873851616</c:v>
                </c:pt>
                <c:pt idx="29">
                  <c:v>0.000319187245633794</c:v>
                </c:pt>
                <c:pt idx="30">
                  <c:v>0.00032358081989122</c:v>
                </c:pt>
                <c:pt idx="31">
                  <c:v>0.000327793596623893</c:v>
                </c:pt>
                <c:pt idx="32">
                  <c:v>0.000331825575831814</c:v>
                </c:pt>
                <c:pt idx="33">
                  <c:v>0.000335676757514982</c:v>
                </c:pt>
                <c:pt idx="34">
                  <c:v>0.000339347141673398</c:v>
                </c:pt>
                <c:pt idx="35">
                  <c:v>0.000342836728307061</c:v>
                </c:pt>
                <c:pt idx="36">
                  <c:v>0.000346145517415972</c:v>
                </c:pt>
                <c:pt idx="37">
                  <c:v>0.000349273509000131</c:v>
                </c:pt>
                <c:pt idx="38">
                  <c:v>0.000352220703059537</c:v>
                </c:pt>
                <c:pt idx="39">
                  <c:v>0.00035498709959419</c:v>
                </c:pt>
                <c:pt idx="40">
                  <c:v>0.000357572698604091</c:v>
                </c:pt>
                <c:pt idx="41">
                  <c:v>0.00035997750008924</c:v>
                </c:pt>
                <c:pt idx="42">
                  <c:v>0.000362201504049636</c:v>
                </c:pt>
                <c:pt idx="43">
                  <c:v>0.000364244710485279</c:v>
                </c:pt>
                <c:pt idx="44">
                  <c:v>0.00036610711939617</c:v>
                </c:pt>
                <c:pt idx="45">
                  <c:v>0.000367788730782309</c:v>
                </c:pt>
                <c:pt idx="46">
                  <c:v>0.000369289544643695</c:v>
                </c:pt>
                <c:pt idx="47">
                  <c:v>0.000370609560980329</c:v>
                </c:pt>
                <c:pt idx="48">
                  <c:v>0.00037174877979221</c:v>
                </c:pt>
                <c:pt idx="49">
                  <c:v>0.000372707201079339</c:v>
                </c:pt>
                <c:pt idx="50">
                  <c:v>0.000373484824841715</c:v>
                </c:pt>
                <c:pt idx="51">
                  <c:v>0.000374081651079339</c:v>
                </c:pt>
                <c:pt idx="52">
                  <c:v>0.00037449767979221</c:v>
                </c:pt>
                <c:pt idx="53">
                  <c:v>0.000374732910980329</c:v>
                </c:pt>
                <c:pt idx="54">
                  <c:v>0.000374787344643695</c:v>
                </c:pt>
                <c:pt idx="55">
                  <c:v>0.000374660980782309</c:v>
                </c:pt>
                <c:pt idx="56">
                  <c:v>0.00037435381939617</c:v>
                </c:pt>
                <c:pt idx="57">
                  <c:v>0.000373865860485279</c:v>
                </c:pt>
                <c:pt idx="58">
                  <c:v>0.000373197104049636</c:v>
                </c:pt>
                <c:pt idx="59">
                  <c:v>0.00037234755008924</c:v>
                </c:pt>
                <c:pt idx="60">
                  <c:v>0.000371317198604091</c:v>
                </c:pt>
                <c:pt idx="61">
                  <c:v>0.00037010604959419</c:v>
                </c:pt>
                <c:pt idx="62">
                  <c:v>0.000368714103059537</c:v>
                </c:pt>
                <c:pt idx="63">
                  <c:v>0.000367141359000131</c:v>
                </c:pt>
                <c:pt idx="64">
                  <c:v>0.000365387817415972</c:v>
                </c:pt>
                <c:pt idx="65">
                  <c:v>0.000363453478307061</c:v>
                </c:pt>
                <c:pt idx="66">
                  <c:v>0.000361338341673398</c:v>
                </c:pt>
                <c:pt idx="67">
                  <c:v>0.000359042407514982</c:v>
                </c:pt>
                <c:pt idx="68">
                  <c:v>0.000356565675831814</c:v>
                </c:pt>
                <c:pt idx="69">
                  <c:v>0.000353908146623893</c:v>
                </c:pt>
                <c:pt idx="70">
                  <c:v>0.00035106981989122</c:v>
                </c:pt>
                <c:pt idx="71">
                  <c:v>0.000348050695633794</c:v>
                </c:pt>
                <c:pt idx="72">
                  <c:v>0.000344850773851616</c:v>
                </c:pt>
                <c:pt idx="73">
                  <c:v>0.000341470054544685</c:v>
                </c:pt>
                <c:pt idx="74">
                  <c:v>0.000337908537713002</c:v>
                </c:pt>
                <c:pt idx="75">
                  <c:v>0.000334166223356567</c:v>
                </c:pt>
                <c:pt idx="76">
                  <c:v>0.000330243111475378</c:v>
                </c:pt>
                <c:pt idx="77">
                  <c:v>0.000326139202069438</c:v>
                </c:pt>
                <c:pt idx="78">
                  <c:v>0.000321854495138745</c:v>
                </c:pt>
                <c:pt idx="79">
                  <c:v>0.000317388990683299</c:v>
                </c:pt>
                <c:pt idx="80">
                  <c:v>0.000312742688703101</c:v>
                </c:pt>
                <c:pt idx="81">
                  <c:v>0.000307915589198151</c:v>
                </c:pt>
                <c:pt idx="82">
                  <c:v>0.000302907692168448</c:v>
                </c:pt>
                <c:pt idx="83">
                  <c:v>0.000297718997613992</c:v>
                </c:pt>
                <c:pt idx="84">
                  <c:v>0.000292349505534784</c:v>
                </c:pt>
                <c:pt idx="85">
                  <c:v>0.000286799215930824</c:v>
                </c:pt>
                <c:pt idx="86">
                  <c:v>0.000281068128802111</c:v>
                </c:pt>
                <c:pt idx="87">
                  <c:v>0.000275156244148646</c:v>
                </c:pt>
                <c:pt idx="88">
                  <c:v>0.000269063561970428</c:v>
                </c:pt>
                <c:pt idx="89">
                  <c:v>0.000262790082267458</c:v>
                </c:pt>
                <c:pt idx="90">
                  <c:v>0.000256335805039735</c:v>
                </c:pt>
                <c:pt idx="91">
                  <c:v>0.00024970073028726</c:v>
                </c:pt>
                <c:pt idx="92">
                  <c:v>0.000242884858010032</c:v>
                </c:pt>
                <c:pt idx="93">
                  <c:v>0.000235888188208052</c:v>
                </c:pt>
                <c:pt idx="94">
                  <c:v>0.000228710720881319</c:v>
                </c:pt>
                <c:pt idx="95">
                  <c:v>0.000221352456029834</c:v>
                </c:pt>
                <c:pt idx="96">
                  <c:v>0.000213813393653596</c:v>
                </c:pt>
                <c:pt idx="97">
                  <c:v>0.000206093533752606</c:v>
                </c:pt>
                <c:pt idx="98">
                  <c:v>0.000198192876326864</c:v>
                </c:pt>
                <c:pt idx="99">
                  <c:v>0.000190111421376369</c:v>
                </c:pt>
                <c:pt idx="100">
                  <c:v>0.000182029966425873</c:v>
                </c:pt>
                <c:pt idx="103">
                  <c:v>0.000368490099009901</c:v>
                </c:pt>
                <c:pt idx="104">
                  <c:v>0.000516423217847155</c:v>
                </c:pt>
                <c:pt idx="105">
                  <c:v>0.000575792871787203</c:v>
                </c:pt>
                <c:pt idx="106">
                  <c:v>0.000599611565603157</c:v>
                </c:pt>
                <c:pt idx="107">
                  <c:v>0.000609164134949984</c:v>
                </c:pt>
                <c:pt idx="108">
                  <c:v>0.000617079567227212</c:v>
                </c:pt>
                <c:pt idx="109">
                  <c:v>0.000624841613217311</c:v>
                </c:pt>
                <c:pt idx="110">
                  <c:v>0.000632450272920281</c:v>
                </c:pt>
                <c:pt idx="111">
                  <c:v>0.000639905546336123</c:v>
                </c:pt>
                <c:pt idx="112">
                  <c:v>0.000647207433464836</c:v>
                </c:pt>
                <c:pt idx="113">
                  <c:v>0.00065435593430642</c:v>
                </c:pt>
                <c:pt idx="114">
                  <c:v>0.000661351048860875</c:v>
                </c:pt>
                <c:pt idx="115">
                  <c:v>0.000668192777128202</c:v>
                </c:pt>
                <c:pt idx="116">
                  <c:v>0.0006748811191084</c:v>
                </c:pt>
                <c:pt idx="117">
                  <c:v>0.000681416074801469</c:v>
                </c:pt>
                <c:pt idx="118">
                  <c:v>0.00068779764420741</c:v>
                </c:pt>
                <c:pt idx="119">
                  <c:v>0.000694025827326222</c:v>
                </c:pt>
                <c:pt idx="120">
                  <c:v>0.000700100624157905</c:v>
                </c:pt>
                <c:pt idx="121">
                  <c:v>0.00070602203470246</c:v>
                </c:pt>
                <c:pt idx="122">
                  <c:v>0.000711790058959885</c:v>
                </c:pt>
                <c:pt idx="123">
                  <c:v>0.000717404696930182</c:v>
                </c:pt>
                <c:pt idx="124">
                  <c:v>0.000722865948613351</c:v>
                </c:pt>
                <c:pt idx="125">
                  <c:v>0.00072817381400939</c:v>
                </c:pt>
                <c:pt idx="126">
                  <c:v>0.000733328293118301</c:v>
                </c:pt>
                <c:pt idx="127">
                  <c:v>0.000738329385940083</c:v>
                </c:pt>
                <c:pt idx="128">
                  <c:v>0.000743177092474737</c:v>
                </c:pt>
                <c:pt idx="129">
                  <c:v>0.000747871412722262</c:v>
                </c:pt>
                <c:pt idx="130">
                  <c:v>0.000752412346682658</c:v>
                </c:pt>
                <c:pt idx="131">
                  <c:v>0.000756799894355925</c:v>
                </c:pt>
                <c:pt idx="132">
                  <c:v>0.000761034055742064</c:v>
                </c:pt>
                <c:pt idx="133">
                  <c:v>0.000765114830841073</c:v>
                </c:pt>
                <c:pt idx="134">
                  <c:v>0.000769042219652955</c:v>
                </c:pt>
                <c:pt idx="135">
                  <c:v>0.000772816222177707</c:v>
                </c:pt>
                <c:pt idx="136">
                  <c:v>0.000776436838415331</c:v>
                </c:pt>
                <c:pt idx="137">
                  <c:v>0.000779904068365826</c:v>
                </c:pt>
                <c:pt idx="138">
                  <c:v>0.000783217912029192</c:v>
                </c:pt>
                <c:pt idx="139">
                  <c:v>0.00078637836940543</c:v>
                </c:pt>
                <c:pt idx="140">
                  <c:v>0.000789385440494539</c:v>
                </c:pt>
                <c:pt idx="141">
                  <c:v>0.000792239125296519</c:v>
                </c:pt>
                <c:pt idx="142">
                  <c:v>0.00079493942381137</c:v>
                </c:pt>
                <c:pt idx="143">
                  <c:v>0.000797486336039093</c:v>
                </c:pt>
                <c:pt idx="144">
                  <c:v>0.000799879861979687</c:v>
                </c:pt>
                <c:pt idx="145">
                  <c:v>0.000802120001633153</c:v>
                </c:pt>
                <c:pt idx="146">
                  <c:v>0.000804206754999489</c:v>
                </c:pt>
                <c:pt idx="147">
                  <c:v>0.000806140122078697</c:v>
                </c:pt>
                <c:pt idx="148">
                  <c:v>0.000807920102870776</c:v>
                </c:pt>
                <c:pt idx="149">
                  <c:v>0.000809546697375727</c:v>
                </c:pt>
                <c:pt idx="150">
                  <c:v>0.000811019905593549</c:v>
                </c:pt>
                <c:pt idx="151">
                  <c:v>0.000812339727524242</c:v>
                </c:pt>
                <c:pt idx="152">
                  <c:v>0.000813506163167806</c:v>
                </c:pt>
                <c:pt idx="153">
                  <c:v>0.000814519212524242</c:v>
                </c:pt>
                <c:pt idx="154">
                  <c:v>0.000815378875593549</c:v>
                </c:pt>
                <c:pt idx="155">
                  <c:v>0.000816085152375727</c:v>
                </c:pt>
                <c:pt idx="156">
                  <c:v>0.000816638042870776</c:v>
                </c:pt>
                <c:pt idx="157">
                  <c:v>0.000817037547078697</c:v>
                </c:pt>
                <c:pt idx="158">
                  <c:v>0.000817283664999489</c:v>
                </c:pt>
                <c:pt idx="159">
                  <c:v>0.000817376396633153</c:v>
                </c:pt>
                <c:pt idx="160">
                  <c:v>0.000817315741979687</c:v>
                </c:pt>
                <c:pt idx="161">
                  <c:v>0.000817101701039093</c:v>
                </c:pt>
                <c:pt idx="162">
                  <c:v>0.000816734273811371</c:v>
                </c:pt>
                <c:pt idx="163">
                  <c:v>0.000816213460296519</c:v>
                </c:pt>
                <c:pt idx="164">
                  <c:v>0.000815539260494539</c:v>
                </c:pt>
                <c:pt idx="165">
                  <c:v>0.00081471167440543</c:v>
                </c:pt>
                <c:pt idx="166">
                  <c:v>0.000813730702029192</c:v>
                </c:pt>
                <c:pt idx="167">
                  <c:v>0.000812596343365826</c:v>
                </c:pt>
                <c:pt idx="168">
                  <c:v>0.000811308598415331</c:v>
                </c:pt>
                <c:pt idx="169">
                  <c:v>0.000809867467177707</c:v>
                </c:pt>
                <c:pt idx="170">
                  <c:v>0.000808272949652955</c:v>
                </c:pt>
                <c:pt idx="171">
                  <c:v>0.000806525045841074</c:v>
                </c:pt>
                <c:pt idx="172">
                  <c:v>0.000804623755742064</c:v>
                </c:pt>
                <c:pt idx="173">
                  <c:v>0.000802569079355925</c:v>
                </c:pt>
                <c:pt idx="174">
                  <c:v>0.000800361016682658</c:v>
                </c:pt>
                <c:pt idx="175">
                  <c:v>0.000797999567722262</c:v>
                </c:pt>
                <c:pt idx="176">
                  <c:v>0.000795484732474737</c:v>
                </c:pt>
                <c:pt idx="177">
                  <c:v>0.000792816510940083</c:v>
                </c:pt>
                <c:pt idx="178">
                  <c:v>0.000789994903118301</c:v>
                </c:pt>
                <c:pt idx="179">
                  <c:v>0.00078701990900939</c:v>
                </c:pt>
                <c:pt idx="180">
                  <c:v>0.000783891528613351</c:v>
                </c:pt>
                <c:pt idx="181">
                  <c:v>0.000780609761930182</c:v>
                </c:pt>
                <c:pt idx="182">
                  <c:v>0.000777174608959886</c:v>
                </c:pt>
                <c:pt idx="183">
                  <c:v>0.00077358606970246</c:v>
                </c:pt>
                <c:pt idx="184">
                  <c:v>0.000769844144157905</c:v>
                </c:pt>
                <c:pt idx="185">
                  <c:v>0.000765948832326222</c:v>
                </c:pt>
                <c:pt idx="186">
                  <c:v>0.00076190013420741</c:v>
                </c:pt>
                <c:pt idx="187">
                  <c:v>0.00075769804980147</c:v>
                </c:pt>
                <c:pt idx="188">
                  <c:v>0.0007533425791084</c:v>
                </c:pt>
                <c:pt idx="189">
                  <c:v>0.000748833722128202</c:v>
                </c:pt>
                <c:pt idx="190">
                  <c:v>0.000744171478860876</c:v>
                </c:pt>
                <c:pt idx="191">
                  <c:v>0.00073935584930642</c:v>
                </c:pt>
                <c:pt idx="192">
                  <c:v>0.000734386833464836</c:v>
                </c:pt>
                <c:pt idx="193">
                  <c:v>0.000729264431336123</c:v>
                </c:pt>
                <c:pt idx="194">
                  <c:v>0.000723988642920282</c:v>
                </c:pt>
                <c:pt idx="195">
                  <c:v>0.000718559468217311</c:v>
                </c:pt>
                <c:pt idx="196">
                  <c:v>0.000712976907227212</c:v>
                </c:pt>
                <c:pt idx="197">
                  <c:v>0.000707240959949984</c:v>
                </c:pt>
                <c:pt idx="198">
                  <c:v>0.000701351626385628</c:v>
                </c:pt>
                <c:pt idx="199">
                  <c:v>0.000695308906534143</c:v>
                </c:pt>
                <c:pt idx="200">
                  <c:v>0.000689112800395529</c:v>
                </c:pt>
                <c:pt idx="201">
                  <c:v>0.000682763307969786</c:v>
                </c:pt>
                <c:pt idx="202">
                  <c:v>0.000676260429256915</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ser>
          <c:idx val="7"/>
          <c:order val="7"/>
          <c:tx>
            <c:strRef>
              <c:f>'sureau_ini.txt'!$A$1</c:f>
              <c:strCache>
                <c:ptCount val="1"/>
                <c:pt idx="0">
                  <c:v>SUREAU</c:v>
                </c:pt>
              </c:strCache>
            </c:strRef>
          </c:tx>
          <c:spPr>
            <a:solidFill>
              <a:srgbClr val="cc8f8e"/>
            </a:solidFill>
            <a:ln w="28440">
              <a:solidFill>
                <a:srgbClr val="cc8f8e"/>
              </a:solidFill>
              <a:round/>
            </a:ln>
          </c:spPr>
          <c:marker>
            <c:symbol val="none"/>
          </c:marker>
          <c:dLbls>
            <c:txPr>
              <a:bodyPr wrap="square"/>
              <a:lstStyle/>
              <a:p>
                <a:pPr>
                  <a:defRPr b="0" sz="16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'Fractal map'!$C$8:$C$211</c:f>
              <c:numCache>
                <c:formatCode>General</c:formatCode>
                <c:ptCount val="204"/>
                <c:pt idx="0">
                  <c:v>0.0490875</c:v>
                </c:pt>
                <c:pt idx="1">
                  <c:v>0.0754996852105224</c:v>
                </c:pt>
                <c:pt idx="2">
                  <c:v>0.0897061120892697</c:v>
                </c:pt>
                <c:pt idx="3">
                  <c:v>0.0973445858233585</c:v>
                </c:pt>
                <c:pt idx="4">
                  <c:v>0.101450059477105</c:v>
                </c:pt>
                <c:pt idx="5">
                  <c:v>0.1050154644276</c:v>
                </c:pt>
                <c:pt idx="6">
                  <c:v>0.108508550368194</c:v>
                </c:pt>
                <c:pt idx="7">
                  <c:v>0.111929317298887</c:v>
                </c:pt>
                <c:pt idx="8">
                  <c:v>0.115277765219679</c:v>
                </c:pt>
                <c:pt idx="9">
                  <c:v>0.11855389413057</c:v>
                </c:pt>
                <c:pt idx="10">
                  <c:v>0.121757704031561</c:v>
                </c:pt>
                <c:pt idx="11">
                  <c:v>0.12488919492265</c:v>
                </c:pt>
                <c:pt idx="12">
                  <c:v>0.127948366803838</c:v>
                </c:pt>
                <c:pt idx="13">
                  <c:v>0.130935219675125</c:v>
                </c:pt>
                <c:pt idx="14">
                  <c:v>0.133849753536511</c:v>
                </c:pt>
                <c:pt idx="15">
                  <c:v>0.136691968387996</c:v>
                </c:pt>
                <c:pt idx="16">
                  <c:v>0.13946186422958</c:v>
                </c:pt>
                <c:pt idx="17">
                  <c:v>0.142159441061263</c:v>
                </c:pt>
                <c:pt idx="18">
                  <c:v>0.144784698883046</c:v>
                </c:pt>
                <c:pt idx="19">
                  <c:v>0.147337637694927</c:v>
                </c:pt>
                <c:pt idx="20">
                  <c:v>0.149818257496907</c:v>
                </c:pt>
                <c:pt idx="21">
                  <c:v>0.152226558288986</c:v>
                </c:pt>
                <c:pt idx="22">
                  <c:v>0.154562540071164</c:v>
                </c:pt>
                <c:pt idx="23">
                  <c:v>0.156826202843442</c:v>
                </c:pt>
                <c:pt idx="24">
                  <c:v>0.159017546605818</c:v>
                </c:pt>
                <c:pt idx="25">
                  <c:v>0.161136571358293</c:v>
                </c:pt>
                <c:pt idx="26">
                  <c:v>0.163183277100867</c:v>
                </c:pt>
                <c:pt idx="27">
                  <c:v>0.165157663833541</c:v>
                </c:pt>
                <c:pt idx="28">
                  <c:v>0.167059731556313</c:v>
                </c:pt>
                <c:pt idx="29">
                  <c:v>0.168889480269184</c:v>
                </c:pt>
                <c:pt idx="30">
                  <c:v>0.170646909972155</c:v>
                </c:pt>
                <c:pt idx="31">
                  <c:v>0.172332020665224</c:v>
                </c:pt>
                <c:pt idx="32">
                  <c:v>0.173944812348392</c:v>
                </c:pt>
                <c:pt idx="33">
                  <c:v>0.17548528502166</c:v>
                </c:pt>
                <c:pt idx="34">
                  <c:v>0.176953438685026</c:v>
                </c:pt>
                <c:pt idx="35">
                  <c:v>0.178349273338491</c:v>
                </c:pt>
                <c:pt idx="36">
                  <c:v>0.179672788982056</c:v>
                </c:pt>
                <c:pt idx="37">
                  <c:v>0.180923985615719</c:v>
                </c:pt>
                <c:pt idx="38">
                  <c:v>0.182102863239481</c:v>
                </c:pt>
                <c:pt idx="39">
                  <c:v>0.183209421853343</c:v>
                </c:pt>
                <c:pt idx="40">
                  <c:v>0.184243661457303</c:v>
                </c:pt>
                <c:pt idx="41">
                  <c:v>0.185205582051363</c:v>
                </c:pt>
                <c:pt idx="42">
                  <c:v>0.186095183635521</c:v>
                </c:pt>
                <c:pt idx="43">
                  <c:v>0.186912466209778</c:v>
                </c:pt>
                <c:pt idx="44">
                  <c:v>0.187657429774135</c:v>
                </c:pt>
                <c:pt idx="45">
                  <c:v>0.18833007432859</c:v>
                </c:pt>
                <c:pt idx="46">
                  <c:v>0.188930399873145</c:v>
                </c:pt>
                <c:pt idx="47">
                  <c:v>0.189458406407798</c:v>
                </c:pt>
                <c:pt idx="48">
                  <c:v>0.189914093932551</c:v>
                </c:pt>
                <c:pt idx="49">
                  <c:v>0.190297462447402</c:v>
                </c:pt>
                <c:pt idx="50">
                  <c:v>0.190608511952353</c:v>
                </c:pt>
                <c:pt idx="51">
                  <c:v>0.190847242447402</c:v>
                </c:pt>
                <c:pt idx="52">
                  <c:v>0.191013653932551</c:v>
                </c:pt>
                <c:pt idx="53">
                  <c:v>0.191107746407798</c:v>
                </c:pt>
                <c:pt idx="54">
                  <c:v>0.191129519873145</c:v>
                </c:pt>
                <c:pt idx="55">
                  <c:v>0.19107897432859</c:v>
                </c:pt>
                <c:pt idx="56">
                  <c:v>0.190956109774135</c:v>
                </c:pt>
                <c:pt idx="57">
                  <c:v>0.190760926209778</c:v>
                </c:pt>
                <c:pt idx="58">
                  <c:v>0.190493423635521</c:v>
                </c:pt>
                <c:pt idx="59">
                  <c:v>0.190153602051363</c:v>
                </c:pt>
                <c:pt idx="60">
                  <c:v>0.189741461457303</c:v>
                </c:pt>
                <c:pt idx="61">
                  <c:v>0.189257001853343</c:v>
                </c:pt>
                <c:pt idx="62">
                  <c:v>0.188700223239481</c:v>
                </c:pt>
                <c:pt idx="63">
                  <c:v>0.188071125615719</c:v>
                </c:pt>
                <c:pt idx="64">
                  <c:v>0.187369708982056</c:v>
                </c:pt>
                <c:pt idx="65">
                  <c:v>0.186595973338491</c:v>
                </c:pt>
                <c:pt idx="66">
                  <c:v>0.185749918685026</c:v>
                </c:pt>
                <c:pt idx="67">
                  <c:v>0.18483154502166</c:v>
                </c:pt>
                <c:pt idx="68">
                  <c:v>0.183840852348392</c:v>
                </c:pt>
                <c:pt idx="69">
                  <c:v>0.182777840665224</c:v>
                </c:pt>
                <c:pt idx="70">
                  <c:v>0.181642509972155</c:v>
                </c:pt>
                <c:pt idx="71">
                  <c:v>0.180434860269184</c:v>
                </c:pt>
                <c:pt idx="72">
                  <c:v>0.179154891556313</c:v>
                </c:pt>
                <c:pt idx="73">
                  <c:v>0.177802603833541</c:v>
                </c:pt>
                <c:pt idx="74">
                  <c:v>0.176377997100867</c:v>
                </c:pt>
                <c:pt idx="75">
                  <c:v>0.174881071358293</c:v>
                </c:pt>
                <c:pt idx="76">
                  <c:v>0.173311826605818</c:v>
                </c:pt>
                <c:pt idx="77">
                  <c:v>0.171670262843442</c:v>
                </c:pt>
                <c:pt idx="78">
                  <c:v>0.169956380071164</c:v>
                </c:pt>
                <c:pt idx="79">
                  <c:v>0.168170178288986</c:v>
                </c:pt>
                <c:pt idx="80">
                  <c:v>0.166311657496907</c:v>
                </c:pt>
                <c:pt idx="81">
                  <c:v>0.164380817694927</c:v>
                </c:pt>
                <c:pt idx="82">
                  <c:v>0.162377658883046</c:v>
                </c:pt>
                <c:pt idx="83">
                  <c:v>0.160302181061263</c:v>
                </c:pt>
                <c:pt idx="84">
                  <c:v>0.15815438422958</c:v>
                </c:pt>
                <c:pt idx="85">
                  <c:v>0.155934268387996</c:v>
                </c:pt>
                <c:pt idx="86">
                  <c:v>0.153641833536511</c:v>
                </c:pt>
                <c:pt idx="87">
                  <c:v>0.151277079675125</c:v>
                </c:pt>
                <c:pt idx="88">
                  <c:v>0.148840006803838</c:v>
                </c:pt>
                <c:pt idx="89">
                  <c:v>0.14633061492265</c:v>
                </c:pt>
                <c:pt idx="90">
                  <c:v>0.143748904031561</c:v>
                </c:pt>
                <c:pt idx="91">
                  <c:v>0.14109487413057</c:v>
                </c:pt>
                <c:pt idx="92">
                  <c:v>0.138368525219679</c:v>
                </c:pt>
                <c:pt idx="93">
                  <c:v>0.135569857298887</c:v>
                </c:pt>
                <c:pt idx="94">
                  <c:v>0.132698870368194</c:v>
                </c:pt>
                <c:pt idx="95">
                  <c:v>0.1297555644276</c:v>
                </c:pt>
                <c:pt idx="96">
                  <c:v>0.126739939477105</c:v>
                </c:pt>
                <c:pt idx="97">
                  <c:v>0.123651995516709</c:v>
                </c:pt>
                <c:pt idx="98">
                  <c:v>0.120491732546412</c:v>
                </c:pt>
                <c:pt idx="99">
                  <c:v>0.117259150566214</c:v>
                </c:pt>
                <c:pt idx="100">
                  <c:v>0.114026568586016</c:v>
                </c:pt>
                <c:pt idx="103">
                  <c:v>1.5</c:v>
                </c:pt>
                <c:pt idx="104">
                  <c:v>1.84763668378201</c:v>
                </c:pt>
                <c:pt idx="105">
                  <c:v>1.92817904774228</c:v>
                </c:pt>
                <c:pt idx="106">
                  <c:v>1.94683350679861</c:v>
                </c:pt>
                <c:pt idx="107">
                  <c:v>1.95115262677158</c:v>
                </c:pt>
                <c:pt idx="108">
                  <c:v>1.95438015419732</c:v>
                </c:pt>
                <c:pt idx="109">
                  <c:v>1.95754632710821</c:v>
                </c:pt>
                <c:pt idx="110">
                  <c:v>1.96065114550425</c:v>
                </c:pt>
                <c:pt idx="111">
                  <c:v>1.96369460938544</c:v>
                </c:pt>
                <c:pt idx="112">
                  <c:v>1.96667671875177</c:v>
                </c:pt>
                <c:pt idx="113">
                  <c:v>1.96959747360326</c:v>
                </c:pt>
                <c:pt idx="114">
                  <c:v>1.97245687393989</c:v>
                </c:pt>
                <c:pt idx="115">
                  <c:v>1.97525491976167</c:v>
                </c:pt>
                <c:pt idx="116">
                  <c:v>1.9779916110686</c:v>
                </c:pt>
                <c:pt idx="117">
                  <c:v>1.98066694786068</c:v>
                </c:pt>
                <c:pt idx="118">
                  <c:v>1.98328093013791</c:v>
                </c:pt>
                <c:pt idx="119">
                  <c:v>1.98583355790029</c:v>
                </c:pt>
                <c:pt idx="120">
                  <c:v>1.98832483114781</c:v>
                </c:pt>
                <c:pt idx="121">
                  <c:v>1.99075474988049</c:v>
                </c:pt>
                <c:pt idx="122">
                  <c:v>1.99312331409831</c:v>
                </c:pt>
                <c:pt idx="123">
                  <c:v>1.99543052380128</c:v>
                </c:pt>
                <c:pt idx="124">
                  <c:v>1.9976763789894</c:v>
                </c:pt>
                <c:pt idx="125">
                  <c:v>1.99986087966266</c:v>
                </c:pt>
                <c:pt idx="126">
                  <c:v>2.00198402582108</c:v>
                </c:pt>
                <c:pt idx="127">
                  <c:v>2.00404581746464</c:v>
                </c:pt>
                <c:pt idx="128">
                  <c:v>2.00604625459336</c:v>
                </c:pt>
                <c:pt idx="129">
                  <c:v>2.00798533720722</c:v>
                </c:pt>
                <c:pt idx="130">
                  <c:v>2.00986306530623</c:v>
                </c:pt>
                <c:pt idx="131">
                  <c:v>2.01167943889039</c:v>
                </c:pt>
                <c:pt idx="132">
                  <c:v>2.01343445795969</c:v>
                </c:pt>
                <c:pt idx="133">
                  <c:v>2.01512812251415</c:v>
                </c:pt>
                <c:pt idx="134">
                  <c:v>2.01676043255375</c:v>
                </c:pt>
                <c:pt idx="135">
                  <c:v>2.01833138807851</c:v>
                </c:pt>
                <c:pt idx="136">
                  <c:v>2.01984098908841</c:v>
                </c:pt>
                <c:pt idx="137">
                  <c:v>2.02128923558346</c:v>
                </c:pt>
                <c:pt idx="138">
                  <c:v>2.02267612756365</c:v>
                </c:pt>
                <c:pt idx="139">
                  <c:v>2.024001665029</c:v>
                </c:pt>
                <c:pt idx="140">
                  <c:v>2.0252658479795</c:v>
                </c:pt>
                <c:pt idx="141">
                  <c:v>2.02646867641514</c:v>
                </c:pt>
                <c:pt idx="142">
                  <c:v>2.02761015033593</c:v>
                </c:pt>
                <c:pt idx="143">
                  <c:v>2.02869026974187</c:v>
                </c:pt>
                <c:pt idx="144">
                  <c:v>2.02970903463296</c:v>
                </c:pt>
                <c:pt idx="145">
                  <c:v>2.0306664450092</c:v>
                </c:pt>
                <c:pt idx="146">
                  <c:v>2.03156250087058</c:v>
                </c:pt>
                <c:pt idx="147">
                  <c:v>2.03239720221712</c:v>
                </c:pt>
                <c:pt idx="148">
                  <c:v>2.0331705490488</c:v>
                </c:pt>
                <c:pt idx="149">
                  <c:v>2.03388254136563</c:v>
                </c:pt>
                <c:pt idx="150">
                  <c:v>2.03453317916761</c:v>
                </c:pt>
                <c:pt idx="151">
                  <c:v>2.03512246245474</c:v>
                </c:pt>
                <c:pt idx="152">
                  <c:v>2.03565039122702</c:v>
                </c:pt>
                <c:pt idx="153">
                  <c:v>2.03611696548445</c:v>
                </c:pt>
                <c:pt idx="154">
                  <c:v>2.03652218522702</c:v>
                </c:pt>
                <c:pt idx="155">
                  <c:v>2.03686605045474</c:v>
                </c:pt>
                <c:pt idx="156">
                  <c:v>2.03714856116761</c:v>
                </c:pt>
                <c:pt idx="157">
                  <c:v>2.03736971736563</c:v>
                </c:pt>
                <c:pt idx="158">
                  <c:v>2.0375295190488</c:v>
                </c:pt>
                <c:pt idx="159">
                  <c:v>2.03762796621712</c:v>
                </c:pt>
                <c:pt idx="160">
                  <c:v>2.03766505887058</c:v>
                </c:pt>
                <c:pt idx="161">
                  <c:v>2.0376407970092</c:v>
                </c:pt>
                <c:pt idx="162">
                  <c:v>2.03755518063296</c:v>
                </c:pt>
                <c:pt idx="163">
                  <c:v>2.03740820974187</c:v>
                </c:pt>
                <c:pt idx="164">
                  <c:v>2.03719988433593</c:v>
                </c:pt>
                <c:pt idx="165">
                  <c:v>2.03693020441514</c:v>
                </c:pt>
                <c:pt idx="166">
                  <c:v>2.0365991699795</c:v>
                </c:pt>
                <c:pt idx="167">
                  <c:v>2.036206781029</c:v>
                </c:pt>
                <c:pt idx="168">
                  <c:v>2.03575303756365</c:v>
                </c:pt>
                <c:pt idx="169">
                  <c:v>2.03523793958346</c:v>
                </c:pt>
                <c:pt idx="170">
                  <c:v>2.03466148708841</c:v>
                </c:pt>
                <c:pt idx="171">
                  <c:v>2.0340236800785</c:v>
                </c:pt>
                <c:pt idx="172">
                  <c:v>2.03332451855375</c:v>
                </c:pt>
                <c:pt idx="173">
                  <c:v>2.03256400251415</c:v>
                </c:pt>
                <c:pt idx="174">
                  <c:v>2.03174213195969</c:v>
                </c:pt>
                <c:pt idx="175">
                  <c:v>2.03085890689039</c:v>
                </c:pt>
                <c:pt idx="176">
                  <c:v>2.02991432730623</c:v>
                </c:pt>
                <c:pt idx="177">
                  <c:v>2.02890839320722</c:v>
                </c:pt>
                <c:pt idx="178">
                  <c:v>2.02784110459336</c:v>
                </c:pt>
                <c:pt idx="179">
                  <c:v>2.02671246146464</c:v>
                </c:pt>
                <c:pt idx="180">
                  <c:v>2.02552246382108</c:v>
                </c:pt>
                <c:pt idx="181">
                  <c:v>2.02427111166266</c:v>
                </c:pt>
                <c:pt idx="182">
                  <c:v>2.0229584049894</c:v>
                </c:pt>
                <c:pt idx="183">
                  <c:v>2.02158434380128</c:v>
                </c:pt>
                <c:pt idx="184">
                  <c:v>2.02014892809831</c:v>
                </c:pt>
                <c:pt idx="185">
                  <c:v>2.01865215788049</c:v>
                </c:pt>
                <c:pt idx="186">
                  <c:v>2.01709403314781</c:v>
                </c:pt>
                <c:pt idx="187">
                  <c:v>2.01547455390029</c:v>
                </c:pt>
                <c:pt idx="188">
                  <c:v>2.01379372013791</c:v>
                </c:pt>
                <c:pt idx="189">
                  <c:v>2.01205153186068</c:v>
                </c:pt>
                <c:pt idx="190">
                  <c:v>2.0102479890686</c:v>
                </c:pt>
                <c:pt idx="191">
                  <c:v>2.00838309176167</c:v>
                </c:pt>
                <c:pt idx="192">
                  <c:v>2.00645683993989</c:v>
                </c:pt>
                <c:pt idx="193">
                  <c:v>2.00446923360326</c:v>
                </c:pt>
                <c:pt idx="194">
                  <c:v>2.00242027275177</c:v>
                </c:pt>
                <c:pt idx="195">
                  <c:v>2.00030995738544</c:v>
                </c:pt>
                <c:pt idx="196">
                  <c:v>1.99813828750425</c:v>
                </c:pt>
                <c:pt idx="197">
                  <c:v>1.99590526310821</c:v>
                </c:pt>
                <c:pt idx="198">
                  <c:v>1.99361088419732</c:v>
                </c:pt>
                <c:pt idx="199">
                  <c:v>1.99125515077157</c:v>
                </c:pt>
                <c:pt idx="200">
                  <c:v>1.98883806283098</c:v>
                </c:pt>
                <c:pt idx="201">
                  <c:v>1.98635962037553</c:v>
                </c:pt>
                <c:pt idx="202">
                  <c:v>1.98381982340524</c:v>
                </c:pt>
              </c:numCache>
            </c:numRef>
          </c:xVal>
          <c:yVal>
            <c:numRef>
              <c:f>'Fractal map'!$A$8:$A$211</c:f>
              <c:numCache>
                <c:formatCode>General</c:formatCode>
                <c:ptCount val="204"/>
                <c:pt idx="0">
                  <c:v>1</c:v>
                </c:pt>
                <c:pt idx="1">
                  <c:v>0.875</c:v>
                </c:pt>
                <c:pt idx="2">
                  <c:v>0.75230198019802</c:v>
                </c:pt>
                <c:pt idx="3">
                  <c:v>0.631905940594059</c:v>
                </c:pt>
                <c:pt idx="4">
                  <c:v>0.513811881188119</c:v>
                </c:pt>
                <c:pt idx="5">
                  <c:v>0.398019801980198</c:v>
                </c:pt>
                <c:pt idx="6">
                  <c:v>0.284529702970297</c:v>
                </c:pt>
                <c:pt idx="7">
                  <c:v>0.173341584158416</c:v>
                </c:pt>
                <c:pt idx="8">
                  <c:v>0.0644554455445545</c:v>
                </c:pt>
                <c:pt idx="9">
                  <c:v>-0.0421287128712873</c:v>
                </c:pt>
                <c:pt idx="10">
                  <c:v>-0.146410891089109</c:v>
                </c:pt>
                <c:pt idx="11">
                  <c:v>-0.248391089108911</c:v>
                </c:pt>
                <c:pt idx="12">
                  <c:v>-0.348069306930693</c:v>
                </c:pt>
                <c:pt idx="13">
                  <c:v>-0.445445544554455</c:v>
                </c:pt>
                <c:pt idx="14">
                  <c:v>-0.540519801980198</c:v>
                </c:pt>
                <c:pt idx="15">
                  <c:v>-0.633292079207921</c:v>
                </c:pt>
                <c:pt idx="16">
                  <c:v>-0.723762376237624</c:v>
                </c:pt>
                <c:pt idx="17">
                  <c:v>-0.811930693069307</c:v>
                </c:pt>
                <c:pt idx="18">
                  <c:v>-0.89779702970297</c:v>
                </c:pt>
                <c:pt idx="19">
                  <c:v>-0.981361386138614</c:v>
                </c:pt>
                <c:pt idx="20">
                  <c:v>-1.06262376237624</c:v>
                </c:pt>
                <c:pt idx="21">
                  <c:v>-1.14158415841584</c:v>
                </c:pt>
                <c:pt idx="22">
                  <c:v>-1.21824257425743</c:v>
                </c:pt>
                <c:pt idx="23">
                  <c:v>-1.29259900990099</c:v>
                </c:pt>
                <c:pt idx="24">
                  <c:v>-1.36465346534653</c:v>
                </c:pt>
                <c:pt idx="25">
                  <c:v>-1.43440594059406</c:v>
                </c:pt>
                <c:pt idx="26">
                  <c:v>-1.50185643564356</c:v>
                </c:pt>
                <c:pt idx="27">
                  <c:v>-1.56700495049505</c:v>
                </c:pt>
                <c:pt idx="28">
                  <c:v>-1.62985148514851</c:v>
                </c:pt>
                <c:pt idx="29">
                  <c:v>-1.69039603960396</c:v>
                </c:pt>
                <c:pt idx="30">
                  <c:v>-1.74863861386139</c:v>
                </c:pt>
                <c:pt idx="31">
                  <c:v>-1.80457920792079</c:v>
                </c:pt>
                <c:pt idx="32">
                  <c:v>-1.85821782178218</c:v>
                </c:pt>
                <c:pt idx="33">
                  <c:v>-1.90955445544554</c:v>
                </c:pt>
                <c:pt idx="34">
                  <c:v>-1.95858910891089</c:v>
                </c:pt>
                <c:pt idx="35">
                  <c:v>-2.00532178217822</c:v>
                </c:pt>
                <c:pt idx="36">
                  <c:v>-2.04975247524752</c:v>
                </c:pt>
                <c:pt idx="37">
                  <c:v>-2.09188118811881</c:v>
                </c:pt>
                <c:pt idx="38">
                  <c:v>-2.13170792079208</c:v>
                </c:pt>
                <c:pt idx="39">
                  <c:v>-2.16923267326733</c:v>
                </c:pt>
                <c:pt idx="40">
                  <c:v>-2.20445544554455</c:v>
                </c:pt>
                <c:pt idx="41">
                  <c:v>-2.23737623762376</c:v>
                </c:pt>
                <c:pt idx="42">
                  <c:v>-2.26799504950495</c:v>
                </c:pt>
                <c:pt idx="43">
                  <c:v>-2.29631188118812</c:v>
                </c:pt>
                <c:pt idx="44">
                  <c:v>-2.32232673267327</c:v>
                </c:pt>
                <c:pt idx="45">
                  <c:v>-2.3460396039604</c:v>
                </c:pt>
                <c:pt idx="46">
                  <c:v>-2.36745049504951</c:v>
                </c:pt>
                <c:pt idx="47">
                  <c:v>-2.38655940594059</c:v>
                </c:pt>
                <c:pt idx="48">
                  <c:v>-2.40336633663366</c:v>
                </c:pt>
                <c:pt idx="49">
                  <c:v>-2.41787128712871</c:v>
                </c:pt>
                <c:pt idx="50">
                  <c:v>-2.43007425742574</c:v>
                </c:pt>
                <c:pt idx="51">
                  <c:v>-2.43997524752475</c:v>
                </c:pt>
                <c:pt idx="52">
                  <c:v>-2.44757425742574</c:v>
                </c:pt>
                <c:pt idx="53">
                  <c:v>-2.45287128712871</c:v>
                </c:pt>
                <c:pt idx="54">
                  <c:v>-2.45586633663366</c:v>
                </c:pt>
                <c:pt idx="55">
                  <c:v>-2.45655940594059</c:v>
                </c:pt>
                <c:pt idx="56">
                  <c:v>-2.4549504950495</c:v>
                </c:pt>
                <c:pt idx="57">
                  <c:v>-2.4510396039604</c:v>
                </c:pt>
                <c:pt idx="58">
                  <c:v>-2.44482673267327</c:v>
                </c:pt>
                <c:pt idx="59">
                  <c:v>-2.43631188118812</c:v>
                </c:pt>
                <c:pt idx="60">
                  <c:v>-2.42549504950495</c:v>
                </c:pt>
                <c:pt idx="61">
                  <c:v>-2.41237623762376</c:v>
                </c:pt>
                <c:pt idx="62">
                  <c:v>-2.39695544554455</c:v>
                </c:pt>
                <c:pt idx="63">
                  <c:v>-2.37923267326733</c:v>
                </c:pt>
                <c:pt idx="64">
                  <c:v>-2.35920792079208</c:v>
                </c:pt>
                <c:pt idx="65">
                  <c:v>-2.33688118811881</c:v>
                </c:pt>
                <c:pt idx="66">
                  <c:v>-2.31225247524752</c:v>
                </c:pt>
                <c:pt idx="67">
                  <c:v>-2.28532178217822</c:v>
                </c:pt>
                <c:pt idx="68">
                  <c:v>-2.25608910891089</c:v>
                </c:pt>
                <c:pt idx="69">
                  <c:v>-2.22455445544554</c:v>
                </c:pt>
                <c:pt idx="70">
                  <c:v>-2.19071782178218</c:v>
                </c:pt>
                <c:pt idx="71">
                  <c:v>-2.15457920792079</c:v>
                </c:pt>
                <c:pt idx="72">
                  <c:v>-2.11613861386139</c:v>
                </c:pt>
                <c:pt idx="73">
                  <c:v>-2.07539603960396</c:v>
                </c:pt>
                <c:pt idx="74">
                  <c:v>-2.03235148514852</c:v>
                </c:pt>
                <c:pt idx="75">
                  <c:v>-1.98700495049505</c:v>
                </c:pt>
                <c:pt idx="76">
                  <c:v>-1.93935643564357</c:v>
                </c:pt>
                <c:pt idx="77">
                  <c:v>-1.88940594059406</c:v>
                </c:pt>
                <c:pt idx="78">
                  <c:v>-1.83715346534653</c:v>
                </c:pt>
                <c:pt idx="79">
                  <c:v>-1.78259900990099</c:v>
                </c:pt>
                <c:pt idx="80">
                  <c:v>-1.72574257425743</c:v>
                </c:pt>
                <c:pt idx="81">
                  <c:v>-1.66658415841584</c:v>
                </c:pt>
                <c:pt idx="82">
                  <c:v>-1.60512376237624</c:v>
                </c:pt>
                <c:pt idx="83">
                  <c:v>-1.54136138613861</c:v>
                </c:pt>
                <c:pt idx="84">
                  <c:v>-1.47529702970297</c:v>
                </c:pt>
                <c:pt idx="85">
                  <c:v>-1.40693069306931</c:v>
                </c:pt>
                <c:pt idx="86">
                  <c:v>-1.33626237623762</c:v>
                </c:pt>
                <c:pt idx="87">
                  <c:v>-1.26329207920792</c:v>
                </c:pt>
                <c:pt idx="88">
                  <c:v>-1.1880198019802</c:v>
                </c:pt>
                <c:pt idx="89">
                  <c:v>-1.11044554455446</c:v>
                </c:pt>
                <c:pt idx="90">
                  <c:v>-1.03056930693069</c:v>
                </c:pt>
                <c:pt idx="91">
                  <c:v>-0.948391089108911</c:v>
                </c:pt>
                <c:pt idx="92">
                  <c:v>-0.863910891089109</c:v>
                </c:pt>
                <c:pt idx="93">
                  <c:v>-0.777128712871287</c:v>
                </c:pt>
                <c:pt idx="94">
                  <c:v>-0.688044554455446</c:v>
                </c:pt>
                <c:pt idx="95">
                  <c:v>-0.596658415841584</c:v>
                </c:pt>
                <c:pt idx="96">
                  <c:v>-0.502970297029703</c:v>
                </c:pt>
                <c:pt idx="97">
                  <c:v>-0.406980198019803</c:v>
                </c:pt>
                <c:pt idx="98">
                  <c:v>-0.308688118811882</c:v>
                </c:pt>
                <c:pt idx="99">
                  <c:v>-0.208094059405942</c:v>
                </c:pt>
                <c:pt idx="100">
                  <c:v>-0.105198019801981</c:v>
                </c:pt>
                <c:pt idx="103">
                  <c:v>-0.4625</c:v>
                </c:pt>
                <c:pt idx="104">
                  <c:v>-0.42565099009901</c:v>
                </c:pt>
                <c:pt idx="105">
                  <c:v>-0.38945297029703</c:v>
                </c:pt>
                <c:pt idx="106">
                  <c:v>-0.353905940594059</c:v>
                </c:pt>
                <c:pt idx="107">
                  <c:v>-0.319009900990099</c:v>
                </c:pt>
                <c:pt idx="108">
                  <c:v>-0.284764851485148</c:v>
                </c:pt>
                <c:pt idx="109">
                  <c:v>-0.251170792079208</c:v>
                </c:pt>
                <c:pt idx="110">
                  <c:v>-0.218227722772277</c:v>
                </c:pt>
                <c:pt idx="111">
                  <c:v>-0.185935643564356</c:v>
                </c:pt>
                <c:pt idx="112">
                  <c:v>-0.154294554455446</c:v>
                </c:pt>
                <c:pt idx="113">
                  <c:v>-0.123304455445545</c:v>
                </c:pt>
                <c:pt idx="114">
                  <c:v>-0.0929653465346534</c:v>
                </c:pt>
                <c:pt idx="115">
                  <c:v>-0.0632772277227722</c:v>
                </c:pt>
                <c:pt idx="116">
                  <c:v>-0.034240099009901</c:v>
                </c:pt>
                <c:pt idx="117">
                  <c:v>-0.00585396039603958</c:v>
                </c:pt>
                <c:pt idx="118">
                  <c:v>0.0218811881188119</c:v>
                </c:pt>
                <c:pt idx="119">
                  <c:v>0.0489653465346535</c:v>
                </c:pt>
                <c:pt idx="120">
                  <c:v>0.0753985148514852</c:v>
                </c:pt>
                <c:pt idx="121">
                  <c:v>0.101180693069307</c:v>
                </c:pt>
                <c:pt idx="122">
                  <c:v>0.126311881188119</c:v>
                </c:pt>
                <c:pt idx="123">
                  <c:v>0.150792079207921</c:v>
                </c:pt>
                <c:pt idx="124">
                  <c:v>0.174621287128713</c:v>
                </c:pt>
                <c:pt idx="125">
                  <c:v>0.197799504950495</c:v>
                </c:pt>
                <c:pt idx="126">
                  <c:v>0.220326732673267</c:v>
                </c:pt>
                <c:pt idx="127">
                  <c:v>0.24220297029703</c:v>
                </c:pt>
                <c:pt idx="128">
                  <c:v>0.263428217821782</c:v>
                </c:pt>
                <c:pt idx="129">
                  <c:v>0.284002475247525</c:v>
                </c:pt>
                <c:pt idx="130">
                  <c:v>0.303925742574257</c:v>
                </c:pt>
                <c:pt idx="131">
                  <c:v>0.32319801980198</c:v>
                </c:pt>
                <c:pt idx="132">
                  <c:v>0.341819306930693</c:v>
                </c:pt>
                <c:pt idx="133">
                  <c:v>0.359789603960396</c:v>
                </c:pt>
                <c:pt idx="134">
                  <c:v>0.377108910891089</c:v>
                </c:pt>
                <c:pt idx="135">
                  <c:v>0.393777227722772</c:v>
                </c:pt>
                <c:pt idx="136">
                  <c:v>0.409794554455446</c:v>
                </c:pt>
                <c:pt idx="137">
                  <c:v>0.425160891089109</c:v>
                </c:pt>
                <c:pt idx="138">
                  <c:v>0.439876237623763</c:v>
                </c:pt>
                <c:pt idx="139">
                  <c:v>0.453940594059406</c:v>
                </c:pt>
                <c:pt idx="140">
                  <c:v>0.46735396039604</c:v>
                </c:pt>
                <c:pt idx="141">
                  <c:v>0.480116336633663</c:v>
                </c:pt>
                <c:pt idx="142">
                  <c:v>0.492227722772277</c:v>
                </c:pt>
                <c:pt idx="143">
                  <c:v>0.503688118811881</c:v>
                </c:pt>
                <c:pt idx="144">
                  <c:v>0.514497524752475</c:v>
                </c:pt>
                <c:pt idx="145">
                  <c:v>0.524655940594059</c:v>
                </c:pt>
                <c:pt idx="146">
                  <c:v>0.534163366336634</c:v>
                </c:pt>
                <c:pt idx="147">
                  <c:v>0.543019801980198</c:v>
                </c:pt>
                <c:pt idx="148">
                  <c:v>0.551225247524753</c:v>
                </c:pt>
                <c:pt idx="149">
                  <c:v>0.558779702970297</c:v>
                </c:pt>
                <c:pt idx="150">
                  <c:v>0.565683168316832</c:v>
                </c:pt>
                <c:pt idx="151">
                  <c:v>0.571935643564356</c:v>
                </c:pt>
                <c:pt idx="152">
                  <c:v>0.577537128712871</c:v>
                </c:pt>
                <c:pt idx="153">
                  <c:v>0.582487623762376</c:v>
                </c:pt>
                <c:pt idx="154">
                  <c:v>0.586787128712871</c:v>
                </c:pt>
                <c:pt idx="155">
                  <c:v>0.590435643564357</c:v>
                </c:pt>
                <c:pt idx="156">
                  <c:v>0.593433168316832</c:v>
                </c:pt>
                <c:pt idx="157">
                  <c:v>0.595779702970297</c:v>
                </c:pt>
                <c:pt idx="158">
                  <c:v>0.597475247524752</c:v>
                </c:pt>
                <c:pt idx="159">
                  <c:v>0.598519801980198</c:v>
                </c:pt>
                <c:pt idx="160">
                  <c:v>0.598913366336634</c:v>
                </c:pt>
                <c:pt idx="161">
                  <c:v>0.598655940594059</c:v>
                </c:pt>
                <c:pt idx="162">
                  <c:v>0.597747524752475</c:v>
                </c:pt>
                <c:pt idx="163">
                  <c:v>0.596188118811881</c:v>
                </c:pt>
                <c:pt idx="164">
                  <c:v>0.593977722772277</c:v>
                </c:pt>
                <c:pt idx="165">
                  <c:v>0.591116336633663</c:v>
                </c:pt>
                <c:pt idx="166">
                  <c:v>0.58760396039604</c:v>
                </c:pt>
                <c:pt idx="167">
                  <c:v>0.583440594059406</c:v>
                </c:pt>
                <c:pt idx="168">
                  <c:v>0.578626237623762</c:v>
                </c:pt>
                <c:pt idx="169">
                  <c:v>0.573160891089109</c:v>
                </c:pt>
                <c:pt idx="170">
                  <c:v>0.567044554455446</c:v>
                </c:pt>
                <c:pt idx="171">
                  <c:v>0.560277227722772</c:v>
                </c:pt>
                <c:pt idx="172">
                  <c:v>0.552858910891089</c:v>
                </c:pt>
                <c:pt idx="173">
                  <c:v>0.544789603960396</c:v>
                </c:pt>
                <c:pt idx="174">
                  <c:v>0.536069306930693</c:v>
                </c:pt>
                <c:pt idx="175">
                  <c:v>0.52669801980198</c:v>
                </c:pt>
                <c:pt idx="176">
                  <c:v>0.516675742574258</c:v>
                </c:pt>
                <c:pt idx="177">
                  <c:v>0.506002475247525</c:v>
                </c:pt>
                <c:pt idx="178">
                  <c:v>0.494678217821782</c:v>
                </c:pt>
                <c:pt idx="179">
                  <c:v>0.48270297029703</c:v>
                </c:pt>
                <c:pt idx="180">
                  <c:v>0.470076732673267</c:v>
                </c:pt>
                <c:pt idx="181">
                  <c:v>0.456799504950495</c:v>
                </c:pt>
                <c:pt idx="182">
                  <c:v>0.442871287128713</c:v>
                </c:pt>
                <c:pt idx="183">
                  <c:v>0.428292079207921</c:v>
                </c:pt>
                <c:pt idx="184">
                  <c:v>0.413061881188119</c:v>
                </c:pt>
                <c:pt idx="185">
                  <c:v>0.397180693069307</c:v>
                </c:pt>
                <c:pt idx="186">
                  <c:v>0.380648514851485</c:v>
                </c:pt>
                <c:pt idx="187">
                  <c:v>0.363465346534654</c:v>
                </c:pt>
                <c:pt idx="188">
                  <c:v>0.345631188118812</c:v>
                </c:pt>
                <c:pt idx="189">
                  <c:v>0.32714603960396</c:v>
                </c:pt>
                <c:pt idx="190">
                  <c:v>0.308009900990099</c:v>
                </c:pt>
                <c:pt idx="191">
                  <c:v>0.288222772277228</c:v>
                </c:pt>
                <c:pt idx="192">
                  <c:v>0.267784653465347</c:v>
                </c:pt>
                <c:pt idx="193">
                  <c:v>0.246695544554455</c:v>
                </c:pt>
                <c:pt idx="194">
                  <c:v>0.224955445544555</c:v>
                </c:pt>
                <c:pt idx="195">
                  <c:v>0.202564356435644</c:v>
                </c:pt>
                <c:pt idx="196">
                  <c:v>0.179522277227723</c:v>
                </c:pt>
                <c:pt idx="197">
                  <c:v>0.155829207920792</c:v>
                </c:pt>
                <c:pt idx="198">
                  <c:v>0.131485148514852</c:v>
                </c:pt>
                <c:pt idx="199">
                  <c:v>0.106490099009901</c:v>
                </c:pt>
                <c:pt idx="200">
                  <c:v>0.0808440594059411</c:v>
                </c:pt>
                <c:pt idx="201">
                  <c:v>0.0545470297029708</c:v>
                </c:pt>
                <c:pt idx="202">
                  <c:v>0.0275990099009906</c:v>
                </c:pt>
              </c:numCache>
            </c:numRef>
          </c:yVal>
          <c:smooth val="0"/>
        </c:ser>
        <c:axId val="93488981"/>
        <c:axId val="72883581"/>
      </c:scatterChart>
      <c:valAx>
        <c:axId val="93488981"/>
        <c:scaling>
          <c:logBase val="10"/>
          <c:orientation val="minMax"/>
        </c:scaling>
        <c:delete val="0"/>
        <c:axPos val="b"/>
        <c:numFmt formatCode="General" sourceLinked="0"/>
        <c:majorTickMark val="out"/>
        <c:minorTickMark val="out"/>
        <c:tickLblPos val="nextTo"/>
        <c:spPr>
          <a:ln w="9360">
            <a:solidFill>
              <a:srgbClr val="bfbfbf"/>
            </a:solidFill>
            <a:round/>
          </a:ln>
        </c:spPr>
        <c:txPr>
          <a:bodyPr/>
          <a:lstStyle/>
          <a:p>
            <a:pPr>
              <a:defRPr b="1" sz="1600" spc="-1" strike="noStrike">
                <a:solidFill>
                  <a:srgbClr val="595959"/>
                </a:solidFill>
                <a:latin typeface="Calibri"/>
              </a:defRPr>
            </a:pPr>
          </a:p>
        </c:txPr>
        <c:crossAx val="72883581"/>
        <c:crosses val="autoZero"/>
        <c:crossBetween val="midCat"/>
      </c:valAx>
      <c:valAx>
        <c:axId val="72883581"/>
        <c:scaling>
          <c:orientation val="minMax"/>
        </c:scaling>
        <c:delete val="0"/>
        <c:axPos val="l"/>
        <c:numFmt formatCode="General" sourceLinked="0"/>
        <c:majorTickMark val="out"/>
        <c:minorTickMark val="none"/>
        <c:tickLblPos val="nextTo"/>
        <c:spPr>
          <a:ln w="9360">
            <a:solidFill>
              <a:srgbClr val="bfbfbf"/>
            </a:solidFill>
            <a:round/>
          </a:ln>
        </c:spPr>
        <c:txPr>
          <a:bodyPr/>
          <a:lstStyle/>
          <a:p>
            <a:pPr>
              <a:defRPr b="0" sz="1600" spc="-1" strike="noStrike">
                <a:solidFill>
                  <a:srgbClr val="595959"/>
                </a:solidFill>
                <a:latin typeface="Calibri"/>
              </a:defRPr>
            </a:pPr>
          </a:p>
        </c:txPr>
        <c:crossAx val="93488981"/>
        <c:crosses val="max"/>
        <c:crossBetween val="midCat"/>
      </c:valAx>
      <c:spPr>
        <a:noFill/>
        <a:ln w="0">
          <a:solidFill>
            <a:srgbClr val="ffffff"/>
          </a:solidFill>
        </a:ln>
      </c:spPr>
    </c:plotArea>
    <c:legend>
      <c:legendPos val="r"/>
      <c:layout>
        <c:manualLayout>
          <c:xMode val="edge"/>
          <c:yMode val="edge"/>
          <c:x val="0.0422107281079321"/>
          <c:y val="0.0152668664452904"/>
          <c:w val="0.323084713882659"/>
          <c:h val="0.276758595553396"/>
        </c:manualLayout>
      </c:layout>
      <c:overlay val="0"/>
      <c:spPr>
        <a:noFill/>
        <a:ln w="0">
          <a:noFill/>
        </a:ln>
      </c:spPr>
      <c:txPr>
        <a:bodyPr/>
        <a:lstStyle/>
        <a:p>
          <a:pPr>
            <a:defRPr b="0" sz="16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9.xml"/>
</Relationships>
</file>

<file path=xl/drawings/_rels/drawing11.xml.rels><?xml version="1.0" encoding="UTF-8"?>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 Id="rId6" Type="http://schemas.openxmlformats.org/officeDocument/2006/relationships/chart" Target="../charts/chart36.xml"/>
</Relationships>
</file>

<file path=xl/drawings/_rels/drawing1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image" Target="../media/image3.jpeg"/><Relationship Id="rId3" Type="http://schemas.openxmlformats.org/officeDocument/2006/relationships/image" Target="../media/image4.png"/><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
</Relationships>
</file>

<file path=xl/drawings/_rels/drawing15.xml.rels><?xml version="1.0" encoding="UTF-8"?>
<Relationships xmlns="http://schemas.openxmlformats.org/package/2006/relationships"><Relationship Id="rId1" Type="http://schemas.openxmlformats.org/officeDocument/2006/relationships/chart" Target="../charts/chart42.xml"/>
</Relationships>
</file>

<file path=xl/drawings/_rels/drawing16.xml.rels><?xml version="1.0" encoding="UTF-8"?>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 Id="rId4" Type="http://schemas.openxmlformats.org/officeDocument/2006/relationships/chart" Target="../charts/chart46.xml"/><Relationship Id="rId5" Type="http://schemas.openxmlformats.org/officeDocument/2006/relationships/chart" Target="../charts/chart47.xml"/><Relationship Id="rId6" Type="http://schemas.openxmlformats.org/officeDocument/2006/relationships/chart" Target="../charts/chart48.xml"/><Relationship Id="rId7" Type="http://schemas.openxmlformats.org/officeDocument/2006/relationships/chart" Target="../charts/chart49.xml"/><Relationship Id="rId8" Type="http://schemas.openxmlformats.org/officeDocument/2006/relationships/chart" Target="../charts/chart50.xml"/><Relationship Id="rId9" Type="http://schemas.openxmlformats.org/officeDocument/2006/relationships/chart" Target="../charts/chart51.xml"/><Relationship Id="rId10" Type="http://schemas.openxmlformats.org/officeDocument/2006/relationships/chart" Target="../charts/chart52.xml"/><Relationship Id="rId11" Type="http://schemas.openxmlformats.org/officeDocument/2006/relationships/chart" Target="../charts/chart53.xml"/><Relationship Id="rId12" Type="http://schemas.openxmlformats.org/officeDocument/2006/relationships/chart" Target="../charts/chart54.xml"/>
</Relationships>
</file>

<file path=xl/drawings/_rels/drawing18.xml.rels><?xml version="1.0" encoding="UTF-8"?>
<Relationships xmlns="http://schemas.openxmlformats.org/package/2006/relationships"><Relationship Id="rId1" Type="http://schemas.openxmlformats.org/officeDocument/2006/relationships/chart" Target="../charts/chart55.xml"/>
</Relationships>
</file>

<file path=xl/drawings/_rels/drawing19.xml.rels><?xml version="1.0" encoding="UTF-8"?>
<Relationships xmlns="http://schemas.openxmlformats.org/package/2006/relationships"><Relationship Id="rId1" Type="http://schemas.openxmlformats.org/officeDocument/2006/relationships/chart" Target="../charts/chart56.xml"/>
</Relationships>
</file>

<file path=xl/drawings/_rels/drawing5.xml.rels><?xml version="1.0" encoding="UTF-8"?>
<Relationships xmlns="http://schemas.openxmlformats.org/package/2006/relationships"><Relationship Id="rId1" Type="http://schemas.openxmlformats.org/officeDocument/2006/relationships/chart" Target="../charts/chart3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377280</xdr:colOff>
      <xdr:row>3</xdr:row>
      <xdr:rowOff>269640</xdr:rowOff>
    </xdr:from>
    <xdr:to>
      <xdr:col>19</xdr:col>
      <xdr:colOff>325440</xdr:colOff>
      <xdr:row>25</xdr:row>
      <xdr:rowOff>198000</xdr:rowOff>
    </xdr:to>
    <xdr:graphicFrame>
      <xdr:nvGraphicFramePr>
        <xdr:cNvPr id="0" name="Graphique 4"/>
        <xdr:cNvGraphicFramePr/>
      </xdr:nvGraphicFramePr>
      <xdr:xfrm>
        <a:off x="24318720" y="1203120"/>
        <a:ext cx="5341680" cy="468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325800</xdr:colOff>
      <xdr:row>2</xdr:row>
      <xdr:rowOff>63360</xdr:rowOff>
    </xdr:from>
    <xdr:to>
      <xdr:col>31</xdr:col>
      <xdr:colOff>35640</xdr:colOff>
      <xdr:row>22</xdr:row>
      <xdr:rowOff>199800</xdr:rowOff>
    </xdr:to>
    <xdr:graphicFrame>
      <xdr:nvGraphicFramePr>
        <xdr:cNvPr id="2" name="Graphique 1"/>
        <xdr:cNvGraphicFramePr/>
      </xdr:nvGraphicFramePr>
      <xdr:xfrm>
        <a:off x="21963600" y="529920"/>
        <a:ext cx="6848280" cy="413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34920</xdr:colOff>
      <xdr:row>23</xdr:row>
      <xdr:rowOff>15480</xdr:rowOff>
    </xdr:from>
    <xdr:to>
      <xdr:col>37</xdr:col>
      <xdr:colOff>591480</xdr:colOff>
      <xdr:row>43</xdr:row>
      <xdr:rowOff>150480</xdr:rowOff>
    </xdr:to>
    <xdr:graphicFrame>
      <xdr:nvGraphicFramePr>
        <xdr:cNvPr id="3" name="Graphique 2"/>
        <xdr:cNvGraphicFramePr/>
      </xdr:nvGraphicFramePr>
      <xdr:xfrm>
        <a:off x="28811160" y="4682880"/>
        <a:ext cx="6675480" cy="4135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330480</xdr:colOff>
      <xdr:row>23</xdr:row>
      <xdr:rowOff>10440</xdr:rowOff>
    </xdr:from>
    <xdr:to>
      <xdr:col>31</xdr:col>
      <xdr:colOff>40320</xdr:colOff>
      <xdr:row>43</xdr:row>
      <xdr:rowOff>153000</xdr:rowOff>
    </xdr:to>
    <xdr:graphicFrame>
      <xdr:nvGraphicFramePr>
        <xdr:cNvPr id="4" name="Graphique 3"/>
        <xdr:cNvGraphicFramePr/>
      </xdr:nvGraphicFramePr>
      <xdr:xfrm>
        <a:off x="21968280" y="4677840"/>
        <a:ext cx="6848280" cy="4142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43200</xdr:colOff>
      <xdr:row>2</xdr:row>
      <xdr:rowOff>75240</xdr:rowOff>
    </xdr:from>
    <xdr:to>
      <xdr:col>37</xdr:col>
      <xdr:colOff>582840</xdr:colOff>
      <xdr:row>23</xdr:row>
      <xdr:rowOff>13320</xdr:rowOff>
    </xdr:to>
    <xdr:graphicFrame>
      <xdr:nvGraphicFramePr>
        <xdr:cNvPr id="5" name="Graphique 4"/>
        <xdr:cNvGraphicFramePr/>
      </xdr:nvGraphicFramePr>
      <xdr:xfrm>
        <a:off x="28819440" y="541800"/>
        <a:ext cx="6658560" cy="4138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37</xdr:col>
      <xdr:colOff>591840</xdr:colOff>
      <xdr:row>23</xdr:row>
      <xdr:rowOff>21600</xdr:rowOff>
    </xdr:from>
    <xdr:to>
      <xdr:col>44</xdr:col>
      <xdr:colOff>319680</xdr:colOff>
      <xdr:row>43</xdr:row>
      <xdr:rowOff>156600</xdr:rowOff>
    </xdr:to>
    <xdr:graphicFrame>
      <xdr:nvGraphicFramePr>
        <xdr:cNvPr id="6" name="Graphique 5"/>
        <xdr:cNvGraphicFramePr/>
      </xdr:nvGraphicFramePr>
      <xdr:xfrm>
        <a:off x="35487000" y="4689000"/>
        <a:ext cx="6866640" cy="41353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353880</xdr:colOff>
      <xdr:row>18</xdr:row>
      <xdr:rowOff>152640</xdr:rowOff>
    </xdr:from>
    <xdr:to>
      <xdr:col>25</xdr:col>
      <xdr:colOff>206280</xdr:colOff>
      <xdr:row>39</xdr:row>
      <xdr:rowOff>79560</xdr:rowOff>
    </xdr:to>
    <xdr:graphicFrame>
      <xdr:nvGraphicFramePr>
        <xdr:cNvPr id="7" name="Graphique 6"/>
        <xdr:cNvGraphicFramePr/>
      </xdr:nvGraphicFramePr>
      <xdr:xfrm>
        <a:off x="12693240" y="3819600"/>
        <a:ext cx="10170360" cy="412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0.844577375053094</cdr:x>
      <cdr:y>0.190372372896137</cdr:y>
    </cdr:from>
    <cdr:to>
      <cdr:x>0.867443012884043</cdr:x>
      <cdr:y>0.313682741780762</cdr:y>
    </cdr:to>
    <cdr:sp>
      <cdr:nvSpPr>
        <cdr:cNvPr id="8" name="Connecteur droit avec flèche 2"/>
        <cdr:cNvSpPr/>
      </cdr:nvSpPr>
      <cdr:spPr>
        <a:xfrm flipH="1" flipV="1">
          <a:off x="8589960" y="785880"/>
          <a:ext cx="232560" cy="509040"/>
        </a:xfrm>
        <a:custGeom>
          <a:avLst/>
          <a:gdLst/>
          <a:ahLst/>
          <a:rect l="l" t="t" r="r" b="b"/>
          <a:pathLst>
            <a:path w="21600" h="21600">
              <a:moveTo>
                <a:pt x="0" y="0"/>
              </a:moveTo>
              <a:lnTo>
                <a:pt x="21600" y="21600"/>
              </a:lnTo>
            </a:path>
          </a:pathLst>
        </a:custGeom>
        <a:noFill/>
        <a:ln>
          <a:solidFill>
            <a:srgbClr val="4f81bd"/>
          </a:solidFill>
          <a:round/>
        </a:ln>
        <a:effectLst>
          <a:outerShdw blurRad="39960" dir="5400000" dist="20160" rotWithShape="0">
            <a:srgbClr val="000000">
              <a:alpha val="38000"/>
            </a:srgbClr>
          </a:outerShdw>
        </a:effectLst>
      </cdr:spPr>
      <cdr:style>
        <a:lnRef idx="2">
          <a:schemeClr val="accent1"/>
        </a:lnRef>
        <a:fillRef idx="0">
          <a:schemeClr val="accent1"/>
        </a:fillRef>
        <a:effectRef idx="1">
          <a:schemeClr val="accent1"/>
        </a:effectRef>
        <a:fontRef idx="minor"/>
      </cdr:style>
    </cdr:sp>
  </cdr:relSizeAnchor>
  <cdr:relSizeAnchor>
    <cdr:from>
      <cdr:x>0.831020812685827</cdr:x>
      <cdr:y>0.410831080491846</cdr:y>
    </cdr:from>
    <cdr:to>
      <cdr:x>0.94552598046156</cdr:x>
      <cdr:y>0.628499171535711</cdr:y>
    </cdr:to>
    <cdr:sp>
      <cdr:nvSpPr>
        <cdr:cNvPr id="9" name="ZoneTexte 4"/>
        <cdr:cNvSpPr/>
      </cdr:nvSpPr>
      <cdr:spPr>
        <a:xfrm>
          <a:off x="8452080" y="1695960"/>
          <a:ext cx="1164600" cy="898560"/>
        </a:xfrm>
        <a:prstGeom prst="rect">
          <a:avLst/>
        </a:prstGeom>
        <a:noFill/>
        <a:ln w="0">
          <a:noFill/>
        </a:ln>
      </cdr:spPr>
      <cdr:style>
        <a:lnRef idx="0"/>
        <a:fillRef idx="0"/>
        <a:effectRef idx="0"/>
        <a:fontRef idx="minor"/>
      </cdr:style>
      <cdr:txBody>
        <a:bodyPr wrap="none" vertOverflow="clip" lIns="90000" rIns="90000" tIns="45000" bIns="45000" anchor="t">
          <a:noAutofit/>
        </a:bodyPr>
        <a:p>
          <a:pPr>
            <a:lnSpc>
              <a:spcPct val="100000"/>
            </a:lnSpc>
          </a:pPr>
          <a:r>
            <a:rPr b="0" lang="fr-FR" sz="2000" spc="-1" strike="noStrike">
              <a:latin typeface="Times New Roman"/>
            </a:rPr>
            <a:t>tlp</a:t>
          </a:r>
          <a:endParaRPr b="0" sz="2000" spc="-1" strike="noStrike">
            <a:latin typeface="Times New Roman"/>
          </a:endParaRPr>
        </a:p>
      </cdr:txBody>
    </cdr:sp>
  </cdr:relSizeAnchor>
</c:userShapes>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567720</xdr:colOff>
      <xdr:row>8</xdr:row>
      <xdr:rowOff>130680</xdr:rowOff>
    </xdr:from>
    <xdr:to>
      <xdr:col>18</xdr:col>
      <xdr:colOff>12240</xdr:colOff>
      <xdr:row>33</xdr:row>
      <xdr:rowOff>63000</xdr:rowOff>
    </xdr:to>
    <xdr:graphicFrame>
      <xdr:nvGraphicFramePr>
        <xdr:cNvPr id="10" name="Graphique 8"/>
        <xdr:cNvGraphicFramePr/>
      </xdr:nvGraphicFramePr>
      <xdr:xfrm>
        <a:off x="16166520" y="1911960"/>
        <a:ext cx="9067320" cy="506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81</xdr:col>
      <xdr:colOff>196560</xdr:colOff>
      <xdr:row>1</xdr:row>
      <xdr:rowOff>165240</xdr:rowOff>
    </xdr:from>
    <xdr:to>
      <xdr:col>91</xdr:col>
      <xdr:colOff>119520</xdr:colOff>
      <xdr:row>25</xdr:row>
      <xdr:rowOff>198360</xdr:rowOff>
    </xdr:to>
    <xdr:pic>
      <xdr:nvPicPr>
        <xdr:cNvPr id="11" name="Image 3" descr=""/>
        <xdr:cNvPicPr/>
      </xdr:nvPicPr>
      <xdr:blipFill>
        <a:blip r:embed="rId2"/>
        <a:stretch/>
      </xdr:blipFill>
      <xdr:spPr>
        <a:xfrm>
          <a:off x="94429800" y="432000"/>
          <a:ext cx="10121040" cy="5081400"/>
        </a:xfrm>
        <a:prstGeom prst="rect">
          <a:avLst/>
        </a:prstGeom>
        <a:ln w="0">
          <a:noFill/>
        </a:ln>
      </xdr:spPr>
    </xdr:pic>
    <xdr:clientData/>
  </xdr:twoCellAnchor>
  <xdr:twoCellAnchor editAs="oneCell">
    <xdr:from>
      <xdr:col>81</xdr:col>
      <xdr:colOff>207360</xdr:colOff>
      <xdr:row>26</xdr:row>
      <xdr:rowOff>73440</xdr:rowOff>
    </xdr:from>
    <xdr:to>
      <xdr:col>98</xdr:col>
      <xdr:colOff>788760</xdr:colOff>
      <xdr:row>53</xdr:row>
      <xdr:rowOff>73080</xdr:rowOff>
    </xdr:to>
    <xdr:pic>
      <xdr:nvPicPr>
        <xdr:cNvPr id="12" name="Image 7" descr="Table 1 from Advancing NASA's AirMOSS P-Band Radar Root Zone Soil Moisture  Retrieval Algorithm via Incorporation of Richards' Equation | Semantic  Scholar"/>
        <xdr:cNvPicPr/>
      </xdr:nvPicPr>
      <xdr:blipFill>
        <a:blip r:embed="rId3"/>
        <a:stretch/>
      </xdr:blipFill>
      <xdr:spPr>
        <a:xfrm>
          <a:off x="94440600" y="5588280"/>
          <a:ext cx="17918280" cy="5400360"/>
        </a:xfrm>
        <a:prstGeom prst="rect">
          <a:avLst/>
        </a:prstGeom>
        <a:ln w="0">
          <a:noFill/>
        </a:ln>
      </xdr:spPr>
    </xdr:pic>
    <xdr:clientData/>
  </xdr:twoCellAnchor>
  <xdr:twoCellAnchor editAs="oneCell">
    <xdr:from>
      <xdr:col>71</xdr:col>
      <xdr:colOff>452520</xdr:colOff>
      <xdr:row>9</xdr:row>
      <xdr:rowOff>123120</xdr:rowOff>
    </xdr:from>
    <xdr:to>
      <xdr:col>81</xdr:col>
      <xdr:colOff>56520</xdr:colOff>
      <xdr:row>41</xdr:row>
      <xdr:rowOff>139320</xdr:rowOff>
    </xdr:to>
    <xdr:graphicFrame>
      <xdr:nvGraphicFramePr>
        <xdr:cNvPr id="13" name="Graphique 10"/>
        <xdr:cNvGraphicFramePr/>
      </xdr:nvGraphicFramePr>
      <xdr:xfrm>
        <a:off x="84487680" y="2142360"/>
        <a:ext cx="9802080" cy="65124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71</xdr:col>
      <xdr:colOff>444600</xdr:colOff>
      <xdr:row>41</xdr:row>
      <xdr:rowOff>165240</xdr:rowOff>
    </xdr:from>
    <xdr:to>
      <xdr:col>80</xdr:col>
      <xdr:colOff>393480</xdr:colOff>
      <xdr:row>64</xdr:row>
      <xdr:rowOff>82440</xdr:rowOff>
    </xdr:to>
    <xdr:graphicFrame>
      <xdr:nvGraphicFramePr>
        <xdr:cNvPr id="14" name="Graphique 11"/>
        <xdr:cNvGraphicFramePr/>
      </xdr:nvGraphicFramePr>
      <xdr:xfrm>
        <a:off x="84479760" y="8680680"/>
        <a:ext cx="9127440" cy="4517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59</xdr:col>
      <xdr:colOff>203040</xdr:colOff>
      <xdr:row>11</xdr:row>
      <xdr:rowOff>101520</xdr:rowOff>
    </xdr:from>
    <xdr:to>
      <xdr:col>68</xdr:col>
      <xdr:colOff>139320</xdr:colOff>
      <xdr:row>32</xdr:row>
      <xdr:rowOff>190080</xdr:rowOff>
    </xdr:to>
    <xdr:graphicFrame>
      <xdr:nvGraphicFramePr>
        <xdr:cNvPr id="15" name="Graphique 12"/>
        <xdr:cNvGraphicFramePr/>
      </xdr:nvGraphicFramePr>
      <xdr:xfrm>
        <a:off x="71951040" y="2549520"/>
        <a:ext cx="9164160" cy="43556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939960</xdr:colOff>
      <xdr:row>35</xdr:row>
      <xdr:rowOff>63360</xdr:rowOff>
    </xdr:from>
    <xdr:to>
      <xdr:col>17</xdr:col>
      <xdr:colOff>609480</xdr:colOff>
      <xdr:row>64</xdr:row>
      <xdr:rowOff>101160</xdr:rowOff>
    </xdr:to>
    <xdr:graphicFrame>
      <xdr:nvGraphicFramePr>
        <xdr:cNvPr id="16" name="Graphique 13"/>
        <xdr:cNvGraphicFramePr/>
      </xdr:nvGraphicFramePr>
      <xdr:xfrm>
        <a:off x="16538760" y="7378560"/>
        <a:ext cx="8223120" cy="5838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0.826292518495819</cdr:x>
      <cdr:y>0.152043899130649</cdr:y>
    </cdr:from>
    <cdr:to>
      <cdr:x>0.969968918268178</cdr:x>
      <cdr:y>0.203403415746963</cdr:y>
    </cdr:to>
    <cdr:sp>
      <cdr:nvSpPr>
        <cdr:cNvPr id="17" name="ZoneTexte 1"/>
        <cdr:cNvSpPr/>
      </cdr:nvSpPr>
      <cdr:spPr>
        <a:xfrm>
          <a:off x="6795000" y="887760"/>
          <a:ext cx="1181520" cy="299880"/>
        </a:xfrm>
        <a:prstGeom prst="rect">
          <a:avLst/>
        </a:prstGeom>
        <a:noFill/>
        <a:ln w="0">
          <a:noFill/>
        </a:ln>
      </cdr:spPr>
      <cdr:style>
        <a:lnRef idx="0"/>
        <a:fillRef idx="0"/>
        <a:effectRef idx="0"/>
        <a:fontRef idx="minor"/>
      </cdr:style>
      <cdr:txBody>
        <a:bodyPr wrap="none" vertOverflow="clip" lIns="90000" rIns="90000" tIns="45000" bIns="45000" anchor="t">
          <a:noAutofit/>
        </a:bodyPr>
        <a:p>
          <a:pPr>
            <a:lnSpc>
              <a:spcPct val="100000"/>
            </a:lnSpc>
          </a:pPr>
          <a:r>
            <a:rPr b="0" lang="el-GR" sz="1600" spc="-1" strike="noStrike">
              <a:latin typeface="Times New Roman"/>
            </a:rPr>
            <a:t>θ</a:t>
          </a:r>
          <a:r>
            <a:rPr b="0" lang="fr-FR" sz="1600" spc="-1" strike="noStrike">
              <a:latin typeface="Times New Roman"/>
            </a:rPr>
            <a:t>sat</a:t>
          </a:r>
          <a:endParaRPr b="0" sz="1600" spc="-1" strike="noStrike">
            <a:latin typeface="Times New Roman"/>
          </a:endParaRPr>
        </a:p>
      </cdr:txBody>
    </cdr:sp>
  </cdr:relSizeAnchor>
  <cdr:relSizeAnchor>
    <cdr:from>
      <cdr:x>0.165652497482817</cdr:x>
      <cdr:y>0.698008508539367</cdr:y>
    </cdr:from>
    <cdr:to>
      <cdr:x>0.309328897255177</cdr:x>
      <cdr:y>0.749306369073309</cdr:y>
    </cdr:to>
    <cdr:sp>
      <cdr:nvSpPr>
        <cdr:cNvPr id="18" name="ZoneTexte 1"/>
        <cdr:cNvSpPr/>
      </cdr:nvSpPr>
      <cdr:spPr>
        <a:xfrm>
          <a:off x="1362240" y="4075560"/>
          <a:ext cx="1181520" cy="29952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l-GR" sz="1600" spc="-1" strike="noStrike">
              <a:latin typeface="Calibri"/>
            </a:rPr>
            <a:t>θ</a:t>
          </a:r>
          <a:r>
            <a:rPr b="0" lang="fr-FR" sz="1600" spc="-1" strike="noStrike">
              <a:latin typeface="Calibri"/>
            </a:rPr>
            <a:t>res</a:t>
          </a:r>
          <a:endParaRPr b="0" sz="1600" spc="-1" strike="noStrike">
            <a:latin typeface="Times New Roman"/>
          </a:endParaRPr>
        </a:p>
      </cdr:txBody>
    </cdr:sp>
  </cdr:relSizeAnchor>
  <cdr:relSizeAnchor>
    <cdr:from>
      <cdr:x>0.36523223744692</cdr:x>
      <cdr:y>0.265491090696097</cdr:y>
    </cdr:from>
    <cdr:to>
      <cdr:x>0.50890863721928</cdr:x>
      <cdr:y>0.316850607312411</cdr:y>
    </cdr:to>
    <cdr:sp>
      <cdr:nvSpPr>
        <cdr:cNvPr id="19" name="ZoneTexte 1"/>
        <cdr:cNvSpPr/>
      </cdr:nvSpPr>
      <cdr:spPr>
        <a:xfrm>
          <a:off x="3003480" y="1550160"/>
          <a:ext cx="1181520" cy="29988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l-GR" sz="1600" spc="-1" strike="noStrike">
              <a:latin typeface="Calibri"/>
            </a:rPr>
            <a:t>θ</a:t>
          </a:r>
          <a:r>
            <a:rPr b="0" lang="fr-FR" sz="1600" spc="-1" strike="noStrike">
              <a:latin typeface="Calibri"/>
            </a:rPr>
            <a:t>fc</a:t>
          </a:r>
          <a:endParaRPr b="0" sz="1600" spc="-1" strike="noStrike">
            <a:latin typeface="Times New Roman"/>
          </a:endParaRPr>
        </a:p>
      </cdr:txBody>
    </cdr:sp>
  </cdr:relSizeAnchor>
  <cdr:relSizeAnchor>
    <cdr:from>
      <cdr:x>0.492973777524843</cdr:x>
      <cdr:y>0.597385782107405</cdr:y>
    </cdr:from>
    <cdr:to>
      <cdr:x>0.636650177297203</cdr:x>
      <cdr:y>0.648683642641347</cdr:y>
    </cdr:to>
    <cdr:sp>
      <cdr:nvSpPr>
        <cdr:cNvPr id="20" name="ZoneTexte 1"/>
        <cdr:cNvSpPr/>
      </cdr:nvSpPr>
      <cdr:spPr>
        <a:xfrm>
          <a:off x="4053960" y="3488040"/>
          <a:ext cx="1181520" cy="29952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l-GR" sz="1600" spc="-1" strike="noStrike">
              <a:latin typeface="Calibri"/>
            </a:rPr>
            <a:t>θ</a:t>
          </a:r>
          <a:r>
            <a:rPr b="0" lang="fr-FR" sz="1600" spc="-1" strike="noStrike">
              <a:latin typeface="Calibri"/>
            </a:rPr>
            <a:t>wp</a:t>
          </a:r>
          <a:endParaRPr b="0" sz="1600" spc="-1" strike="noStrike">
            <a:latin typeface="Times New Roman"/>
          </a:endParaRPr>
        </a:p>
      </cdr:txBody>
    </cdr:sp>
  </cdr:relSizeAnchor>
</c:userShapes>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18</xdr:col>
      <xdr:colOff>285840</xdr:colOff>
      <xdr:row>1</xdr:row>
      <xdr:rowOff>57240</xdr:rowOff>
    </xdr:from>
    <xdr:to>
      <xdr:col>23</xdr:col>
      <xdr:colOff>730080</xdr:colOff>
      <xdr:row>14</xdr:row>
      <xdr:rowOff>56880</xdr:rowOff>
    </xdr:to>
    <xdr:graphicFrame>
      <xdr:nvGraphicFramePr>
        <xdr:cNvPr id="21" name="Graphique 2"/>
        <xdr:cNvGraphicFramePr/>
      </xdr:nvGraphicFramePr>
      <xdr:xfrm>
        <a:off x="18967680" y="257400"/>
        <a:ext cx="5543280" cy="2675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6480</xdr:colOff>
      <xdr:row>17</xdr:row>
      <xdr:rowOff>26640</xdr:rowOff>
    </xdr:from>
    <xdr:to>
      <xdr:col>14</xdr:col>
      <xdr:colOff>392760</xdr:colOff>
      <xdr:row>43</xdr:row>
      <xdr:rowOff>211320</xdr:rowOff>
    </xdr:to>
    <xdr:graphicFrame>
      <xdr:nvGraphicFramePr>
        <xdr:cNvPr id="22" name="Graphique 5"/>
        <xdr:cNvGraphicFramePr/>
      </xdr:nvGraphicFramePr>
      <xdr:xfrm>
        <a:off x="6563520" y="3884400"/>
        <a:ext cx="8544600" cy="6128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257040</xdr:colOff>
      <xdr:row>7</xdr:row>
      <xdr:rowOff>33120</xdr:rowOff>
    </xdr:from>
    <xdr:to>
      <xdr:col>31</xdr:col>
      <xdr:colOff>589320</xdr:colOff>
      <xdr:row>28</xdr:row>
      <xdr:rowOff>29880</xdr:rowOff>
    </xdr:to>
    <xdr:graphicFrame>
      <xdr:nvGraphicFramePr>
        <xdr:cNvPr id="23" name="Graphique 2"/>
        <xdr:cNvGraphicFramePr/>
      </xdr:nvGraphicFramePr>
      <xdr:xfrm>
        <a:off x="25170480" y="1604880"/>
        <a:ext cx="7666200" cy="4797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36</xdr:col>
      <xdr:colOff>460800</xdr:colOff>
      <xdr:row>9</xdr:row>
      <xdr:rowOff>143280</xdr:rowOff>
    </xdr:from>
    <xdr:to>
      <xdr:col>44</xdr:col>
      <xdr:colOff>29880</xdr:colOff>
      <xdr:row>27</xdr:row>
      <xdr:rowOff>93240</xdr:rowOff>
    </xdr:to>
    <xdr:graphicFrame>
      <xdr:nvGraphicFramePr>
        <xdr:cNvPr id="24" name="Graphique 1"/>
        <xdr:cNvGraphicFramePr/>
      </xdr:nvGraphicFramePr>
      <xdr:xfrm>
        <a:off x="37906200" y="2172240"/>
        <a:ext cx="8055720" cy="4064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41</xdr:col>
      <xdr:colOff>7560</xdr:colOff>
      <xdr:row>34</xdr:row>
      <xdr:rowOff>127440</xdr:rowOff>
    </xdr:from>
    <xdr:to>
      <xdr:col>46</xdr:col>
      <xdr:colOff>334440</xdr:colOff>
      <xdr:row>46</xdr:row>
      <xdr:rowOff>162720</xdr:rowOff>
    </xdr:to>
    <xdr:graphicFrame>
      <xdr:nvGraphicFramePr>
        <xdr:cNvPr id="25" name="Graphique 4"/>
        <xdr:cNvGraphicFramePr/>
      </xdr:nvGraphicFramePr>
      <xdr:xfrm>
        <a:off x="42750000" y="7871400"/>
        <a:ext cx="5621400" cy="2778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59</xdr:col>
      <xdr:colOff>177120</xdr:colOff>
      <xdr:row>0</xdr:row>
      <xdr:rowOff>79920</xdr:rowOff>
    </xdr:from>
    <xdr:to>
      <xdr:col>63</xdr:col>
      <xdr:colOff>781200</xdr:colOff>
      <xdr:row>15</xdr:row>
      <xdr:rowOff>55440</xdr:rowOff>
    </xdr:to>
    <xdr:graphicFrame>
      <xdr:nvGraphicFramePr>
        <xdr:cNvPr id="26" name="Graphique 3"/>
        <xdr:cNvGraphicFramePr/>
      </xdr:nvGraphicFramePr>
      <xdr:xfrm>
        <a:off x="61977240" y="79920"/>
        <a:ext cx="4683240" cy="3376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59</xdr:col>
      <xdr:colOff>181440</xdr:colOff>
      <xdr:row>15</xdr:row>
      <xdr:rowOff>125640</xdr:rowOff>
    </xdr:from>
    <xdr:to>
      <xdr:col>63</xdr:col>
      <xdr:colOff>795240</xdr:colOff>
      <xdr:row>30</xdr:row>
      <xdr:rowOff>87480</xdr:rowOff>
    </xdr:to>
    <xdr:graphicFrame>
      <xdr:nvGraphicFramePr>
        <xdr:cNvPr id="27" name="Graphique 6"/>
        <xdr:cNvGraphicFramePr/>
      </xdr:nvGraphicFramePr>
      <xdr:xfrm>
        <a:off x="61981560" y="3526200"/>
        <a:ext cx="4692960" cy="3390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72</xdr:col>
      <xdr:colOff>14040</xdr:colOff>
      <xdr:row>14</xdr:row>
      <xdr:rowOff>195480</xdr:rowOff>
    </xdr:from>
    <xdr:to>
      <xdr:col>77</xdr:col>
      <xdr:colOff>468720</xdr:colOff>
      <xdr:row>29</xdr:row>
      <xdr:rowOff>157320</xdr:rowOff>
    </xdr:to>
    <xdr:graphicFrame>
      <xdr:nvGraphicFramePr>
        <xdr:cNvPr id="28" name="Graphique 7"/>
        <xdr:cNvGraphicFramePr/>
      </xdr:nvGraphicFramePr>
      <xdr:xfrm>
        <a:off x="75071520" y="3367440"/>
        <a:ext cx="5553720" cy="33908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77</xdr:col>
      <xdr:colOff>446760</xdr:colOff>
      <xdr:row>0</xdr:row>
      <xdr:rowOff>0</xdr:rowOff>
    </xdr:from>
    <xdr:to>
      <xdr:col>83</xdr:col>
      <xdr:colOff>78120</xdr:colOff>
      <xdr:row>14</xdr:row>
      <xdr:rowOff>199080</xdr:rowOff>
    </xdr:to>
    <xdr:graphicFrame>
      <xdr:nvGraphicFramePr>
        <xdr:cNvPr id="29" name="Graphique 8"/>
        <xdr:cNvGraphicFramePr/>
      </xdr:nvGraphicFramePr>
      <xdr:xfrm>
        <a:off x="80603280" y="0"/>
        <a:ext cx="5750280" cy="33710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72</xdr:col>
      <xdr:colOff>0</xdr:colOff>
      <xdr:row>0</xdr:row>
      <xdr:rowOff>0</xdr:rowOff>
    </xdr:from>
    <xdr:to>
      <xdr:col>77</xdr:col>
      <xdr:colOff>454680</xdr:colOff>
      <xdr:row>14</xdr:row>
      <xdr:rowOff>199080</xdr:rowOff>
    </xdr:to>
    <xdr:graphicFrame>
      <xdr:nvGraphicFramePr>
        <xdr:cNvPr id="30" name="Graphique 9"/>
        <xdr:cNvGraphicFramePr/>
      </xdr:nvGraphicFramePr>
      <xdr:xfrm>
        <a:off x="75057480" y="0"/>
        <a:ext cx="5553720" cy="33710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77</xdr:col>
      <xdr:colOff>460440</xdr:colOff>
      <xdr:row>14</xdr:row>
      <xdr:rowOff>209520</xdr:rowOff>
    </xdr:from>
    <xdr:to>
      <xdr:col>83</xdr:col>
      <xdr:colOff>91800</xdr:colOff>
      <xdr:row>29</xdr:row>
      <xdr:rowOff>171360</xdr:rowOff>
    </xdr:to>
    <xdr:graphicFrame>
      <xdr:nvGraphicFramePr>
        <xdr:cNvPr id="31" name="Graphique 10"/>
        <xdr:cNvGraphicFramePr/>
      </xdr:nvGraphicFramePr>
      <xdr:xfrm>
        <a:off x="80616960" y="3381480"/>
        <a:ext cx="5750280" cy="33908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93</xdr:col>
      <xdr:colOff>152280</xdr:colOff>
      <xdr:row>2</xdr:row>
      <xdr:rowOff>196920</xdr:rowOff>
    </xdr:from>
    <xdr:to>
      <xdr:col>99</xdr:col>
      <xdr:colOff>348840</xdr:colOff>
      <xdr:row>22</xdr:row>
      <xdr:rowOff>215640</xdr:rowOff>
    </xdr:to>
    <xdr:graphicFrame>
      <xdr:nvGraphicFramePr>
        <xdr:cNvPr id="32" name="Graphique 11"/>
        <xdr:cNvGraphicFramePr/>
      </xdr:nvGraphicFramePr>
      <xdr:xfrm>
        <a:off x="96625800" y="625680"/>
        <a:ext cx="6315480" cy="45907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105</xdr:col>
      <xdr:colOff>88920</xdr:colOff>
      <xdr:row>3</xdr:row>
      <xdr:rowOff>120600</xdr:rowOff>
    </xdr:from>
    <xdr:to>
      <xdr:col>112</xdr:col>
      <xdr:colOff>812520</xdr:colOff>
      <xdr:row>24</xdr:row>
      <xdr:rowOff>177480</xdr:rowOff>
    </xdr:to>
    <xdr:graphicFrame>
      <xdr:nvGraphicFramePr>
        <xdr:cNvPr id="34" name="Graphique 13"/>
        <xdr:cNvGraphicFramePr/>
      </xdr:nvGraphicFramePr>
      <xdr:xfrm>
        <a:off x="108800280" y="777960"/>
        <a:ext cx="7862400" cy="485748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7.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0.364968080255358</cdr:x>
      <cdr:y>0.518623069081785</cdr:y>
    </cdr:from>
    <cdr:to>
      <cdr:x>0.466028271773826</cdr:x>
      <cdr:y>0.670665725711597</cdr:y>
    </cdr:to>
    <cdr:sp>
      <cdr:nvSpPr>
        <cdr:cNvPr id="33" name="ZoneTexte 1"/>
        <cdr:cNvSpPr/>
      </cdr:nvSpPr>
      <cdr:spPr>
        <a:xfrm>
          <a:off x="2305080" y="2381040"/>
          <a:ext cx="638280" cy="69804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pPr>
          <a:r>
            <a:rPr b="0" lang="fr-FR" sz="2400" spc="-1" strike="noStrike">
              <a:latin typeface="Symbol"/>
            </a:rPr>
            <a:t>b</a:t>
          </a:r>
          <a:endParaRPr b="0" sz="2400" spc="-1" strike="noStrike">
            <a:latin typeface="Times New Roman"/>
          </a:endParaRPr>
        </a:p>
      </cdr:txBody>
    </cdr:sp>
  </cdr:relSizeAnchor>
</c:userShapes>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25</xdr:col>
      <xdr:colOff>340200</xdr:colOff>
      <xdr:row>0</xdr:row>
      <xdr:rowOff>149400</xdr:rowOff>
    </xdr:from>
    <xdr:to>
      <xdr:col>33</xdr:col>
      <xdr:colOff>336600</xdr:colOff>
      <xdr:row>25</xdr:row>
      <xdr:rowOff>78120</xdr:rowOff>
    </xdr:to>
    <xdr:graphicFrame>
      <xdr:nvGraphicFramePr>
        <xdr:cNvPr id="35" name="Graphique 1"/>
        <xdr:cNvGraphicFramePr/>
      </xdr:nvGraphicFramePr>
      <xdr:xfrm>
        <a:off x="30359880" y="149400"/>
        <a:ext cx="8154720" cy="4929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770760</xdr:colOff>
      <xdr:row>1</xdr:row>
      <xdr:rowOff>10080</xdr:rowOff>
    </xdr:from>
    <xdr:to>
      <xdr:col>21</xdr:col>
      <xdr:colOff>525240</xdr:colOff>
      <xdr:row>45</xdr:row>
      <xdr:rowOff>98640</xdr:rowOff>
    </xdr:to>
    <xdr:graphicFrame>
      <xdr:nvGraphicFramePr>
        <xdr:cNvPr id="36" name="Graphique 2"/>
        <xdr:cNvGraphicFramePr/>
      </xdr:nvGraphicFramePr>
      <xdr:xfrm>
        <a:off x="14442480" y="210240"/>
        <a:ext cx="9952560" cy="8889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668880</xdr:colOff>
      <xdr:row>9</xdr:row>
      <xdr:rowOff>8640</xdr:rowOff>
    </xdr:from>
    <xdr:to>
      <xdr:col>16</xdr:col>
      <xdr:colOff>211320</xdr:colOff>
      <xdr:row>25</xdr:row>
      <xdr:rowOff>20880</xdr:rowOff>
    </xdr:to>
    <xdr:graphicFrame>
      <xdr:nvGraphicFramePr>
        <xdr:cNvPr id="1" name="Graphique 1"/>
        <xdr:cNvGraphicFramePr/>
      </xdr:nvGraphicFramePr>
      <xdr:xfrm>
        <a:off x="11390400" y="2085120"/>
        <a:ext cx="8090640" cy="321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simulations/2022%20Pierroton/SurEau_para_Pin2.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urEau_para-ref.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ureau_ini.txt"/>
      <sheetName val="Allometric tree"/>
      <sheetName val="transient_out.txt"/>
      <sheetName val="random_para.txt"/>
      <sheetName val="minimum data"/>
      <sheetName val="van Genutchen"/>
      <sheetName val="SAFRAN to SurEau"/>
      <sheetName val="Siclima to SurEau"/>
      <sheetName val="E-OBS to SurEau"/>
      <sheetName val="Era5-Land to SurEau"/>
      <sheetName val="Climtatik to SurEau"/>
      <sheetName val="sureau_para.txt"/>
      <sheetName val="Fractal shoot"/>
      <sheetName val="Fractal root"/>
      <sheetName val="climat_hour_in.txt"/>
      <sheetName val="climat_day_in.txt"/>
      <sheetName val="climat_month_in.txt"/>
      <sheetName val="Climat Conversion"/>
      <sheetName val="DRIAS to SurEau"/>
      <sheetName val="PV-curve"/>
      <sheetName val="various models"/>
      <sheetName val="Fractal map"/>
      <sheetName val="species"/>
      <sheetName val="calcu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reau_ini.txt"/>
      <sheetName val="transient_out.txt"/>
      <sheetName val="sureau_para.txt"/>
      <sheetName val="Fractal shoot"/>
      <sheetName val="Fractal root"/>
      <sheetName val="Fractal map"/>
      <sheetName val="minimum data"/>
      <sheetName val="climat_hour_in.txt"/>
      <sheetName val="climat_day_in.txt"/>
      <sheetName val="climat_month_in.txt"/>
      <sheetName val="CO2 models"/>
      <sheetName val="PV-curve"/>
      <sheetName val="van Genutchen"/>
      <sheetName val="species"/>
      <sheetName val="calcul"/>
      <sheetName val="LVDT"/>
      <sheetName val="random_para.txt"/>
      <sheetName val="Climat Conversion"/>
      <sheetName val="DRIAS to SurEau"/>
      <sheetName val="Siclima Aladin to SurEa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4.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5.v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1.xml"/><Relationship Id="rId3" Type="http://schemas.openxmlformats.org/officeDocument/2006/relationships/vmlDrawing" Target="../drawings/vmlDrawing6.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13.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5.xml"/>
</Relationships>
</file>

<file path=xl/worksheets/_rels/sheet21.xml.rels><?xml version="1.0" encoding="UTF-8"?>
<Relationships xmlns="http://schemas.openxmlformats.org/package/2006/relationships"><Relationship Id="rId1" Type="http://schemas.openxmlformats.org/officeDocument/2006/relationships/drawing" Target="../drawings/drawing16.x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8.vml"/>
</Relationships>
</file>

<file path=xl/worksheets/_rels/sheet23.xml.rels><?xml version="1.0" encoding="UTF-8"?>
<Relationships xmlns="http://schemas.openxmlformats.org/package/2006/relationships"><Relationship Id="rId1" Type="http://schemas.openxmlformats.org/officeDocument/2006/relationships/drawing" Target="../drawings/drawing18.xml"/>
</Relationships>
</file>

<file path=xl/worksheets/_rels/sheet25.xml.rels><?xml version="1.0" encoding="UTF-8"?>
<Relationships xmlns="http://schemas.openxmlformats.org/package/2006/relationships"><Relationship Id="rId1" Type="http://schemas.openxmlformats.org/officeDocument/2006/relationships/drawing" Target="../drawings/drawing19.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M54"/>
  <sheetViews>
    <sheetView showFormulas="false" showGridLines="true" showRowColHeaders="true" showZeros="true" rightToLeft="false" tabSelected="false" showOutlineSymbols="true" defaultGridColor="true" view="normal" topLeftCell="A1" colorId="64" zoomScale="117" zoomScaleNormal="117" zoomScalePageLayoutView="100" workbookViewId="0">
      <selection pane="topLeft" activeCell="C10" activeCellId="0" sqref="C10"/>
    </sheetView>
  </sheetViews>
  <sheetFormatPr defaultColWidth="10.5" defaultRowHeight="15.75" zeroHeight="false" outlineLevelRow="0" outlineLevelCol="0"/>
  <cols>
    <col collapsed="false" customWidth="true" hidden="false" outlineLevel="0" max="1" min="1" style="0" width="26"/>
    <col collapsed="false" customWidth="true" hidden="false" outlineLevel="0" max="2" min="2" style="0" width="13.16"/>
    <col collapsed="false" customWidth="true" hidden="false" outlineLevel="0" max="3" min="3" style="0" width="20"/>
    <col collapsed="false" customWidth="true" hidden="false" outlineLevel="0" max="4" min="4" style="0" width="19.5"/>
    <col collapsed="false" customWidth="true" hidden="false" outlineLevel="0" max="5" min="5" style="0" width="15.67"/>
    <col collapsed="false" customWidth="true" hidden="false" outlineLevel="0" max="6" min="6" style="0" width="20.16"/>
    <col collapsed="false" customWidth="true" hidden="false" outlineLevel="0" max="8" min="7" style="0" width="13.33"/>
    <col collapsed="false" customWidth="true" hidden="false" outlineLevel="0" max="9" min="9" style="0" width="16.16"/>
    <col collapsed="false" customWidth="true" hidden="false" outlineLevel="0" max="10" min="10" style="0" width="14.66"/>
    <col collapsed="false" customWidth="true" hidden="false" outlineLevel="0" max="11" min="11" style="0" width="16"/>
    <col collapsed="false" customWidth="true" hidden="false" outlineLevel="0" max="12" min="12" style="0" width="14.33"/>
    <col collapsed="false" customWidth="true" hidden="false" outlineLevel="0" max="13" min="13" style="0" width="11.5"/>
    <col collapsed="false" customWidth="true" hidden="false" outlineLevel="0" max="14" min="14" style="0" width="15.5"/>
    <col collapsed="false" customWidth="true" hidden="false" outlineLevel="0" max="15" min="15" style="0" width="17"/>
    <col collapsed="false" customWidth="true" hidden="false" outlineLevel="0" max="16" min="16" style="0" width="14.66"/>
    <col collapsed="false" customWidth="true" hidden="false" outlineLevel="0" max="17" min="17" style="0" width="11.83"/>
    <col collapsed="false" customWidth="true" hidden="false" outlineLevel="0" max="18" min="18" style="0" width="15.67"/>
    <col collapsed="false" customWidth="true" hidden="false" outlineLevel="0" max="19" min="19" style="0" width="13.33"/>
    <col collapsed="false" customWidth="true" hidden="false" outlineLevel="0" max="20" min="20" style="0" width="15.67"/>
    <col collapsed="false" customWidth="true" hidden="false" outlineLevel="0" max="21" min="21" style="0" width="17.33"/>
    <col collapsed="false" customWidth="true" hidden="false" outlineLevel="0" max="22" min="22" style="0" width="13.66"/>
    <col collapsed="false" customWidth="true" hidden="false" outlineLevel="0" max="23" min="23" style="0" width="15.84"/>
    <col collapsed="false" customWidth="true" hidden="false" outlineLevel="0" max="24" min="24" style="0" width="19.5"/>
    <col collapsed="false" customWidth="true" hidden="false" outlineLevel="0" max="25" min="25" style="0" width="11"/>
    <col collapsed="false" customWidth="true" hidden="false" outlineLevel="0" max="26" min="26" style="0" width="11.5"/>
    <col collapsed="false" customWidth="true" hidden="false" outlineLevel="0" max="27" min="27" style="0" width="15.84"/>
    <col collapsed="false" customWidth="true" hidden="false" outlineLevel="0" max="28" min="28" style="0" width="12.16"/>
    <col collapsed="false" customWidth="true" hidden="false" outlineLevel="0" max="29" min="29" style="0" width="14.33"/>
    <col collapsed="false" customWidth="true" hidden="false" outlineLevel="0" max="30" min="30" style="0" width="15.16"/>
    <col collapsed="false" customWidth="true" hidden="false" outlineLevel="0" max="31" min="31" style="0" width="14.66"/>
    <col collapsed="false" customWidth="true" hidden="false" outlineLevel="0" max="32" min="32" style="0" width="14.33"/>
    <col collapsed="false" customWidth="true" hidden="false" outlineLevel="0" max="33" min="33" style="0" width="14.66"/>
    <col collapsed="false" customWidth="true" hidden="false" outlineLevel="0" max="34" min="34" style="0" width="12.5"/>
    <col collapsed="false" customWidth="true" hidden="false" outlineLevel="0" max="35" min="35" style="0" width="10"/>
    <col collapsed="false" customWidth="true" hidden="false" outlineLevel="0" max="36" min="36" style="0" width="14"/>
    <col collapsed="false" customWidth="true" hidden="false" outlineLevel="0" max="37" min="37" style="0" width="16.16"/>
    <col collapsed="false" customWidth="true" hidden="false" outlineLevel="0" max="38" min="38" style="0" width="14.66"/>
    <col collapsed="false" customWidth="true" hidden="false" outlineLevel="0" max="39" min="39" style="0" width="10"/>
    <col collapsed="false" customWidth="true" hidden="false" outlineLevel="0" max="40" min="40" style="0" width="14"/>
    <col collapsed="false" customWidth="true" hidden="false" outlineLevel="0" max="41" min="41" style="0" width="16"/>
    <col collapsed="false" customWidth="true" hidden="false" outlineLevel="0" max="42" min="42" style="0" width="11"/>
    <col collapsed="false" customWidth="true" hidden="false" outlineLevel="0" max="43" min="43" style="0" width="13.33"/>
    <col collapsed="false" customWidth="true" hidden="false" outlineLevel="0" max="44" min="44" style="0" width="12.16"/>
    <col collapsed="false" customWidth="true" hidden="false" outlineLevel="0" max="45" min="45" style="0" width="10.66"/>
    <col collapsed="false" customWidth="true" hidden="false" outlineLevel="0" max="46" min="46" style="0" width="10.83"/>
    <col collapsed="false" customWidth="true" hidden="false" outlineLevel="0" max="47" min="47" style="0" width="10.66"/>
    <col collapsed="false" customWidth="true" hidden="false" outlineLevel="0" max="48" min="48" style="0" width="9"/>
    <col collapsed="false" customWidth="true" hidden="false" outlineLevel="0" max="49" min="49" style="0" width="16.16"/>
    <col collapsed="false" customWidth="true" hidden="false" outlineLevel="0" max="50" min="50" style="0" width="13.83"/>
    <col collapsed="false" customWidth="true" hidden="false" outlineLevel="0" max="51" min="51" style="0" width="13.33"/>
    <col collapsed="false" customWidth="true" hidden="false" outlineLevel="0" max="52" min="52" style="0" width="11.66"/>
    <col collapsed="false" customWidth="true" hidden="false" outlineLevel="0" max="53" min="53" style="0" width="13.16"/>
    <col collapsed="false" customWidth="true" hidden="false" outlineLevel="0" max="54" min="54" style="0" width="15"/>
    <col collapsed="false" customWidth="true" hidden="false" outlineLevel="0" max="55" min="55" style="0" width="15.16"/>
    <col collapsed="false" customWidth="true" hidden="false" outlineLevel="0" max="56" min="56" style="0" width="14.16"/>
    <col collapsed="false" customWidth="true" hidden="false" outlineLevel="0" max="57" min="57" style="0" width="17.83"/>
    <col collapsed="false" customWidth="true" hidden="false" outlineLevel="0" max="58" min="58" style="0" width="10.83"/>
    <col collapsed="false" customWidth="true" hidden="false" outlineLevel="0" max="59" min="59" style="0" width="17.5"/>
    <col collapsed="false" customWidth="true" hidden="false" outlineLevel="0" max="60" min="60" style="0" width="13.83"/>
    <col collapsed="false" customWidth="true" hidden="false" outlineLevel="0" max="61" min="61" style="0" width="12.66"/>
    <col collapsed="false" customWidth="true" hidden="false" outlineLevel="0" max="62" min="62" style="0" width="14.33"/>
    <col collapsed="false" customWidth="true" hidden="false" outlineLevel="0" max="63" min="63" style="0" width="14"/>
    <col collapsed="false" customWidth="true" hidden="false" outlineLevel="0" max="64" min="64" style="0" width="16.67"/>
    <col collapsed="false" customWidth="true" hidden="false" outlineLevel="0" max="65" min="65" style="0" width="16"/>
    <col collapsed="false" customWidth="true" hidden="false" outlineLevel="0" max="66" min="66" style="0" width="15.84"/>
    <col collapsed="false" customWidth="true" hidden="false" outlineLevel="0" max="67" min="67" style="0" width="16.16"/>
    <col collapsed="false" customWidth="true" hidden="false" outlineLevel="0" max="68" min="68" style="0" width="16.67"/>
    <col collapsed="false" customWidth="true" hidden="false" outlineLevel="0" max="69" min="69" style="0" width="15.33"/>
    <col collapsed="false" customWidth="true" hidden="false" outlineLevel="0" max="75" min="70" style="0" width="18.66"/>
    <col collapsed="false" customWidth="true" hidden="false" outlineLevel="0" max="76" min="76" style="0" width="21.5"/>
    <col collapsed="false" customWidth="true" hidden="false" outlineLevel="0" max="77" min="77" style="0" width="21.83"/>
    <col collapsed="false" customWidth="true" hidden="false" outlineLevel="0" max="78" min="78" style="0" width="15.33"/>
    <col collapsed="false" customWidth="true" hidden="false" outlineLevel="0" max="79" min="79" style="0" width="17.16"/>
    <col collapsed="false" customWidth="true" hidden="false" outlineLevel="0" max="80" min="80" style="0" width="15.33"/>
    <col collapsed="false" customWidth="true" hidden="false" outlineLevel="0" max="82" min="81" style="0" width="18"/>
    <col collapsed="false" customWidth="true" hidden="false" outlineLevel="0" max="83" min="83" style="0" width="12.83"/>
    <col collapsed="false" customWidth="true" hidden="false" outlineLevel="0" max="84" min="84" style="0" width="14.66"/>
    <col collapsed="false" customWidth="true" hidden="false" outlineLevel="0" max="85" min="85" style="0" width="15.84"/>
    <col collapsed="false" customWidth="true" hidden="false" outlineLevel="0" max="86" min="86" style="0" width="18"/>
    <col collapsed="false" customWidth="true" hidden="false" outlineLevel="0" max="87" min="87" style="0" width="20.83"/>
    <col collapsed="false" customWidth="true" hidden="false" outlineLevel="0" max="92" min="88" style="0" width="18"/>
    <col collapsed="false" customWidth="true" hidden="false" outlineLevel="0" max="94" min="93" style="0" width="16.33"/>
    <col collapsed="false" customWidth="true" hidden="false" outlineLevel="0" max="98" min="95" style="0" width="12.83"/>
    <col collapsed="false" customWidth="true" hidden="false" outlineLevel="0" max="99" min="99" style="0" width="14.84"/>
    <col collapsed="false" customWidth="true" hidden="false" outlineLevel="0" max="100" min="100" style="0" width="18"/>
    <col collapsed="false" customWidth="true" hidden="false" outlineLevel="0" max="101" min="101" style="0" width="17.16"/>
    <col collapsed="false" customWidth="true" hidden="false" outlineLevel="0" max="103" min="102" style="0" width="12.66"/>
    <col collapsed="false" customWidth="true" hidden="false" outlineLevel="0" max="104" min="104" style="0" width="13.66"/>
    <col collapsed="false" customWidth="true" hidden="false" outlineLevel="0" max="105" min="105" style="0" width="12.83"/>
    <col collapsed="false" customWidth="true" hidden="false" outlineLevel="0" max="106" min="106" style="0" width="15"/>
    <col collapsed="false" customWidth="true" hidden="false" outlineLevel="0" max="107" min="107" style="0" width="15.16"/>
    <col collapsed="false" customWidth="true" hidden="false" outlineLevel="0" max="108" min="108" style="0" width="12.83"/>
    <col collapsed="false" customWidth="true" hidden="false" outlineLevel="0" max="110" min="109" style="0" width="14"/>
    <col collapsed="false" customWidth="true" hidden="false" outlineLevel="0" max="111" min="111" style="0" width="11.16"/>
    <col collapsed="false" customWidth="true" hidden="false" outlineLevel="0" max="112" min="112" style="0" width="15"/>
    <col collapsed="false" customWidth="true" hidden="false" outlineLevel="0" max="113" min="113" style="0" width="14.84"/>
    <col collapsed="false" customWidth="true" hidden="false" outlineLevel="0" max="114" min="114" style="0" width="13.83"/>
    <col collapsed="false" customWidth="true" hidden="false" outlineLevel="0" max="115" min="115" style="0" width="17.33"/>
    <col collapsed="false" customWidth="true" hidden="false" outlineLevel="0" max="124" min="116" style="0" width="15.67"/>
    <col collapsed="false" customWidth="true" hidden="false" outlineLevel="0" max="125" min="125" style="0" width="16.5"/>
    <col collapsed="false" customWidth="true" hidden="false" outlineLevel="0" max="128" min="126" style="0" width="13.66"/>
    <col collapsed="false" customWidth="true" hidden="false" outlineLevel="0" max="129" min="129" style="0" width="19"/>
    <col collapsed="false" customWidth="true" hidden="false" outlineLevel="0" max="130" min="130" style="0" width="16.16"/>
    <col collapsed="false" customWidth="true" hidden="false" outlineLevel="0" max="133" min="133" style="0" width="12.33"/>
    <col collapsed="false" customWidth="true" hidden="false" outlineLevel="0" max="134" min="134" style="0" width="13.16"/>
    <col collapsed="false" customWidth="true" hidden="false" outlineLevel="0" max="135" min="135" style="0" width="14"/>
    <col collapsed="false" customWidth="true" hidden="false" outlineLevel="0" max="136" min="136" style="0" width="10.17"/>
    <col collapsed="false" customWidth="true" hidden="false" outlineLevel="0" max="137" min="137" style="0" width="17.67"/>
    <col collapsed="false" customWidth="true" hidden="false" outlineLevel="0" max="138" min="138" style="0" width="14.84"/>
    <col collapsed="false" customWidth="true" hidden="false" outlineLevel="0" max="139" min="139" style="0" width="11.16"/>
    <col collapsed="false" customWidth="true" hidden="false" outlineLevel="0" max="140" min="140" style="0" width="10.83"/>
    <col collapsed="false" customWidth="true" hidden="false" outlineLevel="0" max="141" min="141" style="0" width="14.33"/>
    <col collapsed="false" customWidth="true" hidden="false" outlineLevel="0" max="142" min="142" style="0" width="14.16"/>
    <col collapsed="false" customWidth="true" hidden="false" outlineLevel="0" max="143" min="143" style="0" width="16.5"/>
    <col collapsed="false" customWidth="true" hidden="false" outlineLevel="0" max="144" min="144" style="0" width="20.83"/>
    <col collapsed="false" customWidth="true" hidden="false" outlineLevel="0" max="145" min="145" style="0" width="16.5"/>
    <col collapsed="false" customWidth="true" hidden="false" outlineLevel="0" max="146" min="146" style="0" width="12.66"/>
    <col collapsed="false" customWidth="true" hidden="false" outlineLevel="0" max="147" min="147" style="0" width="15"/>
    <col collapsed="false" customWidth="true" hidden="false" outlineLevel="0" max="148" min="148" style="0" width="17.16"/>
    <col collapsed="false" customWidth="true" hidden="false" outlineLevel="0" max="149" min="149" style="0" width="16.16"/>
    <col collapsed="false" customWidth="true" hidden="false" outlineLevel="0" max="150" min="150" style="0" width="15.5"/>
    <col collapsed="false" customWidth="true" hidden="false" outlineLevel="0" max="153" min="151" style="0" width="16.84"/>
    <col collapsed="false" customWidth="true" hidden="false" outlineLevel="0" max="154" min="154" style="0" width="18.33"/>
    <col collapsed="false" customWidth="true" hidden="false" outlineLevel="0" max="155" min="155" style="0" width="18.16"/>
    <col collapsed="false" customWidth="true" hidden="false" outlineLevel="0" max="156" min="156" style="0" width="17.33"/>
    <col collapsed="false" customWidth="true" hidden="false" outlineLevel="0" max="158" min="157" style="0" width="15.5"/>
    <col collapsed="false" customWidth="true" hidden="false" outlineLevel="0" max="159" min="159" style="0" width="16.67"/>
    <col collapsed="false" customWidth="true" hidden="false" outlineLevel="0" max="160" min="160" style="0" width="16"/>
    <col collapsed="false" customWidth="true" hidden="false" outlineLevel="0" max="161" min="161" style="0" width="12.16"/>
    <col collapsed="false" customWidth="true" hidden="false" outlineLevel="0" max="162" min="162" style="0" width="16.5"/>
    <col collapsed="false" customWidth="true" hidden="false" outlineLevel="0" max="163" min="163" style="0" width="15.5"/>
    <col collapsed="false" customWidth="true" hidden="false" outlineLevel="0" max="164" min="164" style="0" width="14.66"/>
    <col collapsed="false" customWidth="true" hidden="false" outlineLevel="0" max="167" min="165" style="0" width="16"/>
    <col collapsed="false" customWidth="true" hidden="false" outlineLevel="0" max="168" min="168" style="0" width="20.16"/>
    <col collapsed="false" customWidth="true" hidden="false" outlineLevel="0" max="169" min="169" style="0" width="24.83"/>
    <col collapsed="false" customWidth="true" hidden="false" outlineLevel="0" max="171" min="170" style="0" width="13.66"/>
    <col collapsed="false" customWidth="true" hidden="false" outlineLevel="0" max="172" min="172" style="0" width="16.67"/>
    <col collapsed="false" customWidth="true" hidden="false" outlineLevel="0" max="173" min="173" style="0" width="14"/>
    <col collapsed="false" customWidth="true" hidden="false" outlineLevel="0" max="174" min="174" style="0" width="15.5"/>
    <col collapsed="false" customWidth="true" hidden="false" outlineLevel="0" max="175" min="175" style="0" width="13.5"/>
    <col collapsed="false" customWidth="true" hidden="false" outlineLevel="0" max="176" min="176" style="0" width="16.5"/>
    <col collapsed="false" customWidth="true" hidden="false" outlineLevel="0" max="177" min="177" style="0" width="15.84"/>
    <col collapsed="false" customWidth="true" hidden="false" outlineLevel="0" max="179" min="178" style="0" width="13.83"/>
    <col collapsed="false" customWidth="true" hidden="false" outlineLevel="0" max="180" min="180" style="0" width="18.16"/>
    <col collapsed="false" customWidth="true" hidden="false" outlineLevel="0" max="181" min="181" style="0" width="17"/>
    <col collapsed="false" customWidth="true" hidden="false" outlineLevel="0" max="182" min="182" style="0" width="16"/>
    <col collapsed="false" customWidth="true" hidden="false" outlineLevel="0" max="183" min="183" style="0" width="18.33"/>
    <col collapsed="false" customWidth="true" hidden="false" outlineLevel="0" max="184" min="184" style="0" width="16.84"/>
    <col collapsed="false" customWidth="true" hidden="false" outlineLevel="0" max="185" min="185" style="0" width="15.84"/>
    <col collapsed="false" customWidth="true" hidden="false" outlineLevel="0" max="186" min="186" style="0" width="14.84"/>
    <col collapsed="false" customWidth="true" hidden="false" outlineLevel="0" max="187" min="187" style="0" width="15.67"/>
    <col collapsed="false" customWidth="true" hidden="false" outlineLevel="0" max="192" min="188" style="0" width="20.33"/>
    <col collapsed="false" customWidth="true" hidden="false" outlineLevel="0" max="193" min="193" style="0" width="21.66"/>
    <col collapsed="false" customWidth="true" hidden="false" outlineLevel="0" max="194" min="194" style="0" width="20.33"/>
    <col collapsed="false" customWidth="true" hidden="false" outlineLevel="0" max="195" min="195" style="0" width="13.83"/>
    <col collapsed="false" customWidth="true" hidden="false" outlineLevel="0" max="196" min="196" style="0" width="15.84"/>
    <col collapsed="false" customWidth="true" hidden="false" outlineLevel="0" max="198" min="197" style="0" width="15.67"/>
    <col collapsed="false" customWidth="true" hidden="false" outlineLevel="0" max="199" min="199" style="0" width="18.16"/>
    <col collapsed="false" customWidth="true" hidden="false" outlineLevel="0" max="200" min="200" style="0" width="17.16"/>
    <col collapsed="false" customWidth="true" hidden="false" outlineLevel="0" max="201" min="201" style="0" width="16.33"/>
    <col collapsed="false" customWidth="true" hidden="false" outlineLevel="0" max="202" min="202" style="0" width="14.33"/>
    <col collapsed="false" customWidth="true" hidden="false" outlineLevel="0" max="203" min="203" style="0" width="14.66"/>
    <col collapsed="false" customWidth="true" hidden="false" outlineLevel="0" max="204" min="204" style="0" width="16.16"/>
    <col collapsed="false" customWidth="true" hidden="false" outlineLevel="0" max="205" min="205" style="0" width="16.33"/>
    <col collapsed="false" customWidth="true" hidden="false" outlineLevel="0" max="206" min="206" style="0" width="16.16"/>
    <col collapsed="false" customWidth="true" hidden="false" outlineLevel="0" max="209" min="207" style="0" width="18.33"/>
    <col collapsed="false" customWidth="true" hidden="false" outlineLevel="0" max="210" min="210" style="0" width="15"/>
    <col collapsed="false" customWidth="true" hidden="false" outlineLevel="0" max="211" min="211" style="0" width="14.5"/>
    <col collapsed="false" customWidth="true" hidden="false" outlineLevel="0" max="212" min="212" style="0" width="15.33"/>
    <col collapsed="false" customWidth="true" hidden="false" outlineLevel="0" max="213" min="213" style="0" width="16.84"/>
    <col collapsed="false" customWidth="true" hidden="false" outlineLevel="0" max="214" min="214" style="0" width="15.84"/>
    <col collapsed="false" customWidth="true" hidden="false" outlineLevel="0" max="215" min="215" style="0" width="17.67"/>
    <col collapsed="false" customWidth="true" hidden="false" outlineLevel="0" max="216" min="216" style="0" width="16.84"/>
    <col collapsed="false" customWidth="true" hidden="false" outlineLevel="0" max="217" min="217" style="0" width="18.33"/>
    <col collapsed="false" customWidth="true" hidden="false" outlineLevel="0" max="219" min="218" style="0" width="19.5"/>
    <col collapsed="false" customWidth="true" hidden="false" outlineLevel="0" max="220" min="220" style="0" width="15.84"/>
    <col collapsed="false" customWidth="true" hidden="false" outlineLevel="0" max="221" min="221" style="0" width="14.66"/>
    <col collapsed="false" customWidth="true" hidden="false" outlineLevel="0" max="222" min="222" style="0" width="12.33"/>
    <col collapsed="false" customWidth="true" hidden="false" outlineLevel="0" max="223" min="223" style="0" width="11"/>
    <col collapsed="false" customWidth="true" hidden="false" outlineLevel="0" max="224" min="224" style="0" width="15.5"/>
    <col collapsed="false" customWidth="true" hidden="false" outlineLevel="0" max="229" min="225" style="0" width="11"/>
    <col collapsed="false" customWidth="true" hidden="false" outlineLevel="0" max="230" min="230" style="0" width="12.5"/>
    <col collapsed="false" customWidth="true" hidden="false" outlineLevel="0" max="234" min="231" style="0" width="11"/>
    <col collapsed="false" customWidth="true" hidden="false" outlineLevel="0" max="235" min="235" style="0" width="19.16"/>
    <col collapsed="false" customWidth="true" hidden="false" outlineLevel="0" max="236" min="236" style="0" width="19.5"/>
    <col collapsed="false" customWidth="true" hidden="false" outlineLevel="0" max="242" min="237" style="0" width="11"/>
    <col collapsed="false" customWidth="true" hidden="false" outlineLevel="0" max="243" min="243" style="0" width="20.16"/>
    <col collapsed="false" customWidth="true" hidden="false" outlineLevel="0" max="244" min="244" style="0" width="18.5"/>
    <col collapsed="false" customWidth="true" hidden="false" outlineLevel="0" max="245" min="245" style="0" width="11"/>
    <col collapsed="false" customWidth="true" hidden="false" outlineLevel="0" max="246" min="246" style="0" width="16.67"/>
    <col collapsed="false" customWidth="true" hidden="false" outlineLevel="0" max="247" min="247" style="0" width="14.84"/>
    <col collapsed="false" customWidth="true" hidden="false" outlineLevel="0" max="248" min="248" style="0" width="14.33"/>
    <col collapsed="false" customWidth="true" hidden="false" outlineLevel="0" max="249" min="249" style="0" width="14.66"/>
    <col collapsed="false" customWidth="true" hidden="false" outlineLevel="0" max="250" min="250" style="0" width="14.84"/>
    <col collapsed="false" customWidth="true" hidden="false" outlineLevel="0" max="251" min="251" style="0" width="14.66"/>
    <col collapsed="false" customWidth="true" hidden="false" outlineLevel="0" max="252" min="252" style="0" width="17.83"/>
    <col collapsed="false" customWidth="true" hidden="false" outlineLevel="0" max="253" min="253" style="0" width="16.16"/>
    <col collapsed="false" customWidth="true" hidden="false" outlineLevel="0" max="254" min="254" style="0" width="15.67"/>
    <col collapsed="false" customWidth="true" hidden="false" outlineLevel="0" max="256" min="255" style="0" width="14.5"/>
    <col collapsed="false" customWidth="true" hidden="false" outlineLevel="0" max="265" min="265" style="0" width="15"/>
  </cols>
  <sheetData>
    <row r="1" customFormat="false" ht="24" hidden="false" customHeight="false" outlineLevel="0" collapsed="false">
      <c r="A1" s="1" t="s">
        <v>0</v>
      </c>
      <c r="B1" s="2"/>
      <c r="C1" s="3" t="s">
        <v>1</v>
      </c>
      <c r="D1" s="4"/>
      <c r="E1" s="4"/>
      <c r="F1" s="4"/>
      <c r="G1" s="4"/>
      <c r="H1" s="4"/>
      <c r="I1" s="4"/>
      <c r="J1" s="5"/>
      <c r="K1" s="6"/>
      <c r="L1" s="6"/>
      <c r="M1" s="7" t="s">
        <v>2</v>
      </c>
      <c r="N1" s="6"/>
      <c r="O1" s="6"/>
      <c r="P1" s="6"/>
      <c r="Q1" s="6"/>
      <c r="R1" s="6"/>
      <c r="S1" s="6"/>
      <c r="T1" s="6"/>
      <c r="U1" s="6"/>
      <c r="V1" s="6"/>
      <c r="W1" s="6"/>
      <c r="X1" s="6"/>
      <c r="Y1" s="6"/>
      <c r="Z1" s="6"/>
      <c r="AA1" s="6"/>
      <c r="AB1" s="6"/>
      <c r="AC1" s="6"/>
      <c r="AD1" s="6"/>
      <c r="AE1" s="6"/>
      <c r="AF1" s="6"/>
      <c r="AG1" s="6"/>
      <c r="AH1" s="6"/>
      <c r="AI1" s="6"/>
      <c r="AJ1" s="6"/>
      <c r="AK1" s="6"/>
      <c r="AL1" s="6"/>
      <c r="AM1" s="6"/>
      <c r="AN1" s="6"/>
      <c r="AO1" s="6"/>
      <c r="BD1" s="8" t="s">
        <v>3</v>
      </c>
      <c r="BE1" s="8" t="s">
        <v>4</v>
      </c>
      <c r="BF1" s="9"/>
      <c r="BG1" s="8" t="s">
        <v>5</v>
      </c>
      <c r="BJ1" s="0" t="s">
        <v>6</v>
      </c>
      <c r="BK1" s="0" t="n">
        <v>0</v>
      </c>
      <c r="BL1" s="0" t="n">
        <f aca="false">BL2</f>
        <v>-0.5</v>
      </c>
      <c r="BM1" s="0" t="s">
        <v>7</v>
      </c>
      <c r="BN1" s="0" t="n">
        <f aca="false">E11</f>
        <v>-2.02386835769398</v>
      </c>
      <c r="BO1" s="0" t="n">
        <f aca="false">B10+B10/10</f>
        <v>1.1</v>
      </c>
      <c r="GE1" s="10" t="s">
        <v>8</v>
      </c>
      <c r="GJ1" s="11" t="s">
        <v>9</v>
      </c>
      <c r="GK1" s="12" t="s">
        <v>10</v>
      </c>
      <c r="GL1" s="13" t="s">
        <v>11</v>
      </c>
      <c r="GM1" s="14" t="s">
        <v>12</v>
      </c>
      <c r="GN1" s="15" t="s">
        <v>13</v>
      </c>
      <c r="GO1" s="16" t="s">
        <v>14</v>
      </c>
      <c r="GP1" s="17" t="s">
        <v>15</v>
      </c>
      <c r="GQ1" s="18" t="s">
        <v>16</v>
      </c>
      <c r="GR1" s="12" t="s">
        <v>10</v>
      </c>
      <c r="GS1" s="12" t="s">
        <v>15</v>
      </c>
      <c r="GT1" s="18" t="s">
        <v>16</v>
      </c>
    </row>
    <row r="2" customFormat="false" ht="24.75" hidden="false" customHeight="false" outlineLevel="0" collapsed="false">
      <c r="A2" s="19" t="s">
        <v>17</v>
      </c>
      <c r="B2" s="20"/>
      <c r="C2" s="21" t="s">
        <v>18</v>
      </c>
      <c r="D2" s="22"/>
      <c r="E2" s="22"/>
      <c r="F2" s="22"/>
      <c r="G2" s="22"/>
      <c r="H2" s="22"/>
      <c r="I2" s="22"/>
      <c r="J2" s="23"/>
      <c r="K2" s="6"/>
      <c r="L2" s="6"/>
      <c r="M2" s="6"/>
      <c r="N2" s="6"/>
      <c r="O2" s="6"/>
      <c r="P2" s="6"/>
      <c r="Q2" s="6"/>
      <c r="R2" s="6"/>
      <c r="S2" s="6"/>
      <c r="T2" s="6"/>
      <c r="U2" s="6"/>
      <c r="V2" s="6"/>
      <c r="W2" s="6"/>
      <c r="X2" s="6"/>
      <c r="Y2" s="6"/>
      <c r="Z2" s="6"/>
      <c r="AA2" s="11" t="s">
        <v>9</v>
      </c>
      <c r="AB2" s="12" t="s">
        <v>10</v>
      </c>
      <c r="AC2" s="12" t="s">
        <v>19</v>
      </c>
      <c r="AD2" s="24" t="s">
        <v>11</v>
      </c>
      <c r="AE2" s="14" t="s">
        <v>12</v>
      </c>
      <c r="AF2" s="15" t="s">
        <v>13</v>
      </c>
      <c r="AG2" s="16" t="s">
        <v>14</v>
      </c>
      <c r="AH2" s="17" t="s">
        <v>15</v>
      </c>
      <c r="AI2" s="18" t="s">
        <v>16</v>
      </c>
      <c r="AJ2" s="12" t="s">
        <v>10</v>
      </c>
      <c r="AK2" s="12" t="s">
        <v>15</v>
      </c>
      <c r="AL2" s="18" t="s">
        <v>16</v>
      </c>
      <c r="AM2" s="25" t="s">
        <v>20</v>
      </c>
      <c r="AZ2" s="26" t="s">
        <v>21</v>
      </c>
      <c r="BA2" s="26" t="s">
        <v>22</v>
      </c>
      <c r="BC2" s="0" t="n">
        <v>9</v>
      </c>
      <c r="BD2" s="27" t="s">
        <v>23</v>
      </c>
      <c r="BE2" s="27" t="s">
        <v>23</v>
      </c>
      <c r="BF2" s="9"/>
      <c r="BG2" s="27" t="s">
        <v>24</v>
      </c>
      <c r="BJ2" s="0" t="s">
        <v>25</v>
      </c>
      <c r="BK2" s="0" t="n">
        <f aca="false">AF19</f>
        <v>-0.61979333008857</v>
      </c>
      <c r="BL2" s="0" t="n">
        <f aca="false">-B10*E20</f>
        <v>-0.5</v>
      </c>
      <c r="BN2" s="0" t="n">
        <f aca="false">BN1</f>
        <v>-2.02386835769398</v>
      </c>
      <c r="BO2" s="0" t="n">
        <f aca="false">B10-B10/10</f>
        <v>0.9</v>
      </c>
      <c r="GE2" s="28" t="s">
        <v>26</v>
      </c>
      <c r="GK2" s="29" t="s">
        <v>27</v>
      </c>
      <c r="GL2" s="30" t="n">
        <f aca="false">AD3</f>
        <v>0.3692264752221</v>
      </c>
      <c r="GM2" s="31" t="n">
        <f aca="false">AE3</f>
        <v>1.19145030221392</v>
      </c>
      <c r="GN2" s="32" t="n">
        <f aca="false">AF3</f>
        <v>-1.54948332522143</v>
      </c>
      <c r="GO2" s="30" t="n">
        <f aca="false">AG3</f>
        <v>0.0465384577125</v>
      </c>
      <c r="GP2" s="33" t="n">
        <f aca="false">$AE$20/GM2*100</f>
        <v>60</v>
      </c>
      <c r="GQ2" s="34" t="n">
        <f aca="false">GO2/$AG$20*100</f>
        <v>35.0605788982927</v>
      </c>
      <c r="GR2" s="35" t="s">
        <v>28</v>
      </c>
      <c r="GS2" s="36" t="n">
        <f aca="false">GP2+GP3</f>
        <v>120</v>
      </c>
      <c r="GT2" s="37" t="n">
        <f aca="false">GQ2+GQ3</f>
        <v>46.7474385310569</v>
      </c>
    </row>
    <row r="3" customFormat="false" ht="24.75" hidden="false" customHeight="false" outlineLevel="0" collapsed="false">
      <c r="A3" s="19" t="s">
        <v>29</v>
      </c>
      <c r="B3" s="20"/>
      <c r="C3" s="38" t="s">
        <v>30</v>
      </c>
      <c r="D3" s="39"/>
      <c r="E3" s="39"/>
      <c r="F3" s="39"/>
      <c r="G3" s="39"/>
      <c r="H3" s="39"/>
      <c r="I3" s="39"/>
      <c r="J3" s="40"/>
      <c r="K3" s="6"/>
      <c r="L3" s="6"/>
      <c r="M3" s="6"/>
      <c r="N3" s="6"/>
      <c r="O3" s="6"/>
      <c r="P3" s="6"/>
      <c r="Q3" s="6"/>
      <c r="R3" s="6"/>
      <c r="S3" s="6"/>
      <c r="T3" s="41" t="s">
        <v>31</v>
      </c>
      <c r="U3" s="42" t="str">
        <f aca="false">IF(F36=1,"DEBUG","")</f>
        <v/>
      </c>
      <c r="V3" s="43" t="str">
        <f aca="false">IF(EL36=1,"Penman","")</f>
        <v/>
      </c>
      <c r="W3" s="44" t="str">
        <f aca="false">IF(X36=1,"Continuous","")</f>
        <v/>
      </c>
      <c r="X3" s="45"/>
      <c r="Y3" s="6"/>
      <c r="Z3" s="6"/>
      <c r="AA3" s="6"/>
      <c r="AB3" s="29" t="s">
        <v>32</v>
      </c>
      <c r="AC3" s="29" t="n">
        <f aca="false">(1/(1/(EU36+L26)+1/L27+1/DV27))*VPD_max/101.3</f>
        <v>2.2153588513326</v>
      </c>
      <c r="AD3" s="46" t="n">
        <f aca="false">AC3*B7*CQ36</f>
        <v>0.3692264752221</v>
      </c>
      <c r="AE3" s="47" t="n">
        <f aca="false">H7*CQ36</f>
        <v>1.19145030221392</v>
      </c>
      <c r="AF3" s="48" t="n">
        <f aca="false">AF6-AD3/AE3</f>
        <v>-1.54948332522143</v>
      </c>
      <c r="AG3" s="46" t="n">
        <f aca="false">L7</f>
        <v>0.0465384577125</v>
      </c>
      <c r="AH3" s="49" t="n">
        <f aca="false">$AE$20/(AE3+AE4+AE5)*100</f>
        <v>20</v>
      </c>
      <c r="AI3" s="50" t="n">
        <f aca="false">AG3/$AG$20*100</f>
        <v>35.0605788982927</v>
      </c>
      <c r="AJ3" s="35" t="s">
        <v>28</v>
      </c>
      <c r="AK3" s="51" t="n">
        <f aca="false">AH3+AH6</f>
        <v>40</v>
      </c>
      <c r="AL3" s="50" t="n">
        <f aca="false">AI3+AI6</f>
        <v>46.7474385310569</v>
      </c>
      <c r="AM3" s="52" t="n">
        <f aca="false">B7</f>
        <v>0.5</v>
      </c>
      <c r="AP3" s="53" t="s">
        <v>33</v>
      </c>
      <c r="AQ3" s="54" t="s">
        <v>34</v>
      </c>
      <c r="AR3" s="54" t="s">
        <v>35</v>
      </c>
      <c r="AS3" s="55" t="s">
        <v>36</v>
      </c>
      <c r="AT3" s="54" t="s">
        <v>37</v>
      </c>
      <c r="AU3" s="56" t="s">
        <v>38</v>
      </c>
      <c r="AV3" s="56" t="s">
        <v>39</v>
      </c>
      <c r="AW3" s="56" t="s">
        <v>40</v>
      </c>
      <c r="AX3" s="56" t="s">
        <v>41</v>
      </c>
      <c r="AY3" s="56" t="s">
        <v>42</v>
      </c>
      <c r="AZ3" s="57" t="s">
        <v>43</v>
      </c>
      <c r="BA3" s="57" t="s">
        <v>44</v>
      </c>
      <c r="BB3" s="58" t="s">
        <v>45</v>
      </c>
      <c r="BC3" s="59" t="s">
        <v>46</v>
      </c>
      <c r="BD3" s="60" t="s">
        <v>47</v>
      </c>
      <c r="BE3" s="60" t="s">
        <v>48</v>
      </c>
      <c r="BF3" s="61" t="s">
        <v>49</v>
      </c>
      <c r="BG3" s="60" t="s">
        <v>50</v>
      </c>
      <c r="BH3" s="61" t="s">
        <v>51</v>
      </c>
      <c r="CI3" s="6"/>
      <c r="CJ3" s="6"/>
      <c r="CK3" s="6"/>
      <c r="GE3" s="28" t="s">
        <v>52</v>
      </c>
      <c r="GK3" s="29" t="s">
        <v>53</v>
      </c>
      <c r="GL3" s="30"/>
      <c r="GM3" s="31" t="n">
        <f aca="false">AE6</f>
        <v>1.19145030221392</v>
      </c>
      <c r="GN3" s="32" t="n">
        <f aca="false">AF6</f>
        <v>-1.23958666017714</v>
      </c>
      <c r="GO3" s="30" t="n">
        <f aca="false">AG6</f>
        <v>0.0155128192375</v>
      </c>
      <c r="GP3" s="33" t="n">
        <f aca="false">$AE$20/GM3*100</f>
        <v>60</v>
      </c>
      <c r="GQ3" s="34" t="n">
        <f aca="false">GO3/$AG$20*100</f>
        <v>11.6868596327642</v>
      </c>
      <c r="GR3" s="35"/>
      <c r="GS3" s="36"/>
      <c r="GT3" s="37"/>
    </row>
    <row r="4" customFormat="false" ht="24" hidden="false" customHeight="false" outlineLevel="0" collapsed="false">
      <c r="A4" s="6"/>
      <c r="B4" s="62"/>
      <c r="C4" s="63" t="s">
        <v>54</v>
      </c>
      <c r="D4" s="64"/>
      <c r="E4" s="64"/>
      <c r="F4" s="65"/>
      <c r="G4" s="6"/>
      <c r="H4" s="6"/>
      <c r="I4" s="6"/>
      <c r="J4" s="6"/>
      <c r="K4" s="6"/>
      <c r="L4" s="6"/>
      <c r="M4" s="6"/>
      <c r="N4" s="6"/>
      <c r="O4" s="6"/>
      <c r="P4" s="6"/>
      <c r="Q4" s="6"/>
      <c r="R4" s="6"/>
      <c r="S4" s="6"/>
      <c r="T4" s="6"/>
      <c r="U4" s="66" t="str">
        <f aca="false">IF(C36=0,"STEADY","")</f>
        <v/>
      </c>
      <c r="V4" s="67" t="str">
        <f aca="false">IF(CB36=1,"Irrigation","")</f>
        <v/>
      </c>
      <c r="W4" s="68" t="str">
        <f aca="false">IF(Q36=0,"No END","")</f>
        <v/>
      </c>
      <c r="X4" s="69"/>
      <c r="Y4" s="6"/>
      <c r="Z4" s="6"/>
      <c r="AA4" s="6"/>
      <c r="AB4" s="29" t="s">
        <v>55</v>
      </c>
      <c r="AC4" s="29" t="n">
        <f aca="false">(1/(1/(EV36+L26)+1/L27+1/DV27))*VPD_max/101.3</f>
        <v>2.2153588513326</v>
      </c>
      <c r="AD4" s="70" t="n">
        <f aca="false">AC4*B7*CR36</f>
        <v>0.3692264752221</v>
      </c>
      <c r="AE4" s="71" t="n">
        <f aca="false">H7*CR36</f>
        <v>1.19145030221392</v>
      </c>
      <c r="AF4" s="48" t="n">
        <f aca="false">AF7-AD4/AE4</f>
        <v>-1.54948332522143</v>
      </c>
      <c r="AP4" s="72" t="s">
        <v>56</v>
      </c>
      <c r="AQ4" s="73" t="n">
        <v>0.375</v>
      </c>
      <c r="AR4" s="73" t="n">
        <v>0.053</v>
      </c>
      <c r="AS4" s="73" t="n">
        <v>0.00352</v>
      </c>
      <c r="AT4" s="73" t="n">
        <v>3.177</v>
      </c>
      <c r="AU4" s="73" t="n">
        <v>130.8</v>
      </c>
      <c r="AV4" s="73" t="n">
        <v>0.5</v>
      </c>
      <c r="AW4" s="74" t="n">
        <v>0</v>
      </c>
      <c r="AX4" s="74" t="n">
        <v>0</v>
      </c>
      <c r="AY4" s="74" t="n">
        <v>0</v>
      </c>
      <c r="AZ4" s="75" t="n">
        <f aca="false">AR4+(AQ4-AR4)/(1+(AS4*0.033*10000)^AT4)^(1-1/AT4)</f>
        <v>0.219885163113782</v>
      </c>
      <c r="BA4" s="75" t="n">
        <f aca="false">AR4+(AQ4-AR4)/(1+(AS4*1.585*10000)^AT4)^(1-1/AT4)</f>
        <v>0.0530507654147948</v>
      </c>
      <c r="BB4" s="76" t="n">
        <f aca="false">AR4+(AQ4-AR4)/(1+(AS4*3.5*10000)^AT4)^(1-1/AT4)</f>
        <v>0.0530090489105023</v>
      </c>
      <c r="BC4" s="75" t="n">
        <f aca="false">AR4+(AQ4-AR4)/(1+(AS4*$BC$2/1000*10000)^AT4)^(1-1/AT4)</f>
        <v>0.369398385897232</v>
      </c>
      <c r="BD4" s="77" t="n">
        <f aca="false">(AQ4-AR4)*Soil_Depth*1000*(1-(AW4+AX4+AY4)/3)</f>
        <v>94.7968</v>
      </c>
      <c r="BE4" s="75" t="n">
        <f aca="false">(AZ4-AR4)*Soil_Depth*1000*(1-(AW4+AX4+AY4)/3)</f>
        <v>49.1309920206973</v>
      </c>
      <c r="BF4" s="75" t="n">
        <f aca="false">(AZ4-AR4)/(AQ4-AR4)</f>
        <v>0.518276904080067</v>
      </c>
      <c r="BG4" s="75" t="n">
        <f aca="false">(AZ4-BA4)*Soil_Depth*1000*(1-(AW4+AX4+AY4)/3)</f>
        <v>49.1160466825817</v>
      </c>
      <c r="BH4" s="75" t="n">
        <f aca="false">(AZ4-BB4)*Soil_Depth*1000*(1-(AW4+AX4+AY4)/3)</f>
        <v>49.1283280214454</v>
      </c>
      <c r="BJ4" s="0" t="s">
        <v>25</v>
      </c>
      <c r="BK4" s="0" t="n">
        <f aca="false">BK2</f>
        <v>-0.61979333008857</v>
      </c>
      <c r="BL4" s="0" t="n">
        <f aca="false">BL2</f>
        <v>-0.5</v>
      </c>
      <c r="BM4" s="0" t="s">
        <v>57</v>
      </c>
      <c r="BN4" s="0" t="n">
        <f aca="false">E7</f>
        <v>-3.28571428571429</v>
      </c>
      <c r="BO4" s="0" t="n">
        <f aca="false">BO1</f>
        <v>1.1</v>
      </c>
      <c r="CL4" s="0" t="s">
        <v>58</v>
      </c>
      <c r="CM4" s="0" t="s">
        <v>59</v>
      </c>
      <c r="GF4" s="28" t="s">
        <v>60</v>
      </c>
      <c r="GK4" s="29" t="s">
        <v>61</v>
      </c>
      <c r="GL4" s="30" t="str">
        <f aca="false">AD9</f>
        <v/>
      </c>
      <c r="GM4" s="31" t="str">
        <f aca="false">AE9</f>
        <v/>
      </c>
      <c r="GN4" s="32" t="str">
        <f aca="false">AF9</f>
        <v/>
      </c>
      <c r="GO4" s="30" t="str">
        <f aca="false">AG9</f>
        <v/>
      </c>
      <c r="GP4" s="78"/>
      <c r="GQ4" s="34" t="str">
        <f aca="false">AI9</f>
        <v/>
      </c>
      <c r="GR4" s="35" t="s">
        <v>62</v>
      </c>
      <c r="GS4" s="36"/>
      <c r="GT4" s="37" t="str">
        <f aca="false">AL9</f>
        <v/>
      </c>
    </row>
    <row r="5" customFormat="false" ht="18.75" hidden="false" customHeight="false" outlineLevel="0" collapsed="false">
      <c r="A5" s="0" t="s">
        <v>63</v>
      </c>
      <c r="B5" s="6"/>
      <c r="C5" s="6"/>
      <c r="D5" s="6"/>
      <c r="E5" s="6"/>
      <c r="F5" s="6"/>
      <c r="G5" s="6"/>
      <c r="H5" s="6"/>
      <c r="I5" s="6"/>
      <c r="J5" s="6"/>
      <c r="K5" s="6"/>
      <c r="L5" s="6"/>
      <c r="M5" s="6"/>
      <c r="N5" s="6"/>
      <c r="O5" s="6"/>
      <c r="P5" s="6"/>
      <c r="Q5" s="6"/>
      <c r="R5" s="6"/>
      <c r="S5" s="6"/>
      <c r="T5" s="6"/>
      <c r="U5" s="79" t="str">
        <f aca="false">IF(O36&gt;=1,"CUT","")</f>
        <v/>
      </c>
      <c r="V5" s="80" t="str">
        <f aca="false">IF(BX36=1,"Interception","")</f>
        <v/>
      </c>
      <c r="W5" s="81" t="str">
        <f aca="false">IF(II36=0,"no organ","")</f>
        <v>no organ</v>
      </c>
      <c r="X5" s="82"/>
      <c r="Y5" s="6"/>
      <c r="Z5" s="6"/>
      <c r="AA5" s="6"/>
      <c r="AB5" s="83" t="s">
        <v>64</v>
      </c>
      <c r="AC5" s="29" t="n">
        <f aca="false">(1/(1/(EW36+L26)+1/L27+1/DV27))*VPD_max/101.3</f>
        <v>2.2153588513326</v>
      </c>
      <c r="AD5" s="70" t="n">
        <f aca="false">AC5*B7*CS36</f>
        <v>0.3692264752221</v>
      </c>
      <c r="AE5" s="71" t="n">
        <f aca="false">H7*CS36</f>
        <v>1.19145030221392</v>
      </c>
      <c r="AF5" s="48" t="n">
        <f aca="false">AF8-AD5/AE5</f>
        <v>-1.54948332522143</v>
      </c>
      <c r="AP5" s="72" t="s">
        <v>65</v>
      </c>
      <c r="AQ5" s="73" t="n">
        <v>0.459</v>
      </c>
      <c r="AR5" s="73" t="n">
        <v>0.098</v>
      </c>
      <c r="AS5" s="73" t="n">
        <v>0.015</v>
      </c>
      <c r="AT5" s="73" t="n">
        <v>1.253</v>
      </c>
      <c r="AU5" s="73" t="n">
        <v>1.69</v>
      </c>
      <c r="AV5" s="73" t="n">
        <v>0.5</v>
      </c>
      <c r="AW5" s="74" t="n">
        <v>0</v>
      </c>
      <c r="AX5" s="74" t="n">
        <v>0</v>
      </c>
      <c r="AY5" s="74" t="n">
        <v>0</v>
      </c>
      <c r="AZ5" s="75" t="n">
        <f aca="false">AR5+(AQ5-AR5)/(1+(AS5*0.033*10000)^AT5)^(1-1/AT5)</f>
        <v>0.3327922474718</v>
      </c>
      <c r="BA5" s="75" t="n">
        <f aca="false">AR5+(AQ5-AR5)/(1+(AS5*1.585*10000)^AT5)^(1-1/AT5)</f>
        <v>0.188418304080338</v>
      </c>
      <c r="BB5" s="76" t="n">
        <f aca="false">AR5+(AQ5-AR5)/(1+(AS5*3.5*10000)^AT5)^(1-1/AT5)</f>
        <v>0.172006976205701</v>
      </c>
      <c r="BC5" s="75" t="n">
        <f aca="false">AR5+(AQ5-AR5)/(1+(AS5*$BC$2/1000*10000)^AT5)^(1-1/AT5)</f>
        <v>0.399090121475445</v>
      </c>
      <c r="BD5" s="77" t="n">
        <f aca="false">(AQ5-AR5)*Soil_Depth*1000*(1-(AW5+AX5+AY5)/3)</f>
        <v>106.2784</v>
      </c>
      <c r="BE5" s="75" t="n">
        <f aca="false">(AZ5-AR5)*Soil_Depth*1000*(1-(AW5+AX5+AY5)/3)</f>
        <v>69.1228376556978</v>
      </c>
      <c r="BF5" s="75" t="n">
        <f aca="false">(AZ5-AR5)/(AQ5-AR5)</f>
        <v>0.650394037318004</v>
      </c>
      <c r="BG5" s="75" t="n">
        <f aca="false">(AZ5-BA5)*Soil_Depth*1000*(1-(AW5+AX5+AY5)/3)</f>
        <v>42.5036889344462</v>
      </c>
      <c r="BH5" s="75" t="n">
        <f aca="false">(AZ5-BB5)*Soil_Depth*1000*(1-(AW5+AX5+AY5)/3)</f>
        <v>47.3351838607394</v>
      </c>
      <c r="BJ5" s="0" t="s">
        <v>66</v>
      </c>
      <c r="BK5" s="0" t="n">
        <f aca="false">AF18</f>
        <v>-0.774741662610713</v>
      </c>
      <c r="BL5" s="0" t="n">
        <v>0</v>
      </c>
      <c r="BN5" s="0" t="n">
        <f aca="false">BN4</f>
        <v>-3.28571428571429</v>
      </c>
      <c r="BO5" s="0" t="n">
        <f aca="false">BO2</f>
        <v>0.9</v>
      </c>
      <c r="CI5" s="26" t="s">
        <v>67</v>
      </c>
      <c r="CJ5" s="26"/>
      <c r="CK5" s="72" t="s">
        <v>68</v>
      </c>
      <c r="CL5" s="75" t="n">
        <f aca="false">'Fractal shoot'!G2</f>
        <v>5.85989408287171</v>
      </c>
      <c r="CM5" s="75" t="n">
        <f aca="false">'Fractal root'!G2</f>
        <v>3.86951393980997</v>
      </c>
      <c r="EP5" s="84" t="s">
        <v>69</v>
      </c>
      <c r="GE5" s="28" t="s">
        <v>70</v>
      </c>
      <c r="GF5" s="28" t="s">
        <v>71</v>
      </c>
      <c r="GK5" s="29" t="s">
        <v>72</v>
      </c>
      <c r="GL5" s="30" t="str">
        <f aca="false">AD10</f>
        <v/>
      </c>
      <c r="GM5" s="31" t="str">
        <f aca="false">AE10</f>
        <v/>
      </c>
      <c r="GN5" s="32" t="str">
        <f aca="false">AF10</f>
        <v/>
      </c>
      <c r="GO5" s="30" t="str">
        <f aca="false">AG10</f>
        <v/>
      </c>
      <c r="GP5" s="78"/>
      <c r="GQ5" s="34" t="str">
        <f aca="false">AI10</f>
        <v/>
      </c>
      <c r="GR5" s="35"/>
      <c r="GS5" s="36"/>
      <c r="GT5" s="37"/>
    </row>
    <row r="6" customFormat="false" ht="18.75" hidden="false" customHeight="false" outlineLevel="0" collapsed="false">
      <c r="A6" s="85" t="s">
        <v>73</v>
      </c>
      <c r="B6" s="86" t="s">
        <v>74</v>
      </c>
      <c r="C6" s="6"/>
      <c r="D6" s="87" t="s">
        <v>75</v>
      </c>
      <c r="E6" s="88" t="n">
        <f aca="false">GV36</f>
        <v>-4</v>
      </c>
      <c r="F6" s="89"/>
      <c r="G6" s="6"/>
      <c r="H6" s="90" t="s">
        <v>76</v>
      </c>
      <c r="I6" s="90" t="s">
        <v>77</v>
      </c>
      <c r="J6" s="6"/>
      <c r="K6" s="6"/>
      <c r="L6" s="90" t="s">
        <v>78</v>
      </c>
      <c r="M6" s="90" t="s">
        <v>79</v>
      </c>
      <c r="N6" s="90" t="s">
        <v>80</v>
      </c>
      <c r="O6" s="91"/>
      <c r="P6" s="6"/>
      <c r="Q6" s="6"/>
      <c r="R6" s="6"/>
      <c r="S6" s="6"/>
      <c r="T6" s="6"/>
      <c r="U6" s="66" t="str">
        <f aca="false">IF(P36&gt;=1,"N DAYS","")</f>
        <v/>
      </c>
      <c r="V6" s="67" t="str">
        <f aca="false">IF(N36=1,"Compet","")</f>
        <v/>
      </c>
      <c r="W6" s="68" t="str">
        <f aca="false">IF(FRACTAL=0,"Manual",IF(FRACTAL=1,"Semi-Fractal",IF(FRACTAL=2,"Fractal","Allometric")))</f>
        <v>Allometric</v>
      </c>
      <c r="X6" s="69"/>
      <c r="Y6" s="6"/>
      <c r="Z6" s="6"/>
      <c r="AA6" s="6"/>
      <c r="AB6" s="29" t="s">
        <v>81</v>
      </c>
      <c r="AC6" s="29"/>
      <c r="AD6" s="46"/>
      <c r="AE6" s="92" t="n">
        <f aca="false">H8*CQ36</f>
        <v>1.19145030221392</v>
      </c>
      <c r="AF6" s="48" t="n">
        <f aca="false">AF13-AD3/AE6</f>
        <v>-1.23958666017714</v>
      </c>
      <c r="AG6" s="46" t="n">
        <f aca="false">L8</f>
        <v>0.0155128192375</v>
      </c>
      <c r="AH6" s="49" t="n">
        <f aca="false">$AE$20/(AE6+AE7+AE8)*100</f>
        <v>20</v>
      </c>
      <c r="AI6" s="50" t="n">
        <f aca="false">AG6/$AG$20*100</f>
        <v>11.6868596327642</v>
      </c>
      <c r="AJ6" s="35"/>
      <c r="AK6" s="51"/>
      <c r="AL6" s="50"/>
      <c r="AM6" s="93"/>
      <c r="AP6" s="72" t="s">
        <v>82</v>
      </c>
      <c r="AQ6" s="94" t="n">
        <v>0.399</v>
      </c>
      <c r="AR6" s="94" t="n">
        <v>0.061</v>
      </c>
      <c r="AS6" s="94" t="n">
        <v>0.0111</v>
      </c>
      <c r="AT6" s="94" t="n">
        <v>1.472</v>
      </c>
      <c r="AU6" s="94" t="n">
        <v>12.7</v>
      </c>
      <c r="AV6" s="94" t="n">
        <v>0.5</v>
      </c>
      <c r="AW6" s="74" t="n">
        <v>0</v>
      </c>
      <c r="AX6" s="74" t="n">
        <v>0</v>
      </c>
      <c r="AY6" s="74" t="n">
        <v>0</v>
      </c>
      <c r="AZ6" s="75" t="n">
        <f aca="false">AR6+(AQ6-AR6)/(1+(AS6*0.033*10000)^AT6)^(1-1/AT6)</f>
        <v>0.236216366300272</v>
      </c>
      <c r="BA6" s="75" t="n">
        <f aca="false">AR6+(AQ6-AR6)/(1+(AS6*1.585*10000)^AT6)^(1-1/AT6)</f>
        <v>0.0904470292400603</v>
      </c>
      <c r="BB6" s="76" t="n">
        <f aca="false">AR6+(AQ6-AR6)/(1+(AS6*3.5*10000)^AT6)^(1-1/AT6)</f>
        <v>0.0812629488944614</v>
      </c>
      <c r="BC6" s="75" t="n">
        <f aca="false">AR6+(AQ6-AR6)/(1+(AS6*$BC$2/1000*10000)^AT6)^(1-1/AT6)</f>
        <v>0.3317031346479</v>
      </c>
      <c r="BD6" s="77" t="n">
        <f aca="false">(AQ6-AR6)*Soil_Depth*1000*(1-(AW6+AX6+AY6)/3)</f>
        <v>99.5072</v>
      </c>
      <c r="BE6" s="75" t="n">
        <f aca="false">(AZ6-AR6)*Soil_Depth*1000*(1-(AW6+AX6+AY6)/3)</f>
        <v>51.5836982388</v>
      </c>
      <c r="BF6" s="75" t="n">
        <f aca="false">(AZ6-AR6)/(AQ6-AR6)</f>
        <v>0.518391616272993</v>
      </c>
      <c r="BG6" s="75" t="n">
        <f aca="false">(AZ6-BA6)*Soil_Depth*1000*(1-(AW6+AX6+AY6)/3)</f>
        <v>42.9144928305262</v>
      </c>
      <c r="BH6" s="75" t="n">
        <f aca="false">(AZ6-BB6)*Soil_Depth*1000*(1-(AW6+AX6+AY6)/3)</f>
        <v>45.6182860842705</v>
      </c>
      <c r="CI6" s="26" t="s">
        <v>83</v>
      </c>
      <c r="CJ6" s="26"/>
      <c r="CK6" s="72" t="s">
        <v>84</v>
      </c>
      <c r="CL6" s="75" t="n">
        <f aca="false">'Fractal shoot'!G3</f>
        <v>4.64385618977473</v>
      </c>
      <c r="CM6" s="75" t="n">
        <f aca="false">'Fractal root'!G3</f>
        <v>3.62778784834594</v>
      </c>
      <c r="EP6" s="95" t="s">
        <v>85</v>
      </c>
      <c r="EQ6" s="95"/>
      <c r="ER6" s="95"/>
      <c r="ES6" s="95"/>
      <c r="ET6" s="95"/>
      <c r="EU6" s="95"/>
      <c r="GE6" s="28" t="s">
        <v>86</v>
      </c>
      <c r="GK6" s="29" t="s">
        <v>87</v>
      </c>
      <c r="GL6" s="30"/>
      <c r="GM6" s="31" t="str">
        <f aca="false">AE11</f>
        <v/>
      </c>
      <c r="GN6" s="32" t="str">
        <f aca="false">AF11</f>
        <v/>
      </c>
      <c r="GO6" s="30" t="str">
        <f aca="false">AG11</f>
        <v/>
      </c>
      <c r="GP6" s="78"/>
      <c r="GQ6" s="34" t="str">
        <f aca="false">AI11</f>
        <v/>
      </c>
      <c r="GR6" s="35"/>
      <c r="GS6" s="36"/>
      <c r="GT6" s="37"/>
    </row>
    <row r="7" customFormat="false" ht="18.75" hidden="false" customHeight="false" outlineLevel="0" collapsed="false">
      <c r="A7" s="90" t="s">
        <v>88</v>
      </c>
      <c r="B7" s="88" t="n">
        <f aca="false">DZ36</f>
        <v>0.5</v>
      </c>
      <c r="C7" s="6" t="n">
        <f aca="false">B7*10000</f>
        <v>5000</v>
      </c>
      <c r="D7" s="87" t="s">
        <v>89</v>
      </c>
      <c r="E7" s="88" t="n">
        <f aca="false">GV36+50/HD36</f>
        <v>-3.28571428571429</v>
      </c>
      <c r="F7" s="89"/>
      <c r="G7" s="96" t="s">
        <v>90</v>
      </c>
      <c r="H7" s="97" t="n">
        <f aca="false">GR36*DZ36</f>
        <v>3.57435090664177</v>
      </c>
      <c r="I7" s="97" t="n">
        <f aca="false">H7/$DZ$36</f>
        <v>7.14870181328353</v>
      </c>
      <c r="J7" s="6"/>
      <c r="K7" s="98" t="s">
        <v>91</v>
      </c>
      <c r="L7" s="97" t="n">
        <f aca="false">EI36/1000*(1-EJ36)*DZ36</f>
        <v>0.0465384577125</v>
      </c>
      <c r="M7" s="97" t="n">
        <f aca="false">L7*1000000/18</f>
        <v>2585.46987291667</v>
      </c>
      <c r="N7" s="97" t="n">
        <f aca="false">L7*1000</f>
        <v>46.5384577125</v>
      </c>
      <c r="O7" s="91" t="n">
        <f aca="false">N7+N8</f>
        <v>62.05127695</v>
      </c>
      <c r="P7" s="6"/>
      <c r="Q7" s="6"/>
      <c r="R7" s="6"/>
      <c r="S7" s="6"/>
      <c r="T7" s="6"/>
      <c r="U7" s="66" t="str">
        <f aca="false">IF(HL36=1,"REFILLING!","")</f>
        <v/>
      </c>
      <c r="V7" s="67" t="str">
        <f aca="false">IF(W36=0,"No Gravity","")</f>
        <v>No Gravity</v>
      </c>
      <c r="W7" s="68" t="str">
        <f aca="false">IF(EO36&gt;0,"gs dynamic","")</f>
        <v/>
      </c>
      <c r="X7" s="99" t="str">
        <f aca="false">IF(EY36=1,"gs_PAR cst","")</f>
        <v/>
      </c>
      <c r="Y7" s="6"/>
      <c r="Z7" s="6"/>
      <c r="AA7" s="6"/>
      <c r="AB7" s="29" t="s">
        <v>92</v>
      </c>
      <c r="AC7" s="29"/>
      <c r="AD7" s="46"/>
      <c r="AE7" s="92" t="n">
        <f aca="false">H8*CR36</f>
        <v>1.19145030221392</v>
      </c>
      <c r="AF7" s="48" t="n">
        <f aca="false">AF14-AD4/AE7</f>
        <v>-1.23958666017714</v>
      </c>
      <c r="AP7" s="100" t="s">
        <v>93</v>
      </c>
      <c r="AQ7" s="94" t="n">
        <v>0.39</v>
      </c>
      <c r="AR7" s="94" t="n">
        <v>0.049</v>
      </c>
      <c r="AS7" s="94" t="n">
        <v>0.0348</v>
      </c>
      <c r="AT7" s="94" t="n">
        <v>1.746</v>
      </c>
      <c r="AU7" s="94" t="n">
        <v>4.383</v>
      </c>
      <c r="AV7" s="94" t="n">
        <v>0.5</v>
      </c>
      <c r="AW7" s="74" t="n">
        <v>0</v>
      </c>
      <c r="AX7" s="74" t="n">
        <v>0</v>
      </c>
      <c r="AY7" s="74" t="n">
        <v>0</v>
      </c>
      <c r="AZ7" s="75" t="n">
        <f aca="false">AR7+(AQ7-AR7)/(1+(AS7*0.033*10000)^AT7)^(1-1/AT7)</f>
        <v>0.103869072232607</v>
      </c>
      <c r="BA7" s="75" t="n">
        <f aca="false">AR7+(AQ7-AR7)/(1+(AS7*1.585*10000)^AT7)^(1-1/AT7)</f>
        <v>0.0520726380113577</v>
      </c>
      <c r="BB7" s="76" t="n">
        <f aca="false">AR7+(AQ7-AR7)/(1+(AS7*3.5*10000)^AT7)^(1-1/AT7)</f>
        <v>0.0507016127918344</v>
      </c>
      <c r="BC7" s="75" t="n">
        <f aca="false">AR7+(AQ7-AR7)/(1+(AS7*$BC$2/1000*10000)^AT7)^(1-1/AT7)</f>
        <v>0.18677536212401</v>
      </c>
      <c r="BD7" s="77" t="n">
        <f aca="false">(AQ7-AR7)*Soil_Depth*1000*(1-(AW7+AX7+AY7)/3)</f>
        <v>100.3904</v>
      </c>
      <c r="BE7" s="75" t="n">
        <f aca="false">(AZ7-AR7)*Soil_Depth*1000*(1-(AW7+AX7+AY7)/3)</f>
        <v>16.1534548652794</v>
      </c>
      <c r="BF7" s="75" t="n">
        <f aca="false">(AZ7-AR7)/(AQ7-AR7)</f>
        <v>0.160906370183597</v>
      </c>
      <c r="BG7" s="75" t="n">
        <f aca="false">(AZ7-BA7)*Soil_Depth*1000*(1-(AW7+AX7+AY7)/3)</f>
        <v>15.2488702347357</v>
      </c>
      <c r="BH7" s="75" t="n">
        <f aca="false">(AZ7-BB7)*Soil_Depth*1000*(1-(AW7+AX7+AY7)/3)</f>
        <v>15.6525000593633</v>
      </c>
      <c r="BJ7" s="0" t="s">
        <v>66</v>
      </c>
      <c r="BK7" s="0" t="n">
        <f aca="false">BK5</f>
        <v>-0.774741662610713</v>
      </c>
      <c r="BL7" s="0" t="n">
        <f aca="false">BL5</f>
        <v>0</v>
      </c>
      <c r="BM7" s="0" t="s">
        <v>94</v>
      </c>
      <c r="BN7" s="0" t="n">
        <f aca="false">E10</f>
        <v>-3.28571428571429</v>
      </c>
      <c r="BO7" s="0" t="n">
        <f aca="false">BO4</f>
        <v>1.1</v>
      </c>
      <c r="CI7" s="26" t="s">
        <v>95</v>
      </c>
      <c r="CJ7" s="26"/>
      <c r="CK7" s="72" t="s">
        <v>96</v>
      </c>
      <c r="CL7" s="75" t="n">
        <f aca="false">'Fractal shoot'!G4</f>
        <v>-0.0023019801980198</v>
      </c>
      <c r="CM7" s="75" t="n">
        <f aca="false">'Fractal root'!G4</f>
        <v>-0.000650990099009901</v>
      </c>
      <c r="EC7" s="101" t="s">
        <v>97</v>
      </c>
      <c r="EP7" s="95" t="s">
        <v>98</v>
      </c>
      <c r="EQ7" s="95"/>
      <c r="ER7" s="95"/>
      <c r="ES7" s="95"/>
      <c r="ET7" s="95"/>
      <c r="EU7" s="95"/>
      <c r="GF7" s="28" t="s">
        <v>99</v>
      </c>
      <c r="GK7" s="29" t="s">
        <v>100</v>
      </c>
      <c r="GL7" s="30" t="n">
        <f aca="false">AD12</f>
        <v>0</v>
      </c>
      <c r="GM7" s="31" t="n">
        <f aca="false">AE12</f>
        <v>0.15</v>
      </c>
      <c r="GN7" s="32" t="n">
        <f aca="false">AF12</f>
        <v>-0.929689995132855</v>
      </c>
      <c r="GO7" s="30" t="n">
        <f aca="false">AG12</f>
        <v>0.0058905</v>
      </c>
      <c r="GP7" s="78"/>
      <c r="GQ7" s="34" t="n">
        <f aca="false">GO7/$AG$20*100</f>
        <v>4.43771345574526</v>
      </c>
      <c r="GR7" s="35" t="s">
        <v>101</v>
      </c>
      <c r="GS7" s="36" t="n">
        <f aca="false">GP8</f>
        <v>24</v>
      </c>
      <c r="GT7" s="37" t="n">
        <f aca="false">GQ8+GQ7</f>
        <v>13.3131403672358</v>
      </c>
    </row>
    <row r="8" customFormat="false" ht="18.75" hidden="false" customHeight="false" outlineLevel="0" collapsed="false">
      <c r="A8" s="96" t="s">
        <v>102</v>
      </c>
      <c r="B8" s="75" t="n">
        <f aca="false">DZ36/(BM36*BM36*3.1416/4)</f>
        <v>2.54647313470843</v>
      </c>
      <c r="C8" s="6"/>
      <c r="D8" s="87" t="s">
        <v>103</v>
      </c>
      <c r="E8" s="88" t="n">
        <f aca="false">E6+25/(HD36)*LN((100-EQ36)/EQ36)</f>
        <v>-2.27847086942677</v>
      </c>
      <c r="F8" s="89"/>
      <c r="G8" s="96" t="s">
        <v>104</v>
      </c>
      <c r="H8" s="75" t="n">
        <f aca="false">GK36*DZ36</f>
        <v>3.57435090664177</v>
      </c>
      <c r="I8" s="75" t="n">
        <f aca="false">H8/$DZ$36</f>
        <v>7.14870181328353</v>
      </c>
      <c r="J8" s="6"/>
      <c r="K8" s="98" t="s">
        <v>105</v>
      </c>
      <c r="L8" s="75" t="n">
        <f aca="false">EI36/1000*EJ36*DZ36</f>
        <v>0.0155128192375</v>
      </c>
      <c r="M8" s="75" t="n">
        <f aca="false">L8*1000000/18</f>
        <v>861.823290972222</v>
      </c>
      <c r="N8" s="75" t="n">
        <f aca="false">L8*1000</f>
        <v>15.5128192375</v>
      </c>
      <c r="O8" s="6"/>
      <c r="P8" s="6"/>
      <c r="Q8" s="6"/>
      <c r="R8" s="6"/>
      <c r="S8" s="6"/>
      <c r="T8" s="6"/>
      <c r="U8" s="66" t="str">
        <f aca="false">IF(OR(HN36=1,HO36=1,HP36=1,HQ36=1),"Legacy","")</f>
        <v/>
      </c>
      <c r="V8" s="67" t="str">
        <f aca="false">IF(EF36=1,"Leaf fall","")</f>
        <v/>
      </c>
      <c r="W8" s="68" t="str">
        <f aca="false">IF(FR36=0,"400 ppm",IF(FR36=1,"RCP4.5","RCP8.5"))</f>
        <v>RCP8.5</v>
      </c>
      <c r="X8" s="99" t="str">
        <f aca="false">IF(FE36=0,"g_cuti CST","")</f>
        <v/>
      </c>
      <c r="Y8" s="6"/>
      <c r="Z8" s="6"/>
      <c r="AA8" s="6"/>
      <c r="AB8" s="29" t="s">
        <v>106</v>
      </c>
      <c r="AC8" s="29"/>
      <c r="AD8" s="46"/>
      <c r="AE8" s="92" t="n">
        <f aca="false">H8*CS36</f>
        <v>1.19145030221392</v>
      </c>
      <c r="AF8" s="48" t="n">
        <f aca="false">AF15-AD5/AE8</f>
        <v>-1.23958666017714</v>
      </c>
      <c r="AP8" s="72" t="s">
        <v>107</v>
      </c>
      <c r="AQ8" s="102" t="n">
        <v>0.5</v>
      </c>
      <c r="AR8" s="94" t="n">
        <v>0.098</v>
      </c>
      <c r="AS8" s="94" t="n">
        <v>0.0035</v>
      </c>
      <c r="AT8" s="94" t="n">
        <v>1.55</v>
      </c>
      <c r="AU8" s="94" t="n">
        <v>1.69</v>
      </c>
      <c r="AV8" s="94" t="n">
        <v>0.5</v>
      </c>
      <c r="AW8" s="74" t="n">
        <v>0</v>
      </c>
      <c r="AX8" s="74" t="n">
        <v>0</v>
      </c>
      <c r="AY8" s="74" t="n">
        <v>0</v>
      </c>
      <c r="AZ8" s="75" t="n">
        <f aca="false">AR8+(AQ8-AR8)/(1+(AS8*0.033*10000)^AT8)^(1-1/AT8)</f>
        <v>0.399467093187552</v>
      </c>
      <c r="BA8" s="75" t="n">
        <f aca="false">AR8+(AQ8-AR8)/(1+(AS8*1.585*10000)^AT8)^(1-1/AT8)</f>
        <v>0.142123272777289</v>
      </c>
      <c r="BB8" s="76" t="n">
        <f aca="false">AR8+(AQ8-AR8)/(1+(AS8*3.5*10000)^AT8)^(1-1/AT8)</f>
        <v>0.126553664846735</v>
      </c>
      <c r="BC8" s="75" t="n">
        <f aca="false">AR8+(AQ8-AR8)/(1+(AS8*$BC$2/1000*10000)^AT8)^(1-1/AT8)</f>
        <v>0.478578042362552</v>
      </c>
      <c r="BD8" s="77" t="n">
        <f aca="false">(AQ8-AR8)*Soil_Depth*1000*(1-(AW8+AX8+AY8)/3)</f>
        <v>118.3488</v>
      </c>
      <c r="BE8" s="75" t="n">
        <f aca="false">(AZ8-AR8)*Soil_Depth*1000*(1-(AW8+AX8+AY8)/3)</f>
        <v>88.7519122344152</v>
      </c>
      <c r="BF8" s="75" t="n">
        <f aca="false">(AZ8-AR8)/(AQ8-AR8)</f>
        <v>0.749918142257591</v>
      </c>
      <c r="BG8" s="75" t="n">
        <f aca="false">(AZ8-BA8)*Soil_Depth*1000*(1-(AW8+AX8+AY8)/3)</f>
        <v>75.7620207287813</v>
      </c>
      <c r="BH8" s="75" t="n">
        <f aca="false">(AZ8-BB8)*Soil_Depth*1000*(1-(AW8+AX8+AY8)/3)</f>
        <v>80.3457133035365</v>
      </c>
      <c r="BJ8" s="0" t="s">
        <v>108</v>
      </c>
      <c r="BK8" s="0" t="n">
        <f aca="false">AF17</f>
        <v>-0.805731329115141</v>
      </c>
      <c r="BL8" s="0" t="n">
        <f aca="false">BL11-Branch_m</f>
        <v>0.5</v>
      </c>
      <c r="BN8" s="0" t="n">
        <f aca="false">BN7</f>
        <v>-3.28571428571429</v>
      </c>
      <c r="BO8" s="0" t="n">
        <f aca="false">BO5</f>
        <v>0.9</v>
      </c>
      <c r="CI8" s="26" t="s">
        <v>109</v>
      </c>
      <c r="CJ8" s="26"/>
      <c r="CK8" s="72" t="s">
        <v>110</v>
      </c>
      <c r="CL8" s="75" t="n">
        <f aca="false">'Fractal shoot'!G5</f>
        <v>2.15152980268455</v>
      </c>
      <c r="CM8" s="75" t="n">
        <f aca="false">'Fractal root'!G5</f>
        <v>7.34684762469724</v>
      </c>
      <c r="CT8" s="0" t="s">
        <v>111</v>
      </c>
      <c r="EC8" s="101" t="s">
        <v>112</v>
      </c>
      <c r="EP8" s="95" t="s">
        <v>113</v>
      </c>
      <c r="EQ8" s="95"/>
      <c r="ER8" s="95"/>
      <c r="ES8" s="95"/>
      <c r="ET8" s="95"/>
      <c r="EU8" s="95"/>
      <c r="GF8" s="28" t="s">
        <v>114</v>
      </c>
      <c r="GK8" s="29" t="s">
        <v>115</v>
      </c>
      <c r="GL8" s="30"/>
      <c r="GM8" s="31" t="n">
        <f aca="false">AE13</f>
        <v>2.9786257555348</v>
      </c>
      <c r="GN8" s="32" t="n">
        <f aca="false">AF13</f>
        <v>-0.929689995132855</v>
      </c>
      <c r="GO8" s="30" t="n">
        <f aca="false">AG13</f>
        <v>0.011781</v>
      </c>
      <c r="GP8" s="33" t="n">
        <f aca="false">GM13/GM8*100</f>
        <v>24</v>
      </c>
      <c r="GQ8" s="34" t="n">
        <f aca="false">GO8/$AG$20*100</f>
        <v>8.87542691149052</v>
      </c>
      <c r="GR8" s="35"/>
      <c r="GS8" s="36"/>
      <c r="GT8" s="37"/>
    </row>
    <row r="9" customFormat="false" ht="18.75" hidden="false" customHeight="false" outlineLevel="0" collapsed="false">
      <c r="A9" s="96" t="s">
        <v>116</v>
      </c>
      <c r="B9" s="75" t="n">
        <f aca="false">DZ36/(CP36/2*CP36/2*3.1416)</f>
        <v>2.54647313470843</v>
      </c>
      <c r="C9" s="6"/>
      <c r="D9" s="87" t="s">
        <v>117</v>
      </c>
      <c r="E9" s="88" t="n">
        <f aca="false">GY36</f>
        <v>-4</v>
      </c>
      <c r="F9" s="89"/>
      <c r="G9" s="96" t="s">
        <v>118</v>
      </c>
      <c r="H9" s="75" t="n">
        <f aca="false">IF( CI36&gt;=1,B15*GS36,GS36*B15*CT36)</f>
        <v>0.15</v>
      </c>
      <c r="I9" s="75" t="n">
        <f aca="false">H9/$DZ$36</f>
        <v>0.3</v>
      </c>
      <c r="J9" s="6"/>
      <c r="K9" s="98" t="s">
        <v>119</v>
      </c>
      <c r="L9" s="75" t="n">
        <f aca="false">IF(CI36&gt;=1,CZ36,CT36 *CU36 * CX36* CX36 * 3.1416 / 4 * CW36 * 1000 )</f>
        <v>0.0058905</v>
      </c>
      <c r="M9" s="75" t="n">
        <f aca="false">L9*1000000/18</f>
        <v>327.25</v>
      </c>
      <c r="N9" s="75" t="n">
        <f aca="false">L9*1000</f>
        <v>5.8905</v>
      </c>
      <c r="O9" s="91" t="n">
        <f aca="false">N9+N10</f>
        <v>17.6715</v>
      </c>
      <c r="P9" s="6"/>
      <c r="Q9" s="6"/>
      <c r="R9" s="6"/>
      <c r="S9" s="6"/>
      <c r="T9" s="6"/>
      <c r="U9" s="66" t="str">
        <f aca="false">IF(S36=0,"Tleaf=Tair","")</f>
        <v/>
      </c>
      <c r="V9" s="67" t="str">
        <f aca="false">IF(DY36=0,"LA Cst","")</f>
        <v>LA Cst</v>
      </c>
      <c r="W9" s="68" t="str">
        <f aca="false">IF(FA36=0,"gs_max cst","")</f>
        <v>gs_max cst</v>
      </c>
      <c r="X9" s="99" t="str">
        <f aca="false">IF(FF36=0,"g_cuti=0","")</f>
        <v/>
      </c>
      <c r="Y9" s="6"/>
      <c r="Z9" s="6"/>
      <c r="AA9" s="6"/>
      <c r="AB9" s="29" t="s">
        <v>61</v>
      </c>
      <c r="AC9" s="29" t="str">
        <f aca="false">IF(II36,IX36*VPD_max/101.3,"")</f>
        <v/>
      </c>
      <c r="AD9" s="46" t="str">
        <f aca="false">IF(II36,IX36*HP23*VPD_max/101.3,"")</f>
        <v/>
      </c>
      <c r="AE9" s="103" t="str">
        <f aca="false">IF(II36,IP36*IJ36*CT36,"")</f>
        <v/>
      </c>
      <c r="AF9" s="48" t="str">
        <f aca="false">IF(II36,AF11-AD9/AE9,"")</f>
        <v/>
      </c>
      <c r="AG9" s="46" t="str">
        <f aca="false">IF(II36,HP25/1000,"")</f>
        <v/>
      </c>
      <c r="AH9" s="104"/>
      <c r="AI9" s="50" t="str">
        <f aca="false">IF(II36,AG9/$AG$20*100,"")</f>
        <v/>
      </c>
      <c r="AJ9" s="35" t="s">
        <v>62</v>
      </c>
      <c r="AK9" s="51"/>
      <c r="AL9" s="50" t="str">
        <f aca="false">IF(II36,AI9+AI10+AI11,"")</f>
        <v/>
      </c>
      <c r="AM9" s="105" t="str">
        <f aca="false">IF(II36,HP23,"")</f>
        <v/>
      </c>
      <c r="AP9" s="106" t="s">
        <v>120</v>
      </c>
      <c r="AQ9" s="107"/>
      <c r="AR9" s="107"/>
      <c r="AS9" s="107"/>
      <c r="AT9" s="107"/>
      <c r="AU9" s="107"/>
      <c r="AV9" s="107"/>
      <c r="AW9" s="108"/>
      <c r="AX9" s="108"/>
      <c r="AY9" s="108"/>
      <c r="AZ9" s="108"/>
      <c r="BC9" s="75"/>
      <c r="CI9" s="26" t="s">
        <v>121</v>
      </c>
      <c r="CJ9" s="26"/>
      <c r="CK9" s="72" t="s">
        <v>122</v>
      </c>
      <c r="CL9" s="75" t="n">
        <f aca="false">'Fractal shoot'!G6</f>
        <v>4.20120533017324</v>
      </c>
      <c r="CM9" s="75" t="n">
        <f aca="false">'Fractal root'!G6</f>
        <v>4.18864279329864</v>
      </c>
      <c r="ED9" s="101" t="s">
        <v>123</v>
      </c>
      <c r="EP9" s="95" t="s">
        <v>124</v>
      </c>
      <c r="EQ9" s="95"/>
      <c r="ER9" s="95"/>
      <c r="ES9" s="95"/>
      <c r="ET9" s="95"/>
      <c r="EU9" s="95"/>
      <c r="EY9" s="0" t="s">
        <v>125</v>
      </c>
      <c r="GF9" s="28" t="s">
        <v>126</v>
      </c>
      <c r="GK9" s="29" t="s">
        <v>127</v>
      </c>
      <c r="GL9" s="30" t="n">
        <f aca="false">AD16</f>
        <v>0</v>
      </c>
      <c r="GM9" s="31" t="n">
        <f aca="false">AE16</f>
        <v>0.047124</v>
      </c>
      <c r="GN9" s="32" t="n">
        <f aca="false">AF16</f>
        <v>-0.805731329115141</v>
      </c>
      <c r="GO9" s="30" t="n">
        <f aca="false">AG16</f>
        <v>0.0058905</v>
      </c>
      <c r="GP9" s="78"/>
      <c r="GQ9" s="34" t="n">
        <f aca="false">GO9/$AG$20*100</f>
        <v>4.43771345574526</v>
      </c>
      <c r="GR9" s="35" t="s">
        <v>128</v>
      </c>
      <c r="GS9" s="36" t="n">
        <f aca="false">GP10</f>
        <v>2</v>
      </c>
      <c r="GT9" s="37" t="n">
        <f aca="false">GQ10+GQ9</f>
        <v>13.3131403672358</v>
      </c>
    </row>
    <row r="10" customFormat="false" ht="19.5" hidden="false" customHeight="false" outlineLevel="0" collapsed="false">
      <c r="A10" s="96" t="s">
        <v>129</v>
      </c>
      <c r="B10" s="75" t="n">
        <f aca="false">DC36+CU36</f>
        <v>1</v>
      </c>
      <c r="C10" s="6"/>
      <c r="D10" s="87" t="s">
        <v>130</v>
      </c>
      <c r="E10" s="88" t="n">
        <f aca="false">GY36+50/HG36</f>
        <v>-3.28571428571429</v>
      </c>
      <c r="F10" s="89"/>
      <c r="G10" s="96" t="s">
        <v>131</v>
      </c>
      <c r="H10" s="75" t="n">
        <f aca="false">GO36</f>
        <v>8.93587726660441</v>
      </c>
      <c r="I10" s="75" t="n">
        <f aca="false">H10/$DZ$36</f>
        <v>17.8717545332088</v>
      </c>
      <c r="J10" s="6"/>
      <c r="K10" s="98" t="s">
        <v>132</v>
      </c>
      <c r="L10" s="75" t="n">
        <f aca="false">IF(CI36&gt;=1,DA36,CT36 *CU36 * CX36* CX36 * 3.1416 / 4 * CV36 * 1000 )</f>
        <v>0.011781</v>
      </c>
      <c r="M10" s="75" t="n">
        <f aca="false">L10*1000000/18</f>
        <v>654.5</v>
      </c>
      <c r="N10" s="75" t="n">
        <f aca="false">L10*1000</f>
        <v>11.781</v>
      </c>
      <c r="O10" s="6"/>
      <c r="P10" s="6"/>
      <c r="Q10" s="6"/>
      <c r="R10" s="6"/>
      <c r="S10" s="6"/>
      <c r="T10" s="6"/>
      <c r="U10" s="109" t="str">
        <f aca="false">IF(AJ36=1,"Heatwave","")</f>
        <v/>
      </c>
      <c r="V10" s="110" t="str">
        <f aca="false">IF(GG36&gt;=1,"K_VAR","")</f>
        <v/>
      </c>
      <c r="W10" s="111" t="str">
        <f aca="false">IF(FA36=1,"gs_max=f(T)",IF(FA36&gt;1,"gs_max=f(T,CO2)",""))</f>
        <v/>
      </c>
      <c r="X10" s="112" t="str">
        <f aca="false">IF(EP36=0,"gs not regul","")</f>
        <v/>
      </c>
      <c r="Y10" s="6"/>
      <c r="Z10" s="6"/>
      <c r="AA10" s="6"/>
      <c r="AB10" s="29" t="s">
        <v>72</v>
      </c>
      <c r="AC10" s="29" t="str">
        <f aca="false">IF(II36,IY36*VPD_max/101.3,"")</f>
        <v/>
      </c>
      <c r="AD10" s="46" t="str">
        <f aca="false">IF(II36,IY36*HP22*VPD_max/101.3,"")</f>
        <v/>
      </c>
      <c r="AE10" s="103" t="str">
        <f aca="false">IF(II36,IQ36*IJ36*CT36,"")</f>
        <v/>
      </c>
      <c r="AF10" s="48" t="str">
        <f aca="false">IF(II36,AF11-AD10/AE10,"")</f>
        <v/>
      </c>
      <c r="AG10" s="46" t="str">
        <f aca="false">IF(II36,HP26/1000,"")</f>
        <v/>
      </c>
      <c r="AH10" s="104"/>
      <c r="AI10" s="50" t="str">
        <f aca="false">IF(II36,AG10/$AG$20*100,"")</f>
        <v/>
      </c>
      <c r="AJ10" s="35"/>
      <c r="AK10" s="51"/>
      <c r="AL10" s="50"/>
      <c r="AM10" s="52" t="str">
        <f aca="false">IF(II36,HP22,"")</f>
        <v/>
      </c>
      <c r="AP10" s="72" t="s">
        <v>56</v>
      </c>
      <c r="AQ10" s="94" t="n">
        <v>0.43</v>
      </c>
      <c r="AR10" s="94" t="n">
        <v>0.045</v>
      </c>
      <c r="AS10" s="94" t="n">
        <v>0.145</v>
      </c>
      <c r="AT10" s="94" t="n">
        <v>2.68</v>
      </c>
      <c r="AU10" s="94" t="n">
        <v>399.687960339943</v>
      </c>
      <c r="AV10" s="94" t="n">
        <v>0.5</v>
      </c>
      <c r="AW10" s="113" t="n">
        <v>0</v>
      </c>
      <c r="AX10" s="113" t="n">
        <v>0</v>
      </c>
      <c r="AY10" s="113" t="n">
        <v>0</v>
      </c>
      <c r="AZ10" s="75" t="n">
        <f aca="false">AR10+(AQ10-AR10)/(1+(AS10*0.033*10000)^AT10)^(1-1/AT10)</f>
        <v>0.0455797630045292</v>
      </c>
      <c r="BA10" s="75" t="n">
        <f aca="false">AR10+(AQ10-AR10)/(1+(AS10*1.585*10000)^AT10)^(1-1/AT10)</f>
        <v>0.0450008675875629</v>
      </c>
      <c r="BB10" s="76" t="n">
        <f aca="false">AR10+(AQ10-AR10)/(1+(AS10*3.5*10000)^AT10)^(1-1/AT10)</f>
        <v>0.0450002292599383</v>
      </c>
      <c r="BC10" s="75" t="n">
        <f aca="false">AR10+(AQ10-AR10)/(1+(AS10*$BC$2/1000*10000)^AT10)^(1-1/AT10)</f>
        <v>0.0501399219190718</v>
      </c>
      <c r="BD10" s="77" t="n">
        <f aca="false">(AQ10-AR10)*Soil_Depth*1000*(1-(AW10+AX10+AY10)/3)</f>
        <v>113.344</v>
      </c>
      <c r="BE10" s="75" t="n">
        <f aca="false">(AZ10-AR10)*Soil_Depth*1000*(1-(AW10+AX10+AY10)/3)</f>
        <v>0.170682228533382</v>
      </c>
      <c r="BF10" s="75" t="n">
        <f aca="false">(AZ10-AR10)/(AQ10-AR10)</f>
        <v>0.00150587793384195</v>
      </c>
      <c r="BG10" s="75" t="n">
        <f aca="false">(AZ10-BA10)*Soil_Depth*1000*(1-(AW10+AX10+AY10)/3)</f>
        <v>0.170426810754854</v>
      </c>
      <c r="BH10" s="75" t="n">
        <f aca="false">(AZ10-BB10)*Soil_Depth*1000*(1-(AW10+AX10+AY10)/3)</f>
        <v>0.170614734407543</v>
      </c>
      <c r="BJ10" s="0" t="s">
        <v>108</v>
      </c>
      <c r="BK10" s="0" t="n">
        <f aca="false">BK8</f>
        <v>-0.805731329115141</v>
      </c>
      <c r="BL10" s="0" t="n">
        <f aca="false">BL8</f>
        <v>0.5</v>
      </c>
      <c r="BM10" s="0" t="s">
        <v>133</v>
      </c>
      <c r="BN10" s="0" t="n">
        <f aca="false">HB36+50/HJ36</f>
        <v>-3.28571428571429</v>
      </c>
      <c r="BO10" s="0" t="n">
        <f aca="false">BL10+B10/10</f>
        <v>0.6</v>
      </c>
      <c r="CI10" s="26" t="s">
        <v>134</v>
      </c>
      <c r="CJ10" s="26"/>
      <c r="CK10" s="114"/>
      <c r="CL10" s="88" t="n">
        <f aca="false">'Fractal shoot'!B21</f>
        <v>25</v>
      </c>
      <c r="CM10" s="88" t="n">
        <f aca="false">'Fractal root'!B21</f>
        <v>4244.12189118072</v>
      </c>
      <c r="ED10" s="28" t="s">
        <v>135</v>
      </c>
      <c r="EP10" s="115" t="s">
        <v>136</v>
      </c>
      <c r="EQ10" s="115"/>
      <c r="ER10" s="115"/>
      <c r="ES10" s="115"/>
      <c r="ET10" s="115"/>
      <c r="EU10" s="115"/>
      <c r="GF10" s="28" t="s">
        <v>137</v>
      </c>
      <c r="GK10" s="29" t="s">
        <v>108</v>
      </c>
      <c r="GL10" s="30"/>
      <c r="GM10" s="31" t="n">
        <f aca="false">AE17</f>
        <v>35.7435090664177</v>
      </c>
      <c r="GN10" s="32" t="n">
        <f aca="false">AF17</f>
        <v>-0.805731329115141</v>
      </c>
      <c r="GO10" s="30" t="n">
        <f aca="false">AG17</f>
        <v>0.011781</v>
      </c>
      <c r="GP10" s="33" t="n">
        <f aca="false">GM13/GM10*100</f>
        <v>2</v>
      </c>
      <c r="GQ10" s="34" t="n">
        <f aca="false">GO10/$AG$20*100</f>
        <v>8.87542691149052</v>
      </c>
      <c r="GR10" s="35"/>
      <c r="GS10" s="36"/>
      <c r="GT10" s="37"/>
    </row>
    <row r="11" customFormat="false" ht="15.75" hidden="false" customHeight="false" outlineLevel="0" collapsed="false">
      <c r="A11" s="98" t="s">
        <v>138</v>
      </c>
      <c r="B11" s="75" t="n">
        <f aca="false">3.1416*(2*DD36-DD36*DG36)*DD36*DG36/4</f>
        <v>5.8905E-005</v>
      </c>
      <c r="C11" s="6"/>
      <c r="D11" s="87" t="s">
        <v>139</v>
      </c>
      <c r="E11" s="88" t="n">
        <f aca="false">GC36*FY36/(FY36+GC36)</f>
        <v>-2.02386835769398</v>
      </c>
      <c r="F11" s="89"/>
      <c r="G11" s="96" t="s">
        <v>140</v>
      </c>
      <c r="H11" s="75" t="n">
        <f aca="false">B17*GT36</f>
        <v>0.047124</v>
      </c>
      <c r="I11" s="75" t="n">
        <f aca="false">H11/$DZ$36</f>
        <v>0.094248</v>
      </c>
      <c r="J11" s="6"/>
      <c r="K11" s="98" t="s">
        <v>141</v>
      </c>
      <c r="L11" s="75" t="n">
        <f aca="false">IF(CI36&gt;=1,DI36,DC36*DD36*DD36*3.1416/4*DF36*1000*(2-DG36)*DG36)</f>
        <v>0.0058905</v>
      </c>
      <c r="M11" s="75" t="n">
        <f aca="false">L11*1000000/18</f>
        <v>327.25</v>
      </c>
      <c r="N11" s="75" t="n">
        <f aca="false">L11*1000</f>
        <v>5.8905</v>
      </c>
      <c r="O11" s="6"/>
      <c r="P11" s="6"/>
      <c r="Q11" s="6"/>
      <c r="R11" s="6"/>
      <c r="S11" s="6"/>
      <c r="T11" s="6"/>
      <c r="U11" s="6"/>
      <c r="V11" s="6"/>
      <c r="W11" s="6"/>
      <c r="X11" s="6"/>
      <c r="Y11" s="6"/>
      <c r="Z11" s="6"/>
      <c r="AA11" s="6"/>
      <c r="AB11" s="29" t="s">
        <v>87</v>
      </c>
      <c r="AC11" s="29"/>
      <c r="AD11" s="46"/>
      <c r="AE11" s="103" t="str">
        <f aca="false">IF(II36,IO36*IJ36*CT36,"")</f>
        <v/>
      </c>
      <c r="AF11" s="48" t="str">
        <f aca="false">IF(II36,AF13-(AD10+AD9)/AE11,"")</f>
        <v/>
      </c>
      <c r="AG11" s="46" t="str">
        <f aca="false">IF(II36,HP27/1000,"")</f>
        <v/>
      </c>
      <c r="AH11" s="104"/>
      <c r="AI11" s="50" t="str">
        <f aca="false">IF(II36,AG11/$AG$20*100,"")</f>
        <v/>
      </c>
      <c r="AJ11" s="35"/>
      <c r="AK11" s="51"/>
      <c r="AL11" s="50"/>
      <c r="AM11" s="93"/>
      <c r="AP11" s="72" t="s">
        <v>142</v>
      </c>
      <c r="AQ11" s="94" t="n">
        <v>0.41</v>
      </c>
      <c r="AR11" s="94" t="n">
        <v>0.057</v>
      </c>
      <c r="AS11" s="94" t="n">
        <v>0.124</v>
      </c>
      <c r="AT11" s="94" t="n">
        <v>2.28</v>
      </c>
      <c r="AU11" s="94" t="n">
        <v>196.367457507082</v>
      </c>
      <c r="AV11" s="94" t="n">
        <v>0.5</v>
      </c>
      <c r="AW11" s="113" t="n">
        <v>0</v>
      </c>
      <c r="AX11" s="113" t="n">
        <v>0</v>
      </c>
      <c r="AY11" s="113" t="n">
        <v>0</v>
      </c>
      <c r="AZ11" s="75" t="n">
        <f aca="false">AR11+(AQ11-AR11)/(1+(AS11*0.033*10000)^AT11)^(1-1/AT11)</f>
        <v>0.0600510238752676</v>
      </c>
      <c r="BA11" s="75" t="n">
        <f aca="false">AR11+(AQ11-AR11)/(1+(AS11*1.585*10000)^AT11)^(1-1/AT11)</f>
        <v>0.0570214860944075</v>
      </c>
      <c r="BB11" s="76" t="n">
        <f aca="false">AR11+(AQ11-AR11)/(1+(AS11*3.5*10000)^AT11)^(1-1/AT11)</f>
        <v>0.0570077944926234</v>
      </c>
      <c r="BC11" s="75" t="n">
        <f aca="false">AR11+(AQ11-AR11)/(1+(AS11*$BC$2/1000*10000)^AT11)^(1-1/AT11)</f>
        <v>0.0730609147876145</v>
      </c>
      <c r="BD11" s="77" t="n">
        <f aca="false">(AQ11-AR11)*Soil_Depth*1000*(1-(AW11+AX11+AY11)/3)</f>
        <v>103.9232</v>
      </c>
      <c r="BE11" s="75" t="n">
        <f aca="false">(AZ11-AR11)*Soil_Depth*1000*(1-(AW11+AX11+AY11)/3)</f>
        <v>0.89822142887879</v>
      </c>
      <c r="BF11" s="75" t="n">
        <f aca="false">(AZ11-AR11)/(AQ11-AR11)</f>
        <v>0.00864312712540405</v>
      </c>
      <c r="BG11" s="75" t="n">
        <f aca="false">(AZ11-BA11)*Soil_Depth*1000*(1-(AW11+AX11+AY11)/3)</f>
        <v>0.891895922685231</v>
      </c>
      <c r="BH11" s="75" t="n">
        <f aca="false">(AZ11-BB11)*Soil_Depth*1000*(1-(AW11+AX11+AY11)/3)</f>
        <v>0.895926730250476</v>
      </c>
      <c r="BJ11" s="0" t="s">
        <v>143</v>
      </c>
      <c r="BK11" s="0" t="n">
        <f aca="false">AF13</f>
        <v>-0.929689995132855</v>
      </c>
      <c r="BL11" s="0" t="n">
        <f aca="false">B10</f>
        <v>1</v>
      </c>
      <c r="BN11" s="0" t="n">
        <f aca="false">BN10</f>
        <v>-3.28571428571429</v>
      </c>
      <c r="BO11" s="0" t="n">
        <f aca="false">BL10-B10/10</f>
        <v>0.4</v>
      </c>
      <c r="CI11" s="6"/>
      <c r="CJ11" s="6"/>
      <c r="CK11" s="6"/>
      <c r="DX11" s="116"/>
      <c r="ED11" s="28" t="s">
        <v>144</v>
      </c>
      <c r="EP11" s="115" t="s">
        <v>145</v>
      </c>
      <c r="EQ11" s="115"/>
      <c r="ER11" s="115"/>
      <c r="ES11" s="115"/>
      <c r="ET11" s="115"/>
      <c r="EU11" s="115"/>
      <c r="EW11" s="0" t="s">
        <v>146</v>
      </c>
      <c r="EX11" s="0" t="s">
        <v>147</v>
      </c>
      <c r="EY11" s="0" t="s">
        <v>148</v>
      </c>
      <c r="EZ11" s="0" t="s">
        <v>149</v>
      </c>
      <c r="GF11" s="28" t="s">
        <v>150</v>
      </c>
      <c r="GK11" s="29" t="s">
        <v>25</v>
      </c>
      <c r="GL11" s="30"/>
      <c r="GM11" s="31" t="n">
        <f aca="false">AE19</f>
        <v>1.78717545332088</v>
      </c>
      <c r="GN11" s="32" t="n">
        <f aca="false">AF19</f>
        <v>-0.61979333008857</v>
      </c>
      <c r="GO11" s="30" t="n">
        <f aca="false">AG19</f>
        <v>0.011781</v>
      </c>
      <c r="GP11" s="33" t="n">
        <f aca="false">GM13/GM11*100</f>
        <v>40</v>
      </c>
      <c r="GQ11" s="34" t="n">
        <f aca="false">GO11/$AG$20*100</f>
        <v>8.87542691149052</v>
      </c>
      <c r="GR11" s="35" t="s">
        <v>59</v>
      </c>
      <c r="GS11" s="36" t="n">
        <f aca="false">AK19</f>
        <v>50</v>
      </c>
      <c r="GT11" s="37" t="n">
        <f aca="false">GQ11+GQ12</f>
        <v>26.6262807344715</v>
      </c>
    </row>
    <row r="12" customFormat="false" ht="15.75" hidden="false" customHeight="false" outlineLevel="0" collapsed="false">
      <c r="A12" s="98" t="s">
        <v>151</v>
      </c>
      <c r="B12" s="75" t="n">
        <f aca="false">CT36*CX36*CX36*3.1416/4/DZ36</f>
        <v>0.00011781</v>
      </c>
      <c r="C12" s="6"/>
      <c r="D12" s="90" t="s">
        <v>152</v>
      </c>
      <c r="E12" s="88" t="n">
        <f aca="false">AF3</f>
        <v>-1.54948332522143</v>
      </c>
      <c r="F12" s="89"/>
      <c r="G12" s="96" t="s">
        <v>153</v>
      </c>
      <c r="H12" s="75" t="n">
        <f aca="false">IF( CI36&gt;=1,GP36,GM36*B11/DC36)</f>
        <v>35.7435090664177</v>
      </c>
      <c r="I12" s="75" t="n">
        <f aca="false">H12/$DZ$36</f>
        <v>71.4870181328353</v>
      </c>
      <c r="J12" s="6"/>
      <c r="K12" s="98" t="s">
        <v>154</v>
      </c>
      <c r="L12" s="75" t="n">
        <f aca="false">IF(CI36&gt;=1,DJ36,DC36*DD36*DD36*3.1416/4*DE36*1000*(2-DG36)*DG36)</f>
        <v>0.011781</v>
      </c>
      <c r="M12" s="75" t="n">
        <f aca="false">L12*1000000/18</f>
        <v>654.5</v>
      </c>
      <c r="N12" s="75" t="n">
        <f aca="false">L12*1000</f>
        <v>11.781</v>
      </c>
      <c r="O12" s="6"/>
      <c r="P12" s="6"/>
      <c r="Q12" s="6"/>
      <c r="R12" s="6"/>
      <c r="S12" s="6"/>
      <c r="T12" s="6"/>
      <c r="U12" s="6"/>
      <c r="V12" s="6"/>
      <c r="W12" s="6"/>
      <c r="X12" s="6"/>
      <c r="Y12" s="6"/>
      <c r="Z12" s="6"/>
      <c r="AA12" s="6"/>
      <c r="AB12" s="29" t="s">
        <v>155</v>
      </c>
      <c r="AC12" s="29" t="n">
        <f aca="false">FL36*VPD_max/101.3</f>
        <v>0</v>
      </c>
      <c r="AD12" s="46" t="n">
        <f aca="false">FL36*B15*VPD_max/101.3</f>
        <v>0</v>
      </c>
      <c r="AE12" s="103" t="n">
        <f aca="false">H9</f>
        <v>0.15</v>
      </c>
      <c r="AF12" s="48" t="n">
        <f aca="false">AF13-AD12/AE12</f>
        <v>-0.929689995132855</v>
      </c>
      <c r="AG12" s="46" t="n">
        <f aca="false">L9</f>
        <v>0.0058905</v>
      </c>
      <c r="AH12" s="104"/>
      <c r="AI12" s="50" t="n">
        <f aca="false">AG12/$AG$20*100</f>
        <v>4.43771345574526</v>
      </c>
      <c r="AJ12" s="35" t="s">
        <v>101</v>
      </c>
      <c r="AK12" s="51" t="n">
        <f aca="false">AH13</f>
        <v>8</v>
      </c>
      <c r="AL12" s="50" t="n">
        <f aca="false">AI13+AI12</f>
        <v>13.3131403672358</v>
      </c>
      <c r="AM12" s="52" t="n">
        <f aca="false">B15</f>
        <v>0.05</v>
      </c>
      <c r="AP12" s="72" t="s">
        <v>156</v>
      </c>
      <c r="AQ12" s="117" t="n">
        <v>0.41</v>
      </c>
      <c r="AR12" s="117" t="n">
        <v>0.065</v>
      </c>
      <c r="AS12" s="117" t="n">
        <v>0.075</v>
      </c>
      <c r="AT12" s="117" t="n">
        <v>1.89</v>
      </c>
      <c r="AU12" s="117" t="n">
        <v>59.4933958923513</v>
      </c>
      <c r="AV12" s="94" t="n">
        <v>0.5</v>
      </c>
      <c r="AW12" s="113" t="n">
        <v>0</v>
      </c>
      <c r="AX12" s="113" t="n">
        <v>0</v>
      </c>
      <c r="AY12" s="113" t="n">
        <v>0</v>
      </c>
      <c r="AZ12" s="75" t="n">
        <f aca="false">AR12+(AQ12-AR12)/(1+(AS12*0.033*10000)^AT12)^(1-1/AT12)</f>
        <v>0.0848181238613331</v>
      </c>
      <c r="BA12" s="75" t="n">
        <f aca="false">AR12+(AQ12-AR12)/(1+(AS12*1.585*10000)^AT12)^(1-1/AT12)</f>
        <v>0.0656323946804164</v>
      </c>
      <c r="BB12" s="76" t="n">
        <f aca="false">AR12+(AQ12-AR12)/(1+(AS12*3.5*10000)^AT12)^(1-1/AT12)</f>
        <v>0.0653124596490409</v>
      </c>
      <c r="BC12" s="75" t="n">
        <f aca="false">AR12+(AQ12-AR12)/(1+(AS12*$BC$2/1000*10000)^AT12)^(1-1/AT12)</f>
        <v>0.127269402514816</v>
      </c>
      <c r="BD12" s="77" t="n">
        <f aca="false">(AQ12-AR12)*Soil_Depth*1000*(1-(AW12+AX12+AY12)/3)</f>
        <v>101.568</v>
      </c>
      <c r="BE12" s="75" t="n">
        <f aca="false">(AZ12-AR12)*Soil_Depth*1000*(1-(AW12+AX12+AY12)/3)</f>
        <v>5.83445566477646</v>
      </c>
      <c r="BF12" s="75" t="n">
        <f aca="false">(AZ12-AR12)/(AQ12-AR12)</f>
        <v>0.0574438372792263</v>
      </c>
      <c r="BG12" s="75" t="n">
        <f aca="false">(AZ12-BA12)*Soil_Depth*1000*(1-(AW12+AX12+AY12)/3)</f>
        <v>5.64827867086187</v>
      </c>
      <c r="BH12" s="75" t="n">
        <f aca="false">(AZ12-BB12)*Soil_Depth*1000*(1-(AW12+AX12+AY12)/3)</f>
        <v>5.7424675440988</v>
      </c>
      <c r="DL12" s="118"/>
      <c r="DX12" s="119"/>
      <c r="ED12" s="28" t="s">
        <v>157</v>
      </c>
      <c r="EP12" s="115" t="s">
        <v>158</v>
      </c>
      <c r="EQ12" s="115"/>
      <c r="ER12" s="115"/>
      <c r="ES12" s="115"/>
      <c r="ET12" s="115"/>
      <c r="EU12" s="115"/>
      <c r="EW12" s="0" t="n">
        <v>0</v>
      </c>
      <c r="EX12" s="0" t="n">
        <v>0</v>
      </c>
      <c r="GE12" s="28" t="s">
        <v>159</v>
      </c>
      <c r="GK12" s="29" t="s">
        <v>160</v>
      </c>
      <c r="GL12" s="30"/>
      <c r="GM12" s="31" t="n">
        <f aca="false">AE18</f>
        <v>7.14870181328353</v>
      </c>
      <c r="GN12" s="32" t="n">
        <f aca="false">AF18</f>
        <v>-0.774741662610713</v>
      </c>
      <c r="GO12" s="30" t="n">
        <f aca="false">AG18</f>
        <v>0.023562</v>
      </c>
      <c r="GP12" s="33" t="n">
        <f aca="false">GM13/GM12*100</f>
        <v>10</v>
      </c>
      <c r="GQ12" s="34" t="n">
        <f aca="false">GO12/$AG$20*100</f>
        <v>17.750853822981</v>
      </c>
      <c r="GR12" s="35"/>
      <c r="GS12" s="36"/>
      <c r="GT12" s="37"/>
    </row>
    <row r="13" customFormat="false" ht="15.75" hidden="false" customHeight="false" outlineLevel="0" collapsed="false">
      <c r="A13" s="98" t="s">
        <v>161</v>
      </c>
      <c r="B13" s="75" t="n">
        <f aca="false">DD36*DD36*3.1416/4/DZ36</f>
        <v>0.00015708</v>
      </c>
      <c r="C13" s="6"/>
      <c r="D13" s="90" t="s">
        <v>162</v>
      </c>
      <c r="E13" s="88" t="n">
        <f aca="false">AF6</f>
        <v>-1.23958666017714</v>
      </c>
      <c r="F13" s="89"/>
      <c r="G13" s="96" t="s">
        <v>163</v>
      </c>
      <c r="H13" s="75" t="n">
        <f aca="false">GU36*B19/(BN36+BO36+BP36)</f>
        <v>1.78717545332088</v>
      </c>
      <c r="I13" s="75" t="n">
        <f aca="false">H13/$DZ$36</f>
        <v>3.57435090664177</v>
      </c>
      <c r="J13" s="6"/>
      <c r="K13" s="98" t="s">
        <v>164</v>
      </c>
      <c r="L13" s="75" t="n">
        <f aca="false">DQ36*(BN36+BO36+BP36)</f>
        <v>0.011781</v>
      </c>
      <c r="M13" s="75" t="n">
        <f aca="false">L13*1000000/18</f>
        <v>654.5</v>
      </c>
      <c r="N13" s="75" t="n">
        <f aca="false">L13*1000</f>
        <v>11.781</v>
      </c>
      <c r="O13" s="6"/>
      <c r="P13" s="6"/>
      <c r="Q13" s="6"/>
      <c r="R13" s="6"/>
      <c r="S13" s="6"/>
      <c r="T13" s="6"/>
      <c r="U13" s="6"/>
      <c r="V13" s="6"/>
      <c r="W13" s="6"/>
      <c r="Y13" s="6"/>
      <c r="Z13" s="6"/>
      <c r="AA13" s="6"/>
      <c r="AB13" s="29" t="s">
        <v>165</v>
      </c>
      <c r="AC13" s="29"/>
      <c r="AD13" s="46"/>
      <c r="AE13" s="103" t="n">
        <f aca="false">H10*CQ36</f>
        <v>2.9786257555348</v>
      </c>
      <c r="AF13" s="48" t="n">
        <f aca="false">IF(W36,AF17-(AD3-AD16)/AE13 -CU36*0.01,AF17-(AD3-AD16)/AE13)</f>
        <v>-0.929689995132855</v>
      </c>
      <c r="AG13" s="46" t="n">
        <f aca="false">L10</f>
        <v>0.011781</v>
      </c>
      <c r="AH13" s="49" t="n">
        <f aca="false">AE20/(AE13+AE14+AE15)*100</f>
        <v>8</v>
      </c>
      <c r="AI13" s="50" t="n">
        <f aca="false">AG13/$AG$20*100</f>
        <v>8.87542691149052</v>
      </c>
      <c r="AJ13" s="35"/>
      <c r="AK13" s="51"/>
      <c r="AL13" s="50"/>
      <c r="AM13" s="93"/>
      <c r="AP13" s="72" t="s">
        <v>82</v>
      </c>
      <c r="AQ13" s="117" t="n">
        <v>0.43</v>
      </c>
      <c r="AR13" s="117" t="n">
        <v>0.078</v>
      </c>
      <c r="AS13" s="117" t="n">
        <v>0.036</v>
      </c>
      <c r="AT13" s="117" t="n">
        <v>1.56</v>
      </c>
      <c r="AU13" s="117" t="n">
        <v>13.9958073654391</v>
      </c>
      <c r="AV13" s="94" t="n">
        <v>0.5</v>
      </c>
      <c r="AW13" s="113" t="n">
        <v>0</v>
      </c>
      <c r="AX13" s="113" t="n">
        <v>0</v>
      </c>
      <c r="AY13" s="113" t="n">
        <v>0</v>
      </c>
      <c r="AZ13" s="75" t="n">
        <f aca="false">AR13+(AQ13-AR13)/(1+(AS13*0.033*10000)^AT13)^(1-1/AT13)</f>
        <v>0.16537708634239</v>
      </c>
      <c r="BA13" s="75" t="n">
        <f aca="false">AR13+(AQ13-AR13)/(1+(AS13*1.585*10000)^AT13)^(1-1/AT13)</f>
        <v>0.0880690630018248</v>
      </c>
      <c r="BB13" s="76" t="n">
        <f aca="false">AR13+(AQ13-AR13)/(1+(AS13*3.5*10000)^AT13)^(1-1/AT13)</f>
        <v>0.0844614931306538</v>
      </c>
      <c r="BC13" s="75" t="n">
        <f aca="false">AR13+(AQ13-AR13)/(1+(AS13*$BC$2/1000*10000)^AT13)^(1-1/AT13)</f>
        <v>0.250793304065645</v>
      </c>
      <c r="BD13" s="77" t="n">
        <f aca="false">(AQ13-AR13)*Soil_Depth*1000*(1-(AW13+AX13+AY13)/3)</f>
        <v>103.6288</v>
      </c>
      <c r="BE13" s="75" t="n">
        <f aca="false">(AZ13-AR13)*Soil_Depth*1000*(1-(AW13+AX13+AY13)/3)</f>
        <v>25.7238142191997</v>
      </c>
      <c r="BF13" s="75" t="n">
        <f aca="false">(AZ13-AR13)/(AQ13-AR13)</f>
        <v>0.248230358927246</v>
      </c>
      <c r="BG13" s="75" t="n">
        <f aca="false">(AZ13-BA13)*Soil_Depth*1000*(1-(AW13+AX13+AY13)/3)</f>
        <v>22.7594820714625</v>
      </c>
      <c r="BH13" s="75" t="n">
        <f aca="false">(AZ13-BB13)*Soil_Depth*1000*(1-(AW13+AX13+AY13)/3)</f>
        <v>23.8215506415353</v>
      </c>
      <c r="BJ13" s="0" t="s">
        <v>108</v>
      </c>
      <c r="BK13" s="0" t="n">
        <f aca="false">BK10</f>
        <v>-0.805731329115141</v>
      </c>
      <c r="BL13" s="0" t="n">
        <f aca="false">BL10</f>
        <v>0.5</v>
      </c>
      <c r="BM13" s="0" t="s">
        <v>166</v>
      </c>
      <c r="BN13" s="0" t="n">
        <f aca="false">HC36+50/HK36</f>
        <v>-3.28571428571429</v>
      </c>
      <c r="BO13" s="0" t="n">
        <f aca="false">+B10/10</f>
        <v>0.1</v>
      </c>
      <c r="DL13" s="118"/>
      <c r="DX13" s="119"/>
      <c r="EC13" s="101" t="s">
        <v>167</v>
      </c>
      <c r="EP13" s="115" t="s">
        <v>168</v>
      </c>
      <c r="EQ13" s="115"/>
      <c r="ER13" s="115"/>
      <c r="ES13" s="115"/>
      <c r="ET13" s="115"/>
      <c r="EU13" s="115"/>
      <c r="EW13" s="0" t="n">
        <v>1</v>
      </c>
      <c r="EX13" s="0" t="n">
        <f aca="false">CQ36*DZ36/CV31</f>
        <v>0.848824378236143</v>
      </c>
      <c r="EY13" s="0" t="n">
        <f aca="false">$AF$36*EXP(-$FX$36*EX12)</f>
        <v>1500</v>
      </c>
      <c r="EZ13" s="0" t="n">
        <f aca="false">gs_max*EY13/$EY$13</f>
        <v>200</v>
      </c>
      <c r="GF13" s="28" t="s">
        <v>169</v>
      </c>
      <c r="GK13" s="29" t="s">
        <v>170</v>
      </c>
      <c r="GL13" s="30" t="n">
        <f aca="false">AD20</f>
        <v>1.1076794256663</v>
      </c>
      <c r="GM13" s="31" t="n">
        <f aca="false">AE20</f>
        <v>0.714870181328353</v>
      </c>
      <c r="GN13" s="32" t="n">
        <f aca="false">AF20</f>
        <v>-1.54948332522143</v>
      </c>
      <c r="GO13" s="30" t="n">
        <f aca="false">AG20</f>
        <v>0.13273727695</v>
      </c>
      <c r="GP13" s="33" t="n">
        <f aca="false">GM13/GM13*100</f>
        <v>100</v>
      </c>
      <c r="GQ13" s="34" t="n">
        <f aca="false">GO13/$AG$20*100</f>
        <v>100</v>
      </c>
      <c r="GR13" s="120"/>
      <c r="GS13" s="120"/>
      <c r="GT13" s="120"/>
    </row>
    <row r="14" customFormat="false" ht="15.75" hidden="false" customHeight="false" outlineLevel="0" collapsed="false">
      <c r="A14" s="98" t="s">
        <v>171</v>
      </c>
      <c r="B14" s="75" t="n">
        <f aca="false">B11/DZ36</f>
        <v>0.00011781</v>
      </c>
      <c r="C14" s="6"/>
      <c r="D14" s="98" t="s">
        <v>172</v>
      </c>
      <c r="E14" s="75" t="n">
        <f aca="false">E15-L20/H10 -CU36*0.01</f>
        <v>-0.939689995132855</v>
      </c>
      <c r="F14" s="89"/>
      <c r="G14" s="96" t="s">
        <v>173</v>
      </c>
      <c r="H14" s="75" t="n">
        <f aca="false">GQ36</f>
        <v>7.14870181328353</v>
      </c>
      <c r="I14" s="75" t="n">
        <f aca="false">H14/$DZ$36</f>
        <v>14.2974036265671</v>
      </c>
      <c r="J14" s="6"/>
      <c r="K14" s="98" t="s">
        <v>174</v>
      </c>
      <c r="L14" s="75" t="n">
        <f aca="false">DR36*(BN36+BO36+BP36)</f>
        <v>0.023562</v>
      </c>
      <c r="M14" s="75" t="n">
        <f aca="false">L14*1000000/18</f>
        <v>1309</v>
      </c>
      <c r="N14" s="75" t="n">
        <f aca="false">L14*1000</f>
        <v>23.562</v>
      </c>
      <c r="O14" s="6"/>
      <c r="P14" s="6"/>
      <c r="Q14" s="6"/>
      <c r="R14" s="6"/>
      <c r="S14" s="6"/>
      <c r="T14" s="6"/>
      <c r="U14" s="6"/>
      <c r="V14" s="6"/>
      <c r="W14" s="6"/>
      <c r="X14" s="6"/>
      <c r="Y14" s="6"/>
      <c r="Z14" s="6"/>
      <c r="AA14" s="6"/>
      <c r="AB14" s="29" t="s">
        <v>175</v>
      </c>
      <c r="AC14" s="29"/>
      <c r="AD14" s="46"/>
      <c r="AE14" s="103" t="n">
        <f aca="false">H10*CR36</f>
        <v>2.9786257555348</v>
      </c>
      <c r="AF14" s="48" t="n">
        <f aca="false">IF(W36,AF17-(AD4-AD16)/AE14 -CU36*0.01,AF17-(AD4-AD16)/AE14)</f>
        <v>-0.929689995132855</v>
      </c>
      <c r="AP14" s="72" t="s">
        <v>176</v>
      </c>
      <c r="AQ14" s="94" t="n">
        <v>0.46</v>
      </c>
      <c r="AR14" s="94" t="n">
        <v>0.034</v>
      </c>
      <c r="AS14" s="94" t="n">
        <v>0.016</v>
      </c>
      <c r="AT14" s="94" t="n">
        <v>1.37</v>
      </c>
      <c r="AU14" s="94" t="n">
        <v>3.36437677053824</v>
      </c>
      <c r="AV14" s="94" t="n">
        <v>0.5</v>
      </c>
      <c r="AW14" s="113" t="n">
        <v>0</v>
      </c>
      <c r="AX14" s="113" t="n">
        <v>0</v>
      </c>
      <c r="AY14" s="113" t="n">
        <v>0</v>
      </c>
      <c r="AZ14" s="75" t="n">
        <f aca="false">AR14+(AQ14-AR14)/(1+(AS14*0.033*10000)^AT14)^(1-1/AT14)</f>
        <v>0.258185803243731</v>
      </c>
      <c r="BA14" s="75" t="n">
        <f aca="false">AR14+(AQ14-AR14)/(1+(AS14*1.585*10000)^AT14)^(1-1/AT14)</f>
        <v>0.0889306510116079</v>
      </c>
      <c r="BB14" s="76" t="n">
        <f aca="false">AR14+(AQ14-AR14)/(1+(AS14*3.5*10000)^AT14)^(1-1/AT14)</f>
        <v>0.0749788609061304</v>
      </c>
      <c r="BC14" s="75" t="n">
        <f aca="false">AR14+(AQ14-AR14)/(1+(AS14*$BC$2/1000*10000)^AT14)^(1-1/AT14)</f>
        <v>0.361484669383421</v>
      </c>
      <c r="BD14" s="77" t="n">
        <f aca="false">(AQ14-AR14)*Soil_Depth*1000*(1-(AW14+AX14+AY14)/3)</f>
        <v>125.4144</v>
      </c>
      <c r="BE14" s="75" t="n">
        <f aca="false">(AZ14-AR14)*Soil_Depth*1000*(1-(AW14+AX14+AY14)/3)</f>
        <v>66.0003004749543</v>
      </c>
      <c r="BF14" s="75" t="n">
        <f aca="false">(AZ14-AR14)/(AQ14-AR14)</f>
        <v>0.526257754093265</v>
      </c>
      <c r="BG14" s="75" t="n">
        <f aca="false">(AZ14-BA14)*Soil_Depth*1000*(1-(AW14+AX14+AY14)/3)</f>
        <v>49.8287168171369</v>
      </c>
      <c r="BH14" s="75" t="n">
        <f aca="false">(AZ14-BB14)*Soil_Depth*1000*(1-(AW14+AX14+AY14)/3)</f>
        <v>53.9361238241895</v>
      </c>
      <c r="BJ14" s="0" t="s">
        <v>177</v>
      </c>
      <c r="BK14" s="0" t="n">
        <f aca="false">AF14</f>
        <v>-0.929689995132855</v>
      </c>
      <c r="BL14" s="0" t="n">
        <f aca="false">BL11</f>
        <v>1</v>
      </c>
      <c r="BN14" s="0" t="n">
        <f aca="false">BN13</f>
        <v>-3.28571428571429</v>
      </c>
      <c r="BO14" s="0" t="n">
        <f aca="false">-B10/10</f>
        <v>-0.1</v>
      </c>
      <c r="CM14" s="121" t="s">
        <v>10</v>
      </c>
      <c r="CN14" s="121" t="s">
        <v>15</v>
      </c>
      <c r="CO14" s="121" t="s">
        <v>10</v>
      </c>
      <c r="CP14" s="122" t="s">
        <v>15</v>
      </c>
      <c r="DL14" s="118"/>
      <c r="DV14" s="119"/>
      <c r="DW14" s="119"/>
      <c r="DX14" s="119"/>
      <c r="EC14" s="101" t="s">
        <v>178</v>
      </c>
      <c r="EP14" s="95" t="s">
        <v>179</v>
      </c>
      <c r="EQ14" s="95"/>
      <c r="ER14" s="95"/>
      <c r="ES14" s="95"/>
      <c r="ET14" s="95"/>
      <c r="EU14" s="95"/>
      <c r="EW14" s="0" t="n">
        <v>2</v>
      </c>
      <c r="EX14" s="0" t="n">
        <f aca="false">EX13+CR36*DZ36/CV31</f>
        <v>1.69764875647229</v>
      </c>
      <c r="EY14" s="0" t="n">
        <f aca="false">$AF$36*EXP(-$FX$36*EX13)</f>
        <v>1500</v>
      </c>
      <c r="EZ14" s="0" t="n">
        <f aca="false">gs_max*EY14/$EY$13</f>
        <v>200</v>
      </c>
      <c r="GE14" s="28" t="s">
        <v>180</v>
      </c>
      <c r="GF14" s="28" t="s">
        <v>181</v>
      </c>
      <c r="GK14" s="123" t="s">
        <v>182</v>
      </c>
      <c r="GL14" s="30"/>
      <c r="GM14" s="31"/>
      <c r="GN14" s="32" t="n">
        <f aca="false">AF21</f>
        <v>0</v>
      </c>
      <c r="GO14" s="120"/>
      <c r="GP14" s="120"/>
      <c r="GQ14" s="120"/>
      <c r="GR14" s="120"/>
      <c r="GS14" s="120"/>
      <c r="GT14" s="120"/>
      <c r="HH14" s="124"/>
    </row>
    <row r="15" customFormat="false" ht="15.75" hidden="false" customHeight="false" outlineLevel="0" collapsed="false">
      <c r="A15" s="96" t="s">
        <v>183</v>
      </c>
      <c r="B15" s="125" t="n">
        <f aca="false">CY36</f>
        <v>0.05</v>
      </c>
      <c r="C15" s="6" t="n">
        <f aca="false">B15*10000</f>
        <v>500</v>
      </c>
      <c r="D15" s="98" t="s">
        <v>184</v>
      </c>
      <c r="E15" s="75" t="n">
        <f aca="false">E16-L20/H12 -DC36*0.01</f>
        <v>-0.810731329115141</v>
      </c>
      <c r="F15" s="89"/>
      <c r="G15" s="98" t="s">
        <v>185</v>
      </c>
      <c r="H15" s="88" t="n">
        <f aca="false">1/(1/H16+1/H7)</f>
        <v>0.714870181328353</v>
      </c>
      <c r="I15" s="75" t="n">
        <f aca="false">H15/$DZ$36</f>
        <v>1.42974036265671</v>
      </c>
      <c r="J15" s="6"/>
      <c r="K15" s="98" t="s">
        <v>186</v>
      </c>
      <c r="L15" s="75" t="n">
        <f aca="false">IF(II36=1,HP27/1000,0)</f>
        <v>0</v>
      </c>
      <c r="M15" s="75" t="n">
        <f aca="false">L15*1000000/18</f>
        <v>0</v>
      </c>
      <c r="N15" s="75" t="n">
        <f aca="false">L15*1000</f>
        <v>0</v>
      </c>
      <c r="O15" s="6"/>
      <c r="P15" s="6"/>
      <c r="Q15" s="6"/>
      <c r="R15" s="6"/>
      <c r="S15" s="6"/>
      <c r="T15" s="6"/>
      <c r="U15" s="6"/>
      <c r="V15" s="6"/>
      <c r="W15" s="6"/>
      <c r="X15" s="6"/>
      <c r="Y15" s="6"/>
      <c r="Z15" s="6"/>
      <c r="AA15" s="6"/>
      <c r="AB15" s="29" t="s">
        <v>187</v>
      </c>
      <c r="AC15" s="29"/>
      <c r="AD15" s="46"/>
      <c r="AE15" s="103" t="n">
        <f aca="false">H10*CS36</f>
        <v>2.9786257555348</v>
      </c>
      <c r="AF15" s="48" t="n">
        <f aca="false">IF(W36,AF17-(AD5-AD16)/AE15 -CU36*0.01,AF17-(AD5-AD16)/AE15)</f>
        <v>-0.929689995132855</v>
      </c>
      <c r="AP15" s="72" t="s">
        <v>188</v>
      </c>
      <c r="AQ15" s="94" t="n">
        <v>0.45</v>
      </c>
      <c r="AR15" s="94" t="n">
        <v>0.067</v>
      </c>
      <c r="AS15" s="94" t="n">
        <v>0.02</v>
      </c>
      <c r="AT15" s="94" t="n">
        <v>1.41</v>
      </c>
      <c r="AU15" s="94" t="n">
        <v>6.05587818696884</v>
      </c>
      <c r="AV15" s="94" t="n">
        <v>0.5</v>
      </c>
      <c r="AW15" s="113" t="n">
        <v>0</v>
      </c>
      <c r="AX15" s="113" t="n">
        <v>0</v>
      </c>
      <c r="AY15" s="113" t="n">
        <v>0</v>
      </c>
      <c r="AZ15" s="75" t="n">
        <f aca="false">AR15+(AQ15-AR15)/(1+(AS15*0.033*10000)^AT15)^(1-1/AT15)</f>
        <v>0.24024232056603</v>
      </c>
      <c r="BA15" s="75" t="n">
        <f aca="false">AR15+(AQ15-AR15)/(1+(AS15*1.585*10000)^AT15)^(1-1/AT15)</f>
        <v>0.103118267554351</v>
      </c>
      <c r="BB15" s="76" t="n">
        <f aca="false">AR15+(AQ15-AR15)/(1+(AS15*3.5*10000)^AT15)^(1-1/AT15)</f>
        <v>0.0931033521462202</v>
      </c>
      <c r="BC15" s="75" t="n">
        <f aca="false">AR15+(AQ15-AR15)/(1+(AS15*$BC$2/1000*10000)^AT15)^(1-1/AT15)</f>
        <v>0.337887203649125</v>
      </c>
      <c r="BD15" s="77" t="n">
        <f aca="false">(AQ15-AR15)*Soil_Depth*1000*(1-(AW15+AX15+AY15)/3)</f>
        <v>112.7552</v>
      </c>
      <c r="BE15" s="75" t="n">
        <f aca="false">(AZ15-AR15)*Soil_Depth*1000*(1-(AW15+AX15+AY15)/3)</f>
        <v>51.0025391746394</v>
      </c>
      <c r="BF15" s="75" t="n">
        <f aca="false">(AZ15-AR15)/(AQ15-AR15)</f>
        <v>0.452329818710262</v>
      </c>
      <c r="BG15" s="75" t="n">
        <f aca="false">(AZ15-BA15)*Soil_Depth*1000*(1-(AW15+AX15+AY15)/3)</f>
        <v>40.3693212066386</v>
      </c>
      <c r="BH15" s="75" t="n">
        <f aca="false">(AZ15-BB15)*Soil_Depth*1000*(1-(AW15+AX15+AY15)/3)</f>
        <v>43.3177123027921</v>
      </c>
      <c r="CM15" s="29" t="s">
        <v>27</v>
      </c>
      <c r="CN15" s="126" t="n">
        <f aca="false">AH3</f>
        <v>20</v>
      </c>
      <c r="CO15" s="127" t="s">
        <v>28</v>
      </c>
      <c r="CP15" s="126" t="n">
        <f aca="false">CN15+CN16</f>
        <v>40</v>
      </c>
      <c r="DL15" s="118"/>
      <c r="DV15" s="119"/>
      <c r="DW15" s="119"/>
      <c r="DX15" s="119"/>
      <c r="EC15" s="101" t="s">
        <v>189</v>
      </c>
      <c r="EP15" s="95" t="s">
        <v>190</v>
      </c>
      <c r="EQ15" s="95"/>
      <c r="ER15" s="95"/>
      <c r="ES15" s="95"/>
      <c r="ET15" s="95"/>
      <c r="EU15" s="95"/>
      <c r="EW15" s="0" t="n">
        <v>3</v>
      </c>
      <c r="EX15" s="0" t="n">
        <f aca="false">EX14+CS36*DZ36/CV31</f>
        <v>2.54647313470843</v>
      </c>
      <c r="EY15" s="0" t="n">
        <f aca="false">$AF$36*EXP(-$FX$36*EX14)</f>
        <v>1500</v>
      </c>
      <c r="EZ15" s="0" t="n">
        <f aca="false">gs_max*EY15/$EY$13</f>
        <v>200</v>
      </c>
      <c r="GF15" s="28" t="s">
        <v>191</v>
      </c>
      <c r="HH15" s="118"/>
    </row>
    <row r="16" customFormat="false" ht="15.75" hidden="false" customHeight="false" outlineLevel="0" collapsed="false">
      <c r="A16" s="96" t="s">
        <v>192</v>
      </c>
      <c r="B16" s="128" t="n">
        <f aca="false">B15/B7*100</f>
        <v>10</v>
      </c>
      <c r="C16" s="6"/>
      <c r="D16" s="98" t="s">
        <v>193</v>
      </c>
      <c r="E16" s="75" t="n">
        <f aca="false">-L20/H17</f>
        <v>-0.774741662610713</v>
      </c>
      <c r="F16" s="89"/>
      <c r="G16" s="98" t="s">
        <v>194</v>
      </c>
      <c r="H16" s="88" t="n">
        <f aca="false">1/(1/H17+1/H12+1/H10+1/H8)</f>
        <v>0.893587726660441</v>
      </c>
      <c r="I16" s="75" t="n">
        <f aca="false">H16/$DZ$36</f>
        <v>1.78717545332088</v>
      </c>
      <c r="J16" s="6"/>
      <c r="K16" s="98" t="s">
        <v>195</v>
      </c>
      <c r="L16" s="75" t="n">
        <f aca="false">IF(II36=1,(HP25+HP26)/1000,0)</f>
        <v>0</v>
      </c>
      <c r="M16" s="75" t="n">
        <f aca="false">L16*1000000/18</f>
        <v>0</v>
      </c>
      <c r="N16" s="75" t="n">
        <f aca="false">L16*1000</f>
        <v>0</v>
      </c>
      <c r="O16" s="6"/>
      <c r="P16" s="6"/>
      <c r="Q16" s="6"/>
      <c r="R16" s="6"/>
      <c r="S16" s="6"/>
      <c r="T16" s="6"/>
      <c r="U16" s="6"/>
      <c r="V16" s="6"/>
      <c r="W16" s="6"/>
      <c r="X16" s="6"/>
      <c r="Y16" s="6"/>
      <c r="Z16" s="6"/>
      <c r="AA16" s="6"/>
      <c r="AB16" s="29" t="s">
        <v>127</v>
      </c>
      <c r="AC16" s="29" t="n">
        <f aca="false">FL36*VPD_max/101.3</f>
        <v>0</v>
      </c>
      <c r="AD16" s="46" t="n">
        <f aca="false">FL36*B17*VPD_max/101.3</f>
        <v>0</v>
      </c>
      <c r="AE16" s="103" t="n">
        <f aca="false">H11</f>
        <v>0.047124</v>
      </c>
      <c r="AF16" s="48" t="n">
        <f aca="false">AF17-AD16/AE16</f>
        <v>-0.805731329115141</v>
      </c>
      <c r="AG16" s="46" t="n">
        <f aca="false">L11</f>
        <v>0.0058905</v>
      </c>
      <c r="AH16" s="104"/>
      <c r="AI16" s="50" t="n">
        <f aca="false">AG16/$AG$20*100</f>
        <v>4.43771345574526</v>
      </c>
      <c r="AJ16" s="35" t="s">
        <v>128</v>
      </c>
      <c r="AK16" s="51" t="n">
        <f aca="false">AH17</f>
        <v>2</v>
      </c>
      <c r="AL16" s="50" t="n">
        <f aca="false">AI17+AI16</f>
        <v>13.3131403672358</v>
      </c>
      <c r="AM16" s="52" t="n">
        <f aca="false">B17</f>
        <v>0.015708</v>
      </c>
      <c r="AP16" s="72" t="s">
        <v>196</v>
      </c>
      <c r="AQ16" s="94" t="n">
        <v>0.39</v>
      </c>
      <c r="AR16" s="94" t="n">
        <v>0.1</v>
      </c>
      <c r="AS16" s="94" t="n">
        <v>0.059</v>
      </c>
      <c r="AT16" s="94" t="n">
        <v>1.48</v>
      </c>
      <c r="AU16" s="94" t="n">
        <v>17.6293342776204</v>
      </c>
      <c r="AV16" s="94" t="n">
        <v>0.5</v>
      </c>
      <c r="AW16" s="113" t="n">
        <v>0</v>
      </c>
      <c r="AX16" s="113" t="n">
        <v>0</v>
      </c>
      <c r="AY16" s="113" t="n">
        <v>0</v>
      </c>
      <c r="AZ16" s="75" t="n">
        <f aca="false">AR16+(AQ16-AR16)/(1+(AS16*0.033*10000)^AT16)^(1-1/AT16)</f>
        <v>0.169466143156028</v>
      </c>
      <c r="BA16" s="75" t="n">
        <f aca="false">AR16+(AQ16-AR16)/(1+(AS16*1.585*10000)^AT16)^(1-1/AT16)</f>
        <v>0.110873499452369</v>
      </c>
      <c r="BB16" s="76" t="n">
        <f aca="false">AR16+(AQ16-AR16)/(1+(AS16*3.5*10000)^AT16)^(1-1/AT16)</f>
        <v>0.107434206536619</v>
      </c>
      <c r="BC16" s="75" t="n">
        <f aca="false">AR16+(AQ16-AR16)/(1+(AS16*$BC$2/1000*10000)^AT16)^(1-1/AT16)</f>
        <v>0.226743804644811</v>
      </c>
      <c r="BD16" s="77" t="n">
        <f aca="false">(AQ16-AR16)*Soil_Depth*1000*(1-(AW16+AX16+AY16)/3)</f>
        <v>85.376</v>
      </c>
      <c r="BE16" s="75" t="n">
        <f aca="false">(AZ16-AR16)*Soil_Depth*1000*(1-(AW16+AX16+AY16)/3)</f>
        <v>20.4508325451345</v>
      </c>
      <c r="BF16" s="75" t="n">
        <f aca="false">(AZ16-AR16)/(AQ16-AR16)</f>
        <v>0.239538424675957</v>
      </c>
      <c r="BG16" s="75" t="n">
        <f aca="false">(AZ16-BA16)*Soil_Depth*1000*(1-(AW16+AX16+AY16)/3)</f>
        <v>17.249674306357</v>
      </c>
      <c r="BH16" s="75" t="n">
        <f aca="false">(AZ16-BB16)*Soil_Depth*1000*(1-(AW16+AX16+AY16)/3)</f>
        <v>18.262202140754</v>
      </c>
      <c r="BJ16" s="0" t="s">
        <v>108</v>
      </c>
      <c r="BK16" s="0" t="n">
        <f aca="false">BK13</f>
        <v>-0.805731329115141</v>
      </c>
      <c r="BL16" s="0" t="n">
        <f aca="false">BL13</f>
        <v>0.5</v>
      </c>
      <c r="CM16" s="29" t="s">
        <v>53</v>
      </c>
      <c r="CN16" s="126" t="n">
        <f aca="false">AH6</f>
        <v>20</v>
      </c>
      <c r="CO16" s="127"/>
      <c r="CP16" s="126"/>
      <c r="DU16" s="119"/>
      <c r="EC16" s="101" t="s">
        <v>197</v>
      </c>
      <c r="EP16" s="95" t="s">
        <v>198</v>
      </c>
      <c r="EQ16" s="95"/>
      <c r="ER16" s="95"/>
      <c r="ES16" s="95"/>
      <c r="ET16" s="95"/>
      <c r="EU16" s="95"/>
      <c r="EY16" s="0" t="n">
        <f aca="false">$AF$36*EXP(-$FX$36*EX15)</f>
        <v>1500</v>
      </c>
      <c r="GE16" s="28" t="s">
        <v>199</v>
      </c>
    </row>
    <row r="17" customFormat="false" ht="15.75" hidden="false" customHeight="false" outlineLevel="0" collapsed="false">
      <c r="A17" s="96" t="s">
        <v>200</v>
      </c>
      <c r="B17" s="97" t="n">
        <f aca="false">DH36</f>
        <v>0.015708</v>
      </c>
      <c r="C17" s="6"/>
      <c r="D17" s="6"/>
      <c r="E17" s="6"/>
      <c r="F17" s="6"/>
      <c r="G17" s="129" t="s">
        <v>201</v>
      </c>
      <c r="H17" s="75" t="n">
        <f aca="false">(BN36+BO36+BP36)*H14*H13/(H14+H13)</f>
        <v>1.42974036265671</v>
      </c>
      <c r="I17" s="75" t="n">
        <f aca="false">H17/$DZ$36</f>
        <v>2.85948072531341</v>
      </c>
      <c r="J17" s="6"/>
      <c r="K17" s="6"/>
      <c r="L17" s="6"/>
      <c r="M17" s="6"/>
      <c r="N17" s="6"/>
      <c r="O17" s="6"/>
      <c r="P17" s="6"/>
      <c r="Q17" s="6"/>
      <c r="R17" s="6"/>
      <c r="S17" s="6"/>
      <c r="T17" s="6"/>
      <c r="U17" s="6"/>
      <c r="V17" s="6"/>
      <c r="W17" s="6"/>
      <c r="X17" s="6"/>
      <c r="Y17" s="6"/>
      <c r="Z17" s="6"/>
      <c r="AA17" s="6"/>
      <c r="AB17" s="29" t="s">
        <v>108</v>
      </c>
      <c r="AC17" s="29"/>
      <c r="AD17" s="46"/>
      <c r="AE17" s="103" t="n">
        <f aca="false">H12</f>
        <v>35.7435090664177</v>
      </c>
      <c r="AF17" s="48" t="n">
        <f aca="false">IF(W36,AF18-AD20/AE17 -DC36*0.01,AF18-AD20/AE17 )</f>
        <v>-0.805731329115141</v>
      </c>
      <c r="AG17" s="46" t="n">
        <f aca="false">L12</f>
        <v>0.011781</v>
      </c>
      <c r="AH17" s="49" t="n">
        <f aca="false">AE20/AE17*100</f>
        <v>2</v>
      </c>
      <c r="AI17" s="50" t="n">
        <f aca="false">AG17/$AG$20*100</f>
        <v>8.87542691149052</v>
      </c>
      <c r="AJ17" s="35"/>
      <c r="AK17" s="51"/>
      <c r="AL17" s="50"/>
      <c r="AM17" s="93"/>
      <c r="AP17" s="72" t="s">
        <v>202</v>
      </c>
      <c r="AQ17" s="94" t="n">
        <v>0.41</v>
      </c>
      <c r="AR17" s="94" t="n">
        <v>0.095</v>
      </c>
      <c r="AS17" s="94" t="n">
        <v>0.019</v>
      </c>
      <c r="AT17" s="94" t="n">
        <v>1.31</v>
      </c>
      <c r="AU17" s="94" t="n">
        <v>3.49895184135977</v>
      </c>
      <c r="AV17" s="94" t="n">
        <v>0.5</v>
      </c>
      <c r="AW17" s="113" t="n">
        <v>0</v>
      </c>
      <c r="AX17" s="113" t="n">
        <v>0</v>
      </c>
      <c r="AY17" s="113" t="n">
        <v>0</v>
      </c>
      <c r="AZ17" s="75" t="n">
        <f aca="false">AR17+(AQ17-AR17)/(1+(AS17*0.033*10000)^AT17)^(1-1/AT17)</f>
        <v>0.269692718378457</v>
      </c>
      <c r="BA17" s="75" t="n">
        <f aca="false">AR17+(AQ17-AR17)/(1+(AS17*1.585*10000)^AT17)^(1-1/AT17)</f>
        <v>0.148682127018555</v>
      </c>
      <c r="BB17" s="76" t="n">
        <f aca="false">AR17+(AQ17-AR17)/(1+(AS17*3.5*10000)^AT17)^(1-1/AT17)</f>
        <v>0.136996707215776</v>
      </c>
      <c r="BC17" s="75" t="n">
        <f aca="false">AR17+(AQ17-AR17)/(1+(AS17*$BC$2/1000*10000)^AT17)^(1-1/AT17)</f>
        <v>0.337516415660851</v>
      </c>
      <c r="BD17" s="77" t="n">
        <f aca="false">(AQ17-AR17)*Soil_Depth*1000*(1-(AW17+AX17+AY17)/3)</f>
        <v>92.736</v>
      </c>
      <c r="BE17" s="75" t="n">
        <f aca="false">(AZ17-AR17)*Soil_Depth*1000*(1-(AW17+AX17+AY17)/3)</f>
        <v>51.4295362906177</v>
      </c>
      <c r="BF17" s="75" t="n">
        <f aca="false">(AZ17-AR17)/(AQ17-AR17)</f>
        <v>0.554580058344307</v>
      </c>
      <c r="BG17" s="75" t="n">
        <f aca="false">(AZ17-BA17)*Soil_Depth*1000*(1-(AW17+AX17+AY17)/3)</f>
        <v>35.6255180963552</v>
      </c>
      <c r="BH17" s="75" t="n">
        <f aca="false">(AZ17-BB17)*Soil_Depth*1000*(1-(AW17+AX17+AY17)/3)</f>
        <v>39.0657056862933</v>
      </c>
      <c r="BJ17" s="0" t="s">
        <v>203</v>
      </c>
      <c r="BK17" s="0" t="n">
        <f aca="false">AF15</f>
        <v>-0.929689995132855</v>
      </c>
      <c r="BL17" s="0" t="n">
        <f aca="false">BL14</f>
        <v>1</v>
      </c>
      <c r="CB17" s="130" t="s">
        <v>204</v>
      </c>
      <c r="CM17" s="29" t="s">
        <v>101</v>
      </c>
      <c r="CN17" s="126" t="n">
        <f aca="false">AH13</f>
        <v>8</v>
      </c>
      <c r="CO17" s="127" t="s">
        <v>101</v>
      </c>
      <c r="CP17" s="126" t="n">
        <f aca="false">CN17</f>
        <v>8</v>
      </c>
      <c r="ED17" s="101" t="s">
        <v>205</v>
      </c>
      <c r="EP17" s="95" t="s">
        <v>206</v>
      </c>
      <c r="EQ17" s="95"/>
      <c r="ER17" s="95"/>
      <c r="ES17" s="95"/>
      <c r="ET17" s="95"/>
      <c r="EU17" s="95"/>
      <c r="GE17" s="28"/>
      <c r="GF17" s="28" t="s">
        <v>207</v>
      </c>
    </row>
    <row r="18" customFormat="false" ht="15.75" hidden="false" customHeight="false" outlineLevel="0" collapsed="false">
      <c r="A18" s="96" t="s">
        <v>208</v>
      </c>
      <c r="B18" s="75" t="n">
        <f aca="false">DM36*(BN36+BO36+BP36)</f>
        <v>0.55</v>
      </c>
      <c r="C18" s="6"/>
      <c r="D18" s="131" t="str">
        <f aca="false">IF(MIN('Fractal shoot'!C21:C121)&lt;0,"SH0OT NEGATIVE !!","")</f>
        <v>SH0OT NEGATIVE !!</v>
      </c>
      <c r="E18" s="132" t="str">
        <f aca="false">IF(MIN('Fractal root'!C22:C122)&lt;0,"R0OT NEGATIVE !!","")</f>
        <v>R0OT NEGATIVE !!</v>
      </c>
      <c r="F18" s="132"/>
      <c r="G18" s="96" t="s">
        <v>209</v>
      </c>
      <c r="H18" s="75" t="n">
        <f aca="false">HV36*L8</f>
        <v>7.75640961875E-005</v>
      </c>
      <c r="I18" s="75" t="n">
        <f aca="false">H18*1000000/18</f>
        <v>4.30911645486111</v>
      </c>
      <c r="J18" s="6"/>
      <c r="K18" s="6"/>
      <c r="L18" s="6"/>
      <c r="M18" s="6"/>
      <c r="N18" s="6"/>
      <c r="O18" s="6"/>
      <c r="P18" s="6"/>
      <c r="Q18" s="6"/>
      <c r="R18" s="6"/>
      <c r="S18" s="6"/>
      <c r="T18" s="6"/>
      <c r="U18" s="6"/>
      <c r="V18" s="6"/>
      <c r="W18" s="6"/>
      <c r="X18" s="6"/>
      <c r="Y18" s="6"/>
      <c r="Z18" s="6"/>
      <c r="AA18" s="6"/>
      <c r="AB18" s="29" t="s">
        <v>160</v>
      </c>
      <c r="AC18" s="29"/>
      <c r="AD18" s="46"/>
      <c r="AE18" s="103" t="n">
        <f aca="false">H14*(BN36+BO36+BP36)</f>
        <v>7.14870181328353</v>
      </c>
      <c r="AF18" s="48" t="n">
        <f aca="false">AF19-AD20/AE18</f>
        <v>-0.774741662610713</v>
      </c>
      <c r="AG18" s="46" t="n">
        <f aca="false">L14</f>
        <v>0.023562</v>
      </c>
      <c r="AH18" s="49" t="n">
        <f aca="false">AE20/AE18*100</f>
        <v>10</v>
      </c>
      <c r="AI18" s="50" t="n">
        <f aca="false">AG18/$AG$20*100</f>
        <v>17.750853822981</v>
      </c>
      <c r="AJ18" s="35"/>
      <c r="AK18" s="51"/>
      <c r="AL18" s="50"/>
      <c r="AM18" s="105" t="n">
        <f aca="false">B18</f>
        <v>0.55</v>
      </c>
      <c r="AP18" s="72" t="s">
        <v>210</v>
      </c>
      <c r="AQ18" s="94" t="n">
        <v>0.43</v>
      </c>
      <c r="AR18" s="94" t="n">
        <v>0.089</v>
      </c>
      <c r="AS18" s="94" t="n">
        <v>0.01</v>
      </c>
      <c r="AT18" s="94" t="n">
        <v>1.23</v>
      </c>
      <c r="AU18" s="94" t="n">
        <v>0.942025495750708</v>
      </c>
      <c r="AV18" s="94" t="n">
        <v>0.5</v>
      </c>
      <c r="AW18" s="113" t="n">
        <v>0</v>
      </c>
      <c r="AX18" s="113" t="n">
        <v>0</v>
      </c>
      <c r="AY18" s="113" t="n">
        <v>0</v>
      </c>
      <c r="AZ18" s="75" t="n">
        <f aca="false">AR18+(AQ18-AR18)/(1+(AS18*0.033*10000)^AT18)^(1-1/AT18)</f>
        <v>0.338268359863349</v>
      </c>
      <c r="BA18" s="75" t="n">
        <f aca="false">AR18+(AQ18-AR18)/(1+(AS18*1.585*10000)^AT18)^(1-1/AT18)</f>
        <v>0.195313399828886</v>
      </c>
      <c r="BB18" s="76" t="n">
        <f aca="false">AR18+(AQ18-AR18)/(1+(AS18*3.5*10000)^AT18)^(1-1/AT18)</f>
        <v>0.17762544711916</v>
      </c>
      <c r="BC18" s="75" t="n">
        <f aca="false">AR18+(AQ18-AR18)/(1+(AS18*$BC$2/1000*10000)^AT18)^(1-1/AT18)</f>
        <v>0.39207908260727</v>
      </c>
      <c r="BD18" s="77" t="n">
        <f aca="false">(AQ18-AR18)*Soil_Depth*1000*(1-(AW18+AX18+AY18)/3)</f>
        <v>100.3904</v>
      </c>
      <c r="BE18" s="75" t="n">
        <f aca="false">(AZ18-AR18)*Soil_Depth*1000*(1-(AW18+AX18+AY18)/3)</f>
        <v>73.3846051437701</v>
      </c>
      <c r="BF18" s="75" t="n">
        <f aca="false">(AZ18-AR18)/(AQ18-AR18)</f>
        <v>0.730992257663781</v>
      </c>
      <c r="BG18" s="75" t="n">
        <f aca="false">(AZ18-BA18)*Soil_Depth*1000*(1-(AW18+AX18+AY18)/3)</f>
        <v>42.0859402341461</v>
      </c>
      <c r="BH18" s="75" t="n">
        <f aca="false">(AZ18-BB18)*Soil_Depth*1000*(1-(AW18+AX18+AY18)/3)</f>
        <v>47.2932735118895</v>
      </c>
      <c r="CB18" s="101" t="s">
        <v>211</v>
      </c>
      <c r="CM18" s="29" t="s">
        <v>128</v>
      </c>
      <c r="CN18" s="126" t="n">
        <f aca="false">AH17</f>
        <v>2</v>
      </c>
      <c r="CO18" s="127" t="s">
        <v>128</v>
      </c>
      <c r="CP18" s="126" t="n">
        <f aca="false">CN18</f>
        <v>2</v>
      </c>
      <c r="CS18" s="133"/>
      <c r="ED18" s="101" t="s">
        <v>212</v>
      </c>
      <c r="EP18" s="95" t="s">
        <v>213</v>
      </c>
      <c r="EQ18" s="95"/>
      <c r="ER18" s="95"/>
      <c r="ES18" s="95"/>
      <c r="ET18" s="95"/>
      <c r="EU18" s="95"/>
      <c r="EY18" s="0" t="n">
        <f aca="false">EY16/EY13</f>
        <v>1</v>
      </c>
      <c r="GE18" s="28" t="s">
        <v>214</v>
      </c>
      <c r="GF18" s="28" t="s">
        <v>215</v>
      </c>
    </row>
    <row r="19" customFormat="false" ht="15.75" hidden="false" customHeight="false" outlineLevel="0" collapsed="false">
      <c r="A19" s="96" t="s">
        <v>216</v>
      </c>
      <c r="B19" s="125" t="n">
        <f aca="false">DZ36*E21*(BN36+BO36+BP36)</f>
        <v>0.5</v>
      </c>
      <c r="C19" s="6"/>
      <c r="D19" s="134" t="s">
        <v>217</v>
      </c>
      <c r="E19" s="135" t="n">
        <f aca="false">FRACTAL</f>
        <v>3</v>
      </c>
      <c r="F19" s="136" t="s">
        <v>218</v>
      </c>
      <c r="G19" s="96" t="s">
        <v>219</v>
      </c>
      <c r="H19" s="75" t="n">
        <f aca="false">HW36*L10</f>
        <v>1.1781E-005</v>
      </c>
      <c r="I19" s="75" t="n">
        <f aca="false">H19*1000000/18</f>
        <v>0.6545</v>
      </c>
      <c r="J19" s="6"/>
      <c r="K19" s="90" t="s">
        <v>220</v>
      </c>
      <c r="L19" s="72" t="n">
        <f aca="false">VPD_max</f>
        <v>1.26741256491017</v>
      </c>
      <c r="M19" s="6"/>
      <c r="N19" s="6"/>
      <c r="O19" s="6"/>
      <c r="P19" s="6"/>
      <c r="Q19" s="6"/>
      <c r="R19" s="6"/>
      <c r="S19" s="6"/>
      <c r="T19" s="6"/>
      <c r="U19" s="6"/>
      <c r="V19" s="6"/>
      <c r="W19" s="6"/>
      <c r="X19" s="6"/>
      <c r="Y19" s="6"/>
      <c r="Z19" s="6"/>
      <c r="AA19" s="6"/>
      <c r="AB19" s="29" t="s">
        <v>25</v>
      </c>
      <c r="AC19" s="29"/>
      <c r="AD19" s="46" t="n">
        <v>0</v>
      </c>
      <c r="AE19" s="103" t="n">
        <f aca="false">H13*(BN36+BO36+BP36)</f>
        <v>1.78717545332088</v>
      </c>
      <c r="AF19" s="48" t="n">
        <f aca="false">AF21-AD20/AE19</f>
        <v>-0.61979333008857</v>
      </c>
      <c r="AG19" s="46" t="n">
        <f aca="false">L13</f>
        <v>0.011781</v>
      </c>
      <c r="AH19" s="49" t="n">
        <f aca="false">AE20/AE19*100</f>
        <v>40</v>
      </c>
      <c r="AI19" s="50" t="n">
        <f aca="false">AG19/$AG$20*100</f>
        <v>8.87542691149052</v>
      </c>
      <c r="AJ19" s="35" t="s">
        <v>59</v>
      </c>
      <c r="AK19" s="51" t="n">
        <f aca="false">H15/H17*100</f>
        <v>50</v>
      </c>
      <c r="AL19" s="50" t="n">
        <f aca="false">AI19+AI18</f>
        <v>26.6262807344715</v>
      </c>
      <c r="AM19" s="105" t="n">
        <f aca="false">B19</f>
        <v>0.5</v>
      </c>
      <c r="AP19" s="72" t="s">
        <v>221</v>
      </c>
      <c r="AQ19" s="94" t="n">
        <v>0.38</v>
      </c>
      <c r="AR19" s="94" t="n">
        <v>0.1</v>
      </c>
      <c r="AS19" s="94" t="n">
        <v>0.027</v>
      </c>
      <c r="AT19" s="94" t="n">
        <v>1.23</v>
      </c>
      <c r="AU19" s="94" t="n">
        <v>1.61490084985836</v>
      </c>
      <c r="AV19" s="94" t="n">
        <v>0.5</v>
      </c>
      <c r="AW19" s="113" t="n">
        <v>0</v>
      </c>
      <c r="AX19" s="113" t="n">
        <v>0</v>
      </c>
      <c r="AY19" s="113" t="n">
        <v>0</v>
      </c>
      <c r="AZ19" s="75" t="n">
        <f aca="false">AR19+(AQ19-AR19)/(1+(AS19*0.033*10000)^AT19)^(1-1/AT19)</f>
        <v>0.267245244989273</v>
      </c>
      <c r="BA19" s="75" t="n">
        <f aca="false">AR19+(AQ19-AR19)/(1+(AS19*1.585*10000)^AT19)^(1-1/AT19)</f>
        <v>0.169484918248738</v>
      </c>
      <c r="BB19" s="76" t="n">
        <f aca="false">AR19+(AQ19-AR19)/(1+(AS19*3.5*10000)^AT19)^(1-1/AT19)</f>
        <v>0.15791498412862</v>
      </c>
      <c r="BC19" s="75" t="n">
        <f aca="false">AR19+(AQ19-AR19)/(1+(AS19*$BC$2/1000*10000)^AT19)^(1-1/AT19)</f>
        <v>0.316258730708964</v>
      </c>
      <c r="BD19" s="77" t="n">
        <f aca="false">(AQ19-AR19)*Soil_Depth*1000*(1-(AW19+AX19+AY19)/3)</f>
        <v>82.432</v>
      </c>
      <c r="BE19" s="75" t="n">
        <f aca="false">(AZ19-AR19)*Soil_Depth*1000*(1-(AW19+AX19+AY19)/3)</f>
        <v>49.237000124842</v>
      </c>
      <c r="BF19" s="75" t="n">
        <f aca="false">(AX26-AR19)/(AQ19-AR19)</f>
        <v>-0.357142857142857</v>
      </c>
      <c r="BG19" s="75" t="n">
        <f aca="false">(AZ19-BA19)*Soil_Depth*1000*(1-(AW19+AX19+AY19)/3)</f>
        <v>28.7806401924134</v>
      </c>
      <c r="BH19" s="75" t="n">
        <f aca="false">(AZ19-BB19)*Soil_Depth*1000*(1-(AW19+AX19+AY19)/3)</f>
        <v>32.1868287973763</v>
      </c>
      <c r="BJ19" s="0" t="s">
        <v>143</v>
      </c>
      <c r="BK19" s="0" t="n">
        <f aca="false">BK11</f>
        <v>-0.929689995132855</v>
      </c>
      <c r="BL19" s="0" t="n">
        <f aca="false">BL11</f>
        <v>1</v>
      </c>
      <c r="BM19" s="0" t="s">
        <v>222</v>
      </c>
      <c r="BN19" s="0" t="n">
        <f aca="false">BK20</f>
        <v>-1.23958666017714</v>
      </c>
      <c r="BO19" s="0" t="n">
        <f aca="false">BL20</f>
        <v>1.05</v>
      </c>
      <c r="CB19" s="101" t="s">
        <v>223</v>
      </c>
      <c r="CM19" s="29" t="s">
        <v>160</v>
      </c>
      <c r="CN19" s="126" t="n">
        <f aca="false">AH19</f>
        <v>40</v>
      </c>
      <c r="CO19" s="127" t="s">
        <v>59</v>
      </c>
      <c r="CP19" s="126" t="n">
        <f aca="false">CN21</f>
        <v>50</v>
      </c>
      <c r="CS19" s="133"/>
      <c r="ED19" s="137" t="s">
        <v>224</v>
      </c>
      <c r="EP19" s="95" t="s">
        <v>225</v>
      </c>
      <c r="EQ19" s="138"/>
      <c r="ER19" s="95"/>
      <c r="ES19" s="95"/>
      <c r="ET19" s="95"/>
      <c r="EU19" s="95"/>
      <c r="FM19" s="124"/>
      <c r="GE19" s="28" t="s">
        <v>226</v>
      </c>
    </row>
    <row r="20" customFormat="false" ht="15.75" hidden="false" customHeight="false" outlineLevel="0" collapsed="false">
      <c r="A20" s="90" t="s">
        <v>227</v>
      </c>
      <c r="B20" s="75" t="n">
        <f aca="false">'Fractal root'!M5*(BN36+BO36+BP36)</f>
        <v>184.636915198554</v>
      </c>
      <c r="C20" s="6"/>
      <c r="D20" s="135" t="s">
        <v>228</v>
      </c>
      <c r="E20" s="139" t="n">
        <v>0.5</v>
      </c>
      <c r="F20" s="140" t="n">
        <f aca="false">Branch_m/B10</f>
        <v>0.5</v>
      </c>
      <c r="G20" s="96" t="s">
        <v>229</v>
      </c>
      <c r="H20" s="75" t="n">
        <f aca="false">HX36*L12</f>
        <v>1.1781E-005</v>
      </c>
      <c r="I20" s="75" t="n">
        <f aca="false">H20*1000000/18</f>
        <v>0.6545</v>
      </c>
      <c r="J20" s="6"/>
      <c r="K20" s="87" t="s">
        <v>230</v>
      </c>
      <c r="L20" s="88" t="n">
        <f aca="false">IF(II36,(1/(1/(L25+L26)+1/L27+ 1/DV27))*B7*VPD_max/101.3+AD12+AD16+AD10+AD9,(1/(1/(L25+L26)+1/L27+ 1/DV27))*B7*VPD_max/101.3+AD12+AD16)</f>
        <v>1.1076794256663</v>
      </c>
      <c r="M20" s="6"/>
      <c r="N20" s="6"/>
      <c r="O20" s="6"/>
      <c r="P20" s="6"/>
      <c r="Q20" s="6"/>
      <c r="R20" s="6"/>
      <c r="S20" s="6"/>
      <c r="T20" s="6"/>
      <c r="U20" s="6"/>
      <c r="V20" s="6"/>
      <c r="W20" s="6"/>
      <c r="X20" s="6"/>
      <c r="Y20" s="6"/>
      <c r="Z20" s="6"/>
      <c r="AA20" s="6"/>
      <c r="AB20" s="29" t="s">
        <v>170</v>
      </c>
      <c r="AC20" s="29"/>
      <c r="AD20" s="46" t="n">
        <f aca="false">SUM(AD3:AD19)</f>
        <v>1.1076794256663</v>
      </c>
      <c r="AE20" s="103" t="n">
        <f aca="false">H15</f>
        <v>0.714870181328353</v>
      </c>
      <c r="AF20" s="48" t="n">
        <f aca="false">AVERAGE(AF3:AF5)</f>
        <v>-1.54948332522143</v>
      </c>
      <c r="AG20" s="46" t="n">
        <f aca="false">SUM(AG3:AG19)</f>
        <v>0.13273727695</v>
      </c>
      <c r="AH20" s="49" t="n">
        <f aca="false">AE20/AE20*100</f>
        <v>100</v>
      </c>
      <c r="AI20" s="50" t="n">
        <f aca="false">AG20/$AG$20*100</f>
        <v>100</v>
      </c>
      <c r="AJ20" s="141"/>
      <c r="AK20" s="141"/>
      <c r="AL20" s="141"/>
      <c r="AM20" s="6"/>
      <c r="AP20" s="72" t="s">
        <v>231</v>
      </c>
      <c r="AQ20" s="94" t="n">
        <v>0.36</v>
      </c>
      <c r="AR20" s="94" t="n">
        <v>0.07</v>
      </c>
      <c r="AS20" s="94" t="n">
        <v>0.005</v>
      </c>
      <c r="AT20" s="94" t="n">
        <v>1.09</v>
      </c>
      <c r="AU20" s="94" t="n">
        <v>0.269150141643059</v>
      </c>
      <c r="AV20" s="94" t="n">
        <v>0.5</v>
      </c>
      <c r="AW20" s="113" t="n">
        <v>0</v>
      </c>
      <c r="AX20" s="113" t="n">
        <v>0</v>
      </c>
      <c r="AY20" s="113" t="n">
        <v>0</v>
      </c>
      <c r="AZ20" s="75" t="n">
        <f aca="false">AR20+(AQ20-AR20)/(1+(AS20*0.033*10000)^AT20)^(1-1/AT20)</f>
        <v>0.336953902662093</v>
      </c>
      <c r="BA20" s="75" t="n">
        <f aca="false">AR20+(AQ20-AR20)/(1+(AS20*1.585*10000)^AT20)^(1-1/AT20)</f>
        <v>0.265516800058064</v>
      </c>
      <c r="BB20" s="76" t="n">
        <f aca="false">AR20+(AQ20-AR20)/(1+(AS20*3.5*10000)^AT20)^(1-1/AT20)</f>
        <v>0.252136116088805</v>
      </c>
      <c r="BC20" s="75" t="n">
        <f aca="false">AR20+(AQ20-AR20)/(1+(AS20*$BC$2/1000*10000)^AT20)^(1-1/AT20)</f>
        <v>0.351743671625922</v>
      </c>
      <c r="BD20" s="77" t="n">
        <f aca="false">(AQ20-AR20)*Soil_Depth*1000*(1-(AW20+AX20+AY20)/3)</f>
        <v>85.376</v>
      </c>
      <c r="BE20" s="75" t="n">
        <f aca="false">(AZ20-AR20)*Soil_Depth*1000*(1-(AW20+AX20+AY20)/3)</f>
        <v>78.5912289437201</v>
      </c>
      <c r="BF20" s="75" t="n">
        <f aca="false">(AX25-AR20)/(AQ20-AR20)</f>
        <v>-0.241379310344828</v>
      </c>
      <c r="BG20" s="75" t="n">
        <f aca="false">(AZ20-BA20)*Soil_Depth*1000*(1-(AW20+AX20+AY20)/3)</f>
        <v>21.0310830066262</v>
      </c>
      <c r="BH20" s="75" t="n">
        <f aca="false">(AZ20-BB20)*Soil_Depth*1000*(1-(AW20+AX20+AY20)/3)</f>
        <v>24.970356367176</v>
      </c>
      <c r="BJ20" s="0" t="s">
        <v>222</v>
      </c>
      <c r="BK20" s="0" t="n">
        <f aca="false">AF6</f>
        <v>-1.23958666017714</v>
      </c>
      <c r="BL20" s="0" t="n">
        <f aca="false">BL19*1.05</f>
        <v>1.05</v>
      </c>
      <c r="BM20" s="0" t="s">
        <v>32</v>
      </c>
      <c r="BN20" s="0" t="n">
        <f aca="false">AF3</f>
        <v>-1.54948332522143</v>
      </c>
      <c r="BO20" s="0" t="n">
        <f aca="false">BO19*1.05</f>
        <v>1.1025</v>
      </c>
      <c r="CB20" s="101" t="s">
        <v>232</v>
      </c>
      <c r="CM20" s="29" t="s">
        <v>25</v>
      </c>
      <c r="CN20" s="126" t="n">
        <f aca="false">AH18</f>
        <v>10</v>
      </c>
      <c r="CS20" s="133"/>
      <c r="CT20" s="142"/>
      <c r="ED20" s="101" t="s">
        <v>233</v>
      </c>
      <c r="EK20" s="0" t="s">
        <v>234</v>
      </c>
      <c r="EL20" s="143" t="s">
        <v>235</v>
      </c>
      <c r="EM20" s="30" t="n">
        <f aca="false">-GC36*EQ36*0.88+FY36*GC36/(FY36+GC36-GC36*EQ36*0.88)</f>
        <v>-0.588824608458565</v>
      </c>
      <c r="EP20" s="95" t="s">
        <v>236</v>
      </c>
      <c r="EQ20" s="138"/>
      <c r="ER20" s="95"/>
      <c r="ES20" s="95"/>
      <c r="ET20" s="95"/>
      <c r="EU20" s="95"/>
      <c r="FM20" s="124"/>
      <c r="GE20" s="28" t="s">
        <v>237</v>
      </c>
    </row>
    <row r="21" customFormat="false" ht="15.75" hidden="false" customHeight="false" outlineLevel="0" collapsed="false">
      <c r="A21" s="90" t="s">
        <v>238</v>
      </c>
      <c r="B21" s="75" t="n">
        <f aca="false">DN36/(3.1416*DL36)</f>
        <v>159.154570919277</v>
      </c>
      <c r="C21" s="6"/>
      <c r="D21" s="135" t="s">
        <v>239</v>
      </c>
      <c r="E21" s="139" t="n">
        <v>1</v>
      </c>
      <c r="F21" s="9"/>
      <c r="G21" s="96" t="s">
        <v>240</v>
      </c>
      <c r="H21" s="75" t="n">
        <f aca="false">HY36*L14</f>
        <v>2.3562E-005</v>
      </c>
      <c r="I21" s="75" t="n">
        <f aca="false">H21*1000000/18</f>
        <v>1.309</v>
      </c>
      <c r="J21" s="6"/>
      <c r="K21" s="144" t="s">
        <v>241</v>
      </c>
      <c r="L21" s="125" t="n">
        <f aca="false">L20/B7</f>
        <v>2.2153588513326</v>
      </c>
      <c r="M21" s="6"/>
      <c r="N21" s="6"/>
      <c r="O21" s="6"/>
      <c r="P21" s="6"/>
      <c r="Q21" s="6"/>
      <c r="R21" s="6"/>
      <c r="S21" s="6"/>
      <c r="T21" s="6"/>
      <c r="U21" s="6"/>
      <c r="V21" s="6"/>
      <c r="W21" s="6"/>
      <c r="X21" s="6"/>
      <c r="Y21" s="145" t="s">
        <v>242</v>
      </c>
      <c r="Z21" s="6"/>
      <c r="AA21" s="6"/>
      <c r="AB21" s="29" t="s">
        <v>182</v>
      </c>
      <c r="AC21" s="29"/>
      <c r="AD21" s="30"/>
      <c r="AE21" s="31"/>
      <c r="AF21" s="48" t="n">
        <v>0</v>
      </c>
      <c r="AG21" s="89"/>
      <c r="AH21" s="89"/>
      <c r="AI21" s="89"/>
      <c r="AJ21" s="141"/>
      <c r="AM21" s="6"/>
      <c r="AP21" s="72" t="s">
        <v>65</v>
      </c>
      <c r="AQ21" s="94" t="n">
        <v>0.38</v>
      </c>
      <c r="AR21" s="94" t="n">
        <v>0.068</v>
      </c>
      <c r="AS21" s="94" t="n">
        <v>0.008</v>
      </c>
      <c r="AT21" s="94" t="n">
        <v>1.09</v>
      </c>
      <c r="AU21" s="94" t="n">
        <v>2.69150141643059</v>
      </c>
      <c r="AV21" s="94" t="n">
        <v>0.5</v>
      </c>
      <c r="AW21" s="113" t="n">
        <v>0</v>
      </c>
      <c r="AX21" s="113" t="n">
        <v>0</v>
      </c>
      <c r="AY21" s="113" t="n">
        <v>0</v>
      </c>
      <c r="AZ21" s="75" t="n">
        <f aca="false">AR21+(AQ21-AR21)/(1+(AS21*0.033*10000)^AT21)^(1-1/AT21)</f>
        <v>0.346949708575026</v>
      </c>
      <c r="BA21" s="75" t="n">
        <f aca="false">AR21+(AQ21-AR21)/(1+(AS21*1.585*10000)^AT21)^(1-1/AT21)</f>
        <v>0.269693281391439</v>
      </c>
      <c r="BB21" s="76" t="n">
        <f aca="false">AR21+(AQ21-AR21)/(1+(AS21*3.5*10000)^AT21)^(1-1/AT21)</f>
        <v>0.255859571981011</v>
      </c>
      <c r="BC21" s="75" t="n">
        <f aca="false">AR21+(AQ21-AR21)/(1+(AS21*$BC$2/1000*10000)^AT21)^(1-1/AT21)</f>
        <v>0.366639523087681</v>
      </c>
      <c r="BD21" s="77" t="n">
        <f aca="false">(AQ21-AR21)*Soil_Depth*1000*(1-(AW21+AX21+AY21)/3)</f>
        <v>91.8528</v>
      </c>
      <c r="BE21" s="75" t="n">
        <f aca="false">(AZ21-AR21)*Soil_Depth*1000*(1-(AW21+AX21+AY21)/3)</f>
        <v>82.1227942044878</v>
      </c>
      <c r="BF21" s="75" t="n">
        <f aca="false">(AZ21-AR21)/(AQ21-AR21)</f>
        <v>0.89406957876611</v>
      </c>
      <c r="BG21" s="75" t="n">
        <f aca="false">(AZ21-BA21)*Soil_Depth*1000*(1-(AW21+AX21+AY21)/3)</f>
        <v>22.7442921628482</v>
      </c>
      <c r="BH21" s="75" t="n">
        <f aca="false">(AZ21-BB21)*Soil_Depth*1000*(1-(AW21+AX21+AY21)/3)</f>
        <v>26.816936213278</v>
      </c>
      <c r="CB21" s="101" t="s">
        <v>243</v>
      </c>
      <c r="CM21" s="29" t="s">
        <v>59</v>
      </c>
      <c r="CN21" s="126" t="n">
        <f aca="false">AK19</f>
        <v>50</v>
      </c>
      <c r="ED21" s="101" t="s">
        <v>244</v>
      </c>
      <c r="EL21" s="143" t="s">
        <v>245</v>
      </c>
      <c r="EM21" s="30" t="n">
        <f aca="false">-GC36*EQ36*0.12+FY36*GC36/(FY36+GC36-GC36*EQ36*0.12)</f>
        <v>-1.8248543844176</v>
      </c>
      <c r="EP21" s="95" t="s">
        <v>246</v>
      </c>
      <c r="EQ21" s="138"/>
      <c r="ER21" s="95"/>
      <c r="ES21" s="95"/>
      <c r="ET21" s="95"/>
      <c r="EU21" s="95"/>
      <c r="FL21" s="9"/>
      <c r="FX21" s="0" t="s">
        <v>7</v>
      </c>
      <c r="FY21" s="0" t="n">
        <f aca="false">GC36*FY36/(FY36+GC36)</f>
        <v>-2.02386835769398</v>
      </c>
      <c r="GE21" s="28" t="s">
        <v>247</v>
      </c>
      <c r="HP21" s="146" t="s">
        <v>248</v>
      </c>
      <c r="HQ21" s="146" t="s">
        <v>249</v>
      </c>
    </row>
    <row r="22" customFormat="false" ht="15.75" hidden="false" customHeight="false" outlineLevel="0" collapsed="false">
      <c r="A22" s="90" t="s">
        <v>250</v>
      </c>
      <c r="B22" s="75" t="n">
        <f aca="false">B21/BM36/BM36</f>
        <v>636.618283677107</v>
      </c>
      <c r="C22" s="6"/>
      <c r="D22" s="135" t="s">
        <v>251</v>
      </c>
      <c r="E22" s="139" t="n">
        <f aca="false">CJ36</f>
        <v>200</v>
      </c>
      <c r="F22" s="140"/>
      <c r="G22" s="6"/>
      <c r="H22" s="6"/>
      <c r="I22" s="6"/>
      <c r="J22" s="6"/>
      <c r="K22" s="147" t="s">
        <v>252</v>
      </c>
      <c r="L22" s="72" t="n">
        <v>2.28</v>
      </c>
      <c r="M22" s="6"/>
      <c r="N22" s="6"/>
      <c r="O22" s="6"/>
      <c r="P22" s="6"/>
      <c r="Q22" s="6"/>
      <c r="R22" s="6"/>
      <c r="S22" s="6"/>
      <c r="T22" s="6"/>
      <c r="U22" s="6"/>
      <c r="V22" s="6"/>
      <c r="W22" s="6"/>
      <c r="X22" s="6"/>
      <c r="Y22" s="148" t="s">
        <v>253</v>
      </c>
      <c r="Z22" s="6"/>
      <c r="AA22" s="6"/>
      <c r="AP22" s="72" t="s">
        <v>107</v>
      </c>
      <c r="AQ22" s="102" t="n">
        <v>0.5</v>
      </c>
      <c r="AR22" s="94" t="n">
        <v>0.098</v>
      </c>
      <c r="AS22" s="94" t="n">
        <v>0.1</v>
      </c>
      <c r="AT22" s="94" t="n">
        <v>1.55</v>
      </c>
      <c r="AU22" s="94" t="n">
        <v>1.69</v>
      </c>
      <c r="AV22" s="94" t="n">
        <v>0.5</v>
      </c>
      <c r="AW22" s="74" t="n">
        <v>0</v>
      </c>
      <c r="AX22" s="74" t="n">
        <v>0</v>
      </c>
      <c r="AY22" s="74" t="n">
        <v>0</v>
      </c>
      <c r="AZ22" s="75" t="n">
        <f aca="false">AR22+(AQ22-AR22)/(1+(AS22*0.033*10000)^AT22)^(1-1/AT22)</f>
        <v>0.156662743233405</v>
      </c>
      <c r="BA22" s="75" t="n">
        <f aca="false">AR22+(AQ22-AR22)/(1+(AS22*1.585*10000)^AT22)^(1-1/AT22)</f>
        <v>0.104985673233732</v>
      </c>
      <c r="BB22" s="76" t="n">
        <f aca="false">AR22+(AQ22-AR22)/(1+(AS22*3.5*10000)^AT22)^(1-1/AT22)</f>
        <v>0.102518435985142</v>
      </c>
      <c r="BC22" s="75" t="n">
        <f aca="false">AR22+(AQ22-AR22)/(1+(AS22*$BC$2/1000*10000)^AT22)^(1-1/AT22)</f>
        <v>0.216675737353763</v>
      </c>
      <c r="BD22" s="77" t="n">
        <f aca="false">(AQ22-AR22)*Soil_Depth*1000*(1-(AW22+AX22+AY22)/3)</f>
        <v>118.3488</v>
      </c>
      <c r="BE22" s="75" t="n">
        <f aca="false">(AZ22-AR22)*Soil_Depth*1000*(1-(AW22+AX22+AY22)/3)</f>
        <v>17.2703116079145</v>
      </c>
      <c r="BF22" s="75" t="n">
        <f aca="false">(AZ22-AR22)/(AQ22-AR22)</f>
        <v>0.145927221973645</v>
      </c>
      <c r="BG22" s="75" t="n">
        <f aca="false">(AZ22-BA22)*Soil_Depth*1000*(1-(AW22+AX22+AY22)/3)</f>
        <v>15.2137294079038</v>
      </c>
      <c r="BH22" s="75" t="n">
        <f aca="false">(AZ22-BB22)*Soil_Depth*1000*(1-(AW22+AX22+AY22)/3)</f>
        <v>15.9400840538886</v>
      </c>
      <c r="BJ22" s="0" t="s">
        <v>177</v>
      </c>
      <c r="BK22" s="0" t="n">
        <f aca="false">BK14</f>
        <v>-0.929689995132855</v>
      </c>
      <c r="BL22" s="0" t="n">
        <f aca="false">BL14</f>
        <v>1</v>
      </c>
      <c r="BM22" s="0" t="s">
        <v>222</v>
      </c>
      <c r="BN22" s="0" t="n">
        <f aca="false">BK23</f>
        <v>-1.23958666017714</v>
      </c>
      <c r="BO22" s="0" t="n">
        <f aca="false">BL23</f>
        <v>1.05</v>
      </c>
      <c r="CB22" s="101" t="s">
        <v>254</v>
      </c>
      <c r="CV22" s="149" t="s">
        <v>255</v>
      </c>
      <c r="CW22" s="150" t="n">
        <f aca="false">B8</f>
        <v>2.54647313470843</v>
      </c>
      <c r="DZ22" s="149" t="s">
        <v>147</v>
      </c>
      <c r="EA22" s="150" t="n">
        <f aca="false">B8</f>
        <v>2.54647313470843</v>
      </c>
      <c r="EC22" s="101" t="s">
        <v>256</v>
      </c>
      <c r="EK22" s="0" t="s">
        <v>257</v>
      </c>
      <c r="EL22" s="143" t="s">
        <v>258</v>
      </c>
      <c r="EM22" s="30" t="n">
        <f aca="false">-0.88/0.76*(ET36-ES36)+ET36</f>
        <v>0</v>
      </c>
      <c r="EP22" s="95" t="s">
        <v>259</v>
      </c>
      <c r="EQ22" s="138"/>
      <c r="ER22" s="95"/>
      <c r="ES22" s="95"/>
      <c r="ET22" s="95"/>
      <c r="EU22" s="95"/>
      <c r="FF22" s="72" t="s">
        <v>260</v>
      </c>
      <c r="FG22" s="72"/>
      <c r="FH22" s="72" t="s">
        <v>261</v>
      </c>
      <c r="FY22" s="0" t="e">
        <f aca="false">#REF!*#REF!/(#REF!+#REF!)</f>
        <v>#REF!</v>
      </c>
      <c r="GF22" s="28" t="s">
        <v>262</v>
      </c>
      <c r="HO22" s="151" t="s">
        <v>263</v>
      </c>
      <c r="HP22" s="152" t="n">
        <f aca="false">IF(CI36,3.1416*IM36*IL36*IJ36,3.1416*IM36*IL36*IJ36*CT36)</f>
        <v>0</v>
      </c>
      <c r="HQ22" s="153" t="n">
        <f aca="false">HP22/230</f>
        <v>0</v>
      </c>
    </row>
    <row r="23" customFormat="false" ht="15.75" hidden="false" customHeight="false" outlineLevel="0" collapsed="false">
      <c r="A23" s="90" t="s">
        <v>264</v>
      </c>
      <c r="B23" s="75" t="n">
        <f aca="false">B21/BL36/BM36/BM36</f>
        <v>2162.42623531626</v>
      </c>
      <c r="C23" s="6"/>
      <c r="D23" s="135" t="s">
        <v>265</v>
      </c>
      <c r="E23" s="139" t="n">
        <f aca="false">CK36</f>
        <v>12.5</v>
      </c>
      <c r="F23" s="140" t="n">
        <f aca="false">B10</f>
        <v>1</v>
      </c>
      <c r="G23" s="6"/>
      <c r="H23" s="6"/>
      <c r="I23" s="6"/>
      <c r="J23" s="6"/>
      <c r="K23" s="154" t="s">
        <v>266</v>
      </c>
      <c r="L23" s="155" t="n">
        <f aca="false">(L22*1.6106-0.5616)*BM36*BM36*DZ27</f>
        <v>0.263092033903423</v>
      </c>
      <c r="M23" s="6"/>
      <c r="N23" s="6"/>
      <c r="O23" s="6"/>
      <c r="P23" s="6"/>
      <c r="Q23" s="6"/>
      <c r="R23" s="6"/>
      <c r="S23" s="6"/>
      <c r="T23" s="6"/>
      <c r="U23" s="6"/>
      <c r="V23" s="6"/>
      <c r="W23" s="6"/>
      <c r="X23" s="6"/>
      <c r="Y23" s="148" t="s">
        <v>267</v>
      </c>
      <c r="Z23" s="6"/>
      <c r="AA23" s="6"/>
      <c r="AP23" s="72" t="s">
        <v>268</v>
      </c>
      <c r="AQ23" s="156" t="n">
        <v>0.28</v>
      </c>
      <c r="AR23" s="156" t="n">
        <v>0.1</v>
      </c>
      <c r="AS23" s="156" t="n">
        <v>0.0005</v>
      </c>
      <c r="AT23" s="156" t="n">
        <v>2</v>
      </c>
      <c r="AU23" s="157" t="n">
        <v>5</v>
      </c>
      <c r="AV23" s="94" t="n">
        <v>0.5</v>
      </c>
      <c r="AW23" s="74" t="n">
        <v>0</v>
      </c>
      <c r="AX23" s="74" t="n">
        <v>0</v>
      </c>
      <c r="AY23" s="74" t="n">
        <v>0</v>
      </c>
      <c r="AZ23" s="75" t="n">
        <f aca="false">AR23+(AQ23-AR23)/(1+(AS23*33/1000*10000)^AT23)^(1-1/AT23)</f>
        <v>0.277598672356221</v>
      </c>
      <c r="BA23" s="75" t="n">
        <f aca="false">AR23+(AQ23-AR23)/(1+(AS23*1.585*10000)^AT23)^(1-1/AT23)</f>
        <v>0.122534245505751</v>
      </c>
      <c r="BB23" s="76" t="n">
        <f aca="false">AR23+(AQ23-AR23)/(1+(AS23*3.5*10000)^AT23)^(1-1/AT23)</f>
        <v>0.110268962296932</v>
      </c>
      <c r="BC23" s="75" t="n">
        <f aca="false">AR23+(AQ23-AR23)/(1+(AS23*$BC$2/1000*10000)^AT23)^(1-1/AT23)</f>
        <v>0.279818026325927</v>
      </c>
      <c r="BD23" s="77" t="n">
        <f aca="false">(AQ23-AR23)*Soil_Depth*1000*(1-(AW23+AX23+AY23)/3)</f>
        <v>52.992</v>
      </c>
      <c r="BE23" s="75" t="n">
        <f aca="false">(AZ23-AR23)*Soil_Depth*1000*(1-(AW23+AX23+AY23)/3)</f>
        <v>52.2850491416713</v>
      </c>
      <c r="BF23" s="75" t="n">
        <f aca="false">(AZ23-AR23)/(AQ23-AR23)</f>
        <v>0.986659290867892</v>
      </c>
      <c r="BG23" s="75" t="n">
        <f aca="false">(AZ23-BA23)*Soil_Depth*1000*(1-(AW23+AX23+AY23)/3)</f>
        <v>45.6509672647782</v>
      </c>
      <c r="BH23" s="75" t="n">
        <f aca="false">(AZ23-BB23)*Soil_Depth*1000*(1-(AW23+AX23+AY23)/3)</f>
        <v>49.2618666414545</v>
      </c>
      <c r="BJ23" s="0" t="s">
        <v>269</v>
      </c>
      <c r="BK23" s="0" t="n">
        <f aca="false">AF7</f>
        <v>-1.23958666017714</v>
      </c>
      <c r="BL23" s="0" t="n">
        <f aca="false">BL22*1.05</f>
        <v>1.05</v>
      </c>
      <c r="BM23" s="0" t="s">
        <v>32</v>
      </c>
      <c r="BN23" s="0" t="n">
        <f aca="false">AF4</f>
        <v>-1.54948332522143</v>
      </c>
      <c r="BO23" s="0" t="n">
        <f aca="false">BO22*1.05</f>
        <v>1.1025</v>
      </c>
      <c r="CB23" s="101" t="s">
        <v>270</v>
      </c>
      <c r="CM23" s="72" t="s">
        <v>271</v>
      </c>
      <c r="CN23" s="72" t="n">
        <f aca="false">dbh*dbh*3.1416/4</f>
        <v>7.854E-005</v>
      </c>
      <c r="CV23" s="149" t="s">
        <v>272</v>
      </c>
      <c r="CW23" s="116" t="n">
        <f aca="false">B9</f>
        <v>2.54647313470843</v>
      </c>
      <c r="DZ23" s="149" t="s">
        <v>7</v>
      </c>
      <c r="EA23" s="150" t="n">
        <f aca="false">E11</f>
        <v>-2.02386835769398</v>
      </c>
      <c r="EC23" s="101" t="s">
        <v>273</v>
      </c>
      <c r="EL23" s="143" t="s">
        <v>274</v>
      </c>
      <c r="EM23" s="30" t="n">
        <f aca="false">0.12/0.76*(ET36-ES36)+ET36</f>
        <v>0</v>
      </c>
      <c r="EP23" s="95" t="s">
        <v>275</v>
      </c>
      <c r="EQ23" s="95"/>
      <c r="ER23" s="95"/>
      <c r="ES23" s="95"/>
      <c r="ET23" s="95"/>
      <c r="EU23" s="95"/>
      <c r="FF23" s="72" t="s">
        <v>276</v>
      </c>
      <c r="FG23" s="72"/>
      <c r="FH23" s="72" t="s">
        <v>277</v>
      </c>
      <c r="GF23" s="28" t="s">
        <v>278</v>
      </c>
      <c r="HO23" s="151" t="s">
        <v>279</v>
      </c>
      <c r="HP23" s="152" t="n">
        <f aca="false">IF(CI36,IJ36*IK36*IK36*3.1416/4,IJ36*IK36*IK36*3.1416/4*CT36)</f>
        <v>0</v>
      </c>
      <c r="HQ23" s="153" t="n">
        <f aca="false">HP23/230</f>
        <v>0</v>
      </c>
    </row>
    <row r="24" customFormat="false" ht="15.75" hidden="false" customHeight="false" outlineLevel="0" collapsed="false">
      <c r="A24" s="90" t="s">
        <v>280</v>
      </c>
      <c r="B24" s="75" t="n">
        <f aca="false">2*3.1416*B22/LN((1/SQRT(3.1416*B23)/DP36))</f>
        <v>1602.63081261912</v>
      </c>
      <c r="C24" s="6"/>
      <c r="D24" s="135" t="s">
        <v>281</v>
      </c>
      <c r="E24" s="139" t="n">
        <f aca="false">CX36*1000</f>
        <v>5</v>
      </c>
      <c r="F24" s="140" t="n">
        <f aca="false">dbh/EXP(CL9/2*LN(CL8))*1000</f>
        <v>2</v>
      </c>
      <c r="G24" s="6"/>
      <c r="H24" s="158" t="s">
        <v>15</v>
      </c>
      <c r="I24" s="159" t="s">
        <v>16</v>
      </c>
      <c r="J24" s="6"/>
      <c r="K24" s="87" t="s">
        <v>282</v>
      </c>
      <c r="L24" s="75" t="n">
        <f aca="false">L23/B7</f>
        <v>0.526184067806847</v>
      </c>
      <c r="M24" s="6"/>
      <c r="N24" s="6"/>
      <c r="O24" s="6"/>
      <c r="P24" s="6"/>
      <c r="Q24" s="6"/>
      <c r="R24" s="6"/>
      <c r="S24" s="6"/>
      <c r="T24" s="6"/>
      <c r="U24" s="6"/>
      <c r="V24" s="6"/>
      <c r="W24" s="6"/>
      <c r="X24" s="6"/>
      <c r="Y24" s="148" t="s">
        <v>283</v>
      </c>
      <c r="Z24" s="6"/>
      <c r="AA24" s="6"/>
      <c r="AJ24" s="101" t="s">
        <v>284</v>
      </c>
      <c r="AP24" s="72" t="s">
        <v>285</v>
      </c>
      <c r="AQ24" s="156" t="n">
        <v>0.37</v>
      </c>
      <c r="AR24" s="156" t="n">
        <v>0.09</v>
      </c>
      <c r="AS24" s="156" t="n">
        <v>0.0003</v>
      </c>
      <c r="AT24" s="156" t="n">
        <v>1.7</v>
      </c>
      <c r="AU24" s="157" t="n">
        <v>5</v>
      </c>
      <c r="AV24" s="160" t="n">
        <v>0.5</v>
      </c>
      <c r="AW24" s="74" t="n">
        <v>0</v>
      </c>
      <c r="AX24" s="74" t="n">
        <v>0</v>
      </c>
      <c r="AY24" s="74" t="n">
        <v>0</v>
      </c>
      <c r="AZ24" s="75" t="n">
        <f aca="false">AR24+(AQ24-AR24)/(1+(AS24*33/1000*10000)^AT24)^(1-1/AT24)</f>
        <v>0.367769375592928</v>
      </c>
      <c r="BA24" s="75" t="n">
        <f aca="false">AR24+(AQ24-AR24)/(1+(AS24*1.585*10000)^AT24)^(1-1/AT24)</f>
        <v>0.181401252034493</v>
      </c>
      <c r="BB24" s="76" t="n">
        <f aca="false">AR24+(AQ24-AR24)/(1+(AS24*3.5*10000)^AT24)^(1-1/AT24)</f>
        <v>0.143588456558299</v>
      </c>
      <c r="BC24" s="75" t="n">
        <f aca="false">AR24+(AQ24-AR24)/(1+(AS24*$BC$2/1000*10000)^AT24)^(1-1/AT24)</f>
        <v>0.369751991967328</v>
      </c>
      <c r="BD24" s="77" t="n">
        <f aca="false">(AQ24-AR24)*Soil_Depth*1000*(1-(AW24+AX24+AY24)/3)</f>
        <v>82.432</v>
      </c>
      <c r="BE24" s="75" t="n">
        <f aca="false">(AZ24-AR24)*Soil_Depth*1000*(1-(AW24+AX24+AY24)/3)</f>
        <v>81.775304174558</v>
      </c>
      <c r="BF24" s="75" t="n">
        <f aca="false">(AZ24-AR24)/(AQ24-AR24)</f>
        <v>0.992033484260457</v>
      </c>
      <c r="BG24" s="75" t="n">
        <f aca="false">(AZ24-BA24)*Soil_Depth*1000*(1-(AW24+AX24+AY24)/3)</f>
        <v>54.8667755756033</v>
      </c>
      <c r="BH24" s="75" t="n">
        <f aca="false">(AZ24-BB24)*Soil_Depth*1000*(1-(AW24+AX24+AY24)/3)</f>
        <v>65.9988625637948</v>
      </c>
      <c r="BT24" s="161" t="s">
        <v>286</v>
      </c>
      <c r="BU24" s="72" t="n">
        <f aca="false">AT36+(AS36-AT36)/(1+(AU36*$BS$36/1000*10000)^AV36)^(1-1/AV36)</f>
        <v>0.367769375592928</v>
      </c>
      <c r="BV24" s="72" t="n">
        <f aca="false">AY36+(AX36-AY36)/(1+(AZ36*$BS$36/1000*10000)^BA36)^(1-1/BA36)</f>
        <v>0.367769375592928</v>
      </c>
      <c r="BW24" s="72" t="n">
        <f aca="false">BD36+(BC36-BD36)/(1+(BE36*$BS$36/1000*10000)^BF36)^(1-1/BF36)</f>
        <v>0.367769375592928</v>
      </c>
      <c r="CB24" s="101" t="s">
        <v>287</v>
      </c>
      <c r="CM24" s="72" t="s">
        <v>288</v>
      </c>
      <c r="CN24" s="72" t="n">
        <f aca="false">L11/1000/Trunk_m</f>
        <v>1.1781E-005</v>
      </c>
      <c r="DZ24" s="161" t="s">
        <v>289</v>
      </c>
      <c r="EA24" s="77" t="n">
        <f aca="false">Soil_Width*Soil_Width</f>
        <v>0.25</v>
      </c>
      <c r="EC24" s="101" t="s">
        <v>290</v>
      </c>
      <c r="EP24" s="95" t="s">
        <v>291</v>
      </c>
      <c r="EQ24" s="95"/>
      <c r="ER24" s="95"/>
      <c r="ES24" s="95"/>
      <c r="ET24" s="95"/>
      <c r="EU24" s="95"/>
      <c r="FF24" s="72" t="s">
        <v>292</v>
      </c>
      <c r="FG24" s="72"/>
      <c r="FH24" s="72" t="s">
        <v>293</v>
      </c>
      <c r="GE24" s="28" t="s">
        <v>294</v>
      </c>
      <c r="HO24" s="151" t="s">
        <v>295</v>
      </c>
      <c r="HP24" s="152" t="n">
        <f aca="false">IF(CI36,IJ36*IM36*IM36*3.1416/4*IL36*1000*1000,IJ36*IM36*IM36*3.1416/4*IL36*1000*1000*CT36)</f>
        <v>0</v>
      </c>
      <c r="HQ24" s="153" t="n">
        <f aca="false">HP24/230</f>
        <v>0</v>
      </c>
    </row>
    <row r="25" customFormat="false" ht="16.5" hidden="false" customHeight="false" outlineLevel="0" collapsed="false">
      <c r="A25" s="87" t="s">
        <v>296</v>
      </c>
      <c r="B25" s="75" t="n">
        <f aca="false">B28/(BM36*BM36*3.1416/4)</f>
        <v>81.775304174558</v>
      </c>
      <c r="C25" s="6"/>
      <c r="D25" s="135" t="s">
        <v>297</v>
      </c>
      <c r="E25" s="139" t="n">
        <f aca="false">CM36</f>
        <v>1.8</v>
      </c>
      <c r="F25" s="140"/>
      <c r="G25" s="135" t="s">
        <v>146</v>
      </c>
      <c r="H25" s="32" t="n">
        <f aca="false">AK3</f>
        <v>40</v>
      </c>
      <c r="I25" s="30" t="n">
        <f aca="false">AL3</f>
        <v>46.7474385310569</v>
      </c>
      <c r="J25" s="6"/>
      <c r="K25" s="87" t="s">
        <v>298</v>
      </c>
      <c r="L25" s="88" t="n">
        <f aca="false">EU36</f>
        <v>200</v>
      </c>
      <c r="M25" s="6"/>
      <c r="N25" s="6"/>
      <c r="O25" s="6"/>
      <c r="P25" s="6"/>
      <c r="Q25" s="6"/>
      <c r="R25" s="6"/>
      <c r="S25" s="6"/>
      <c r="T25" s="6"/>
      <c r="U25" s="6"/>
      <c r="V25" s="6"/>
      <c r="W25" s="6"/>
      <c r="X25" s="6"/>
      <c r="Y25" s="148" t="s">
        <v>299</v>
      </c>
      <c r="Z25" s="6"/>
      <c r="AA25" s="6"/>
      <c r="AB25" s="6"/>
      <c r="AC25" s="6"/>
      <c r="AJ25" s="101" t="s">
        <v>300</v>
      </c>
      <c r="AP25" s="0" t="s">
        <v>301</v>
      </c>
      <c r="AQ25" s="162" t="n">
        <v>0.548</v>
      </c>
      <c r="AR25" s="163" t="n">
        <v>0.079</v>
      </c>
      <c r="AS25" s="163" t="n">
        <v>0.324</v>
      </c>
      <c r="AT25" s="163" t="n">
        <v>2.186</v>
      </c>
      <c r="AU25" s="164" t="n">
        <v>6900</v>
      </c>
      <c r="AV25" s="163" t="n">
        <v>0.5</v>
      </c>
      <c r="AW25" s="74" t="n">
        <v>0</v>
      </c>
      <c r="AX25" s="74" t="n">
        <v>0</v>
      </c>
      <c r="AY25" s="74" t="n">
        <v>0</v>
      </c>
      <c r="AZ25" s="75" t="n">
        <f aca="false">AR25+(AQ25-AR25)/(1+(AS25*2.81/1000*10000)^AT25)^(1-1/AT25)</f>
        <v>0.113011307965224</v>
      </c>
      <c r="BA25" s="75" t="n">
        <f aca="false">AR25+(AQ25-AR25)/(1+(AS25*1.585*10000)^AT25)^(1-1/AT25)</f>
        <v>0.0790186393922874</v>
      </c>
      <c r="BB25" s="76" t="n">
        <f aca="false">AR25+(AQ25-AR25)/(1+(AS25*3.5*10000)^AT25)^(1-1/AT25)</f>
        <v>0.0790072845337486</v>
      </c>
      <c r="BC25" s="75" t="n">
        <f aca="false">AR25+(AQ25-AR25)/(1+(AS25*$BC$2/1000*10000)^AT25)^(1-1/AT25)</f>
        <v>0.087585921513929</v>
      </c>
      <c r="BD25" s="77" t="n">
        <f aca="false">(AQ25-AR25)*Soil_Depth*1000*(1-(AW25+AX25+AY25)/3)</f>
        <v>138.0736</v>
      </c>
      <c r="BE25" s="75" t="n">
        <f aca="false">(AZ25-AR25)*Soil_Depth*1000*(1-(AW25+AX25+AY25)/3)</f>
        <v>10.0129290649618</v>
      </c>
      <c r="BF25" s="75" t="n">
        <f aca="false">(AZ25-AR25)/(AQ25-AR25)</f>
        <v>0.072518780309645</v>
      </c>
      <c r="BG25" s="75" t="n">
        <f aca="false">(AZ25-BA25)*Soil_Depth*1000*(1-(AW25+AX25+AY25)/3)</f>
        <v>10.0074416278724</v>
      </c>
      <c r="BH25" s="75" t="n">
        <f aca="false">(AZ25-BB25)*Soil_Depth*1000*(1-(AW25+AX25+AY25)/3)</f>
        <v>10.0107844982262</v>
      </c>
      <c r="BJ25" s="0" t="s">
        <v>203</v>
      </c>
      <c r="BK25" s="0" t="n">
        <f aca="false">BK17</f>
        <v>-0.929689995132855</v>
      </c>
      <c r="BL25" s="0" t="n">
        <f aca="false">BL17</f>
        <v>1</v>
      </c>
      <c r="BM25" s="0" t="s">
        <v>222</v>
      </c>
      <c r="BN25" s="0" t="n">
        <f aca="false">BK26</f>
        <v>-1.23958666017714</v>
      </c>
      <c r="BO25" s="0" t="n">
        <f aca="false">BL26</f>
        <v>1.05</v>
      </c>
      <c r="BT25" s="161" t="s">
        <v>302</v>
      </c>
      <c r="BU25" s="72" t="n">
        <f aca="false">(BU36-AT36)/(AS36-AT36)</f>
        <v>0.992033484260457</v>
      </c>
      <c r="BV25" s="72" t="n">
        <f aca="false">(BV36-AY36)/(AX36-AY36)</f>
        <v>0.992033484260457</v>
      </c>
      <c r="BW25" s="72" t="n">
        <f aca="false">(BW36-BD36)/(BC36-BD36)</f>
        <v>0.992033484260457</v>
      </c>
      <c r="CM25" s="72" t="s">
        <v>303</v>
      </c>
      <c r="CN25" s="72" t="n">
        <f aca="false">1000*(SQRT(CN24+3.1416*dbh*dbh/4)/SQRT(3.1416)-dbh/2)</f>
        <v>0.361902647381803</v>
      </c>
      <c r="CV25" s="161" t="s">
        <v>304</v>
      </c>
      <c r="CW25" s="161"/>
      <c r="CX25" s="165" t="n">
        <v>4</v>
      </c>
      <c r="FF25" s="72" t="s">
        <v>305</v>
      </c>
      <c r="FG25" s="72"/>
      <c r="FH25" s="72" t="s">
        <v>306</v>
      </c>
      <c r="GF25" s="166" t="s">
        <v>307</v>
      </c>
      <c r="HO25" s="151" t="s">
        <v>308</v>
      </c>
      <c r="HP25" s="152" t="n">
        <f aca="false">HP23*IN36*1000</f>
        <v>0</v>
      </c>
      <c r="HQ25" s="153" t="n">
        <f aca="false">HP25/230</f>
        <v>0</v>
      </c>
    </row>
    <row r="26" customFormat="false" ht="15.75" hidden="false" customHeight="false" outlineLevel="0" collapsed="false">
      <c r="A26" s="87" t="s">
        <v>309</v>
      </c>
      <c r="B26" s="88" t="n">
        <f aca="false">BM32*1000</f>
        <v>57.80544</v>
      </c>
      <c r="C26" s="6"/>
      <c r="D26" s="167" t="s">
        <v>310</v>
      </c>
      <c r="E26" s="161" t="n">
        <f aca="false">CO36</f>
        <v>0.3</v>
      </c>
      <c r="F26" s="168"/>
      <c r="G26" s="135" t="s">
        <v>101</v>
      </c>
      <c r="H26" s="32" t="n">
        <f aca="false">AK12</f>
        <v>8</v>
      </c>
      <c r="I26" s="30" t="n">
        <f aca="false">AL12</f>
        <v>13.3131403672358</v>
      </c>
      <c r="J26" s="6"/>
      <c r="K26" s="87" t="s">
        <v>311</v>
      </c>
      <c r="L26" s="88" t="n">
        <f aca="false">FF36</f>
        <v>7</v>
      </c>
      <c r="M26" s="6"/>
      <c r="N26" s="6"/>
      <c r="O26" s="6"/>
      <c r="P26" s="6"/>
      <c r="Q26" s="6"/>
      <c r="R26" s="6"/>
      <c r="S26" s="6"/>
      <c r="T26" s="6"/>
      <c r="U26" s="6"/>
      <c r="V26" s="6"/>
      <c r="W26" s="6"/>
      <c r="X26" s="6"/>
      <c r="Y26" s="148" t="s">
        <v>312</v>
      </c>
      <c r="Z26" s="6"/>
      <c r="AA26" s="6"/>
      <c r="AB26" s="6"/>
      <c r="AC26" s="6"/>
      <c r="AD26" s="6"/>
      <c r="AE26" s="6"/>
      <c r="AF26" s="6"/>
      <c r="AJ26" s="101" t="s">
        <v>313</v>
      </c>
      <c r="AX26" s="120"/>
      <c r="AZ26" s="120"/>
      <c r="BJ26" s="0" t="s">
        <v>314</v>
      </c>
      <c r="BK26" s="0" t="n">
        <f aca="false">AF8</f>
        <v>-1.23958666017714</v>
      </c>
      <c r="BL26" s="0" t="n">
        <f aca="false">BL25*1.05</f>
        <v>1.05</v>
      </c>
      <c r="BM26" s="0" t="s">
        <v>32</v>
      </c>
      <c r="BN26" s="0" t="n">
        <f aca="false">AF5</f>
        <v>-1.54948332522143</v>
      </c>
      <c r="BO26" s="0" t="n">
        <f aca="false">BO25*1.05</f>
        <v>1.1025</v>
      </c>
      <c r="BT26" s="161" t="s">
        <v>315</v>
      </c>
      <c r="BU26" s="72" t="n">
        <f aca="false">(BU36-AT36)/(BU24-AT36)</f>
        <v>1</v>
      </c>
      <c r="BV26" s="72" t="n">
        <f aca="false">(BV36-AY36)/(BV24-AY36)</f>
        <v>1</v>
      </c>
      <c r="BW26" s="72" t="n">
        <f aca="false">(BW36-BD36)/(BW24-BD36)</f>
        <v>1</v>
      </c>
      <c r="CV26" s="161" t="s">
        <v>316</v>
      </c>
      <c r="CW26" s="161"/>
      <c r="CX26" s="165" t="n">
        <v>30</v>
      </c>
      <c r="FF26" s="72" t="s">
        <v>317</v>
      </c>
      <c r="FG26" s="72"/>
      <c r="FH26" s="72" t="s">
        <v>318</v>
      </c>
      <c r="FI26" s="124"/>
      <c r="FJ26" s="124"/>
      <c r="FK26" s="124"/>
      <c r="FL26" s="124"/>
      <c r="GE26" s="166" t="s">
        <v>180</v>
      </c>
      <c r="GF26" s="166" t="s">
        <v>319</v>
      </c>
      <c r="HO26" s="151" t="s">
        <v>320</v>
      </c>
      <c r="HP26" s="169" t="n">
        <f aca="false">HP24*CW36</f>
        <v>0</v>
      </c>
      <c r="HQ26" s="153" t="n">
        <f aca="false">HP26/230</f>
        <v>0</v>
      </c>
      <c r="HV26" s="147" t="s">
        <v>321</v>
      </c>
      <c r="HW26" s="147" t="s">
        <v>322</v>
      </c>
      <c r="HX26" s="147" t="s">
        <v>323</v>
      </c>
      <c r="HY26" s="147" t="s">
        <v>324</v>
      </c>
      <c r="IL26" s="170" t="s">
        <v>325</v>
      </c>
    </row>
    <row r="27" customFormat="false" ht="15.75" hidden="false" customHeight="false" outlineLevel="0" collapsed="false">
      <c r="A27" s="87" t="s">
        <v>326</v>
      </c>
      <c r="B27" s="88" t="n">
        <f aca="false">BM32*AS36*1000*(1-BI36)*AP36+BM32*AX36*1000*(1-BJ36)*AQ36+BM32*BC36*1000*(1-BK36)*AR36</f>
        <v>21.3880128</v>
      </c>
      <c r="C27" s="6"/>
      <c r="D27" s="167" t="s">
        <v>327</v>
      </c>
      <c r="E27" s="161" t="n">
        <f aca="false">CL36</f>
        <v>3.75</v>
      </c>
      <c r="F27" s="140" t="n">
        <f aca="false">F23*E20</f>
        <v>0.5</v>
      </c>
      <c r="G27" s="135" t="s">
        <v>328</v>
      </c>
      <c r="H27" s="32" t="n">
        <f aca="false">AK16</f>
        <v>2</v>
      </c>
      <c r="I27" s="30" t="n">
        <f aca="false">AL16</f>
        <v>13.3131403672358</v>
      </c>
      <c r="J27" s="6"/>
      <c r="K27" s="87" t="s">
        <v>329</v>
      </c>
      <c r="L27" s="88" t="n">
        <f aca="false">EN36</f>
        <v>5000</v>
      </c>
      <c r="M27" s="6"/>
      <c r="N27" s="6"/>
      <c r="O27" s="6"/>
      <c r="P27" s="6"/>
      <c r="Q27" s="6"/>
      <c r="R27" s="6"/>
      <c r="S27" s="6"/>
      <c r="T27" s="6"/>
      <c r="U27" s="6"/>
      <c r="V27" s="6"/>
      <c r="W27" s="6"/>
      <c r="X27" s="6"/>
      <c r="Y27" s="148" t="s">
        <v>330</v>
      </c>
      <c r="Z27" s="6"/>
      <c r="AA27" s="6"/>
      <c r="AB27" s="6"/>
      <c r="AC27" s="6"/>
      <c r="AD27" s="6"/>
      <c r="AE27" s="6"/>
      <c r="AF27" s="6"/>
      <c r="AJ27" s="101" t="s">
        <v>331</v>
      </c>
      <c r="AN27" s="171" t="s">
        <v>332</v>
      </c>
      <c r="AX27" s="172"/>
      <c r="DU27" s="135" t="s">
        <v>333</v>
      </c>
      <c r="DV27" s="31" t="n">
        <f aca="false">1.5*(0.00662*(AG36/DU36*1000)^0.5)*1000*40</f>
        <v>1621.56220972246</v>
      </c>
      <c r="DY27" s="173" t="s">
        <v>334</v>
      </c>
      <c r="DZ27" s="75" t="n">
        <f aca="false">-0.006*B8*B8+0.134*B8+0.036</f>
        <v>0.338320247496179</v>
      </c>
      <c r="FF27" s="72" t="s">
        <v>335</v>
      </c>
      <c r="FG27" s="72"/>
      <c r="FH27" s="72" t="s">
        <v>336</v>
      </c>
      <c r="GE27" s="166" t="s">
        <v>337</v>
      </c>
      <c r="HO27" s="151" t="s">
        <v>338</v>
      </c>
      <c r="HP27" s="152" t="n">
        <f aca="false">HP24*CV36</f>
        <v>0</v>
      </c>
      <c r="HQ27" s="153" t="n">
        <f aca="false">HP27/230</f>
        <v>0</v>
      </c>
      <c r="HU27" s="174" t="s">
        <v>325</v>
      </c>
      <c r="HV27" s="175" t="n">
        <f aca="false">2*H8*$K$36/M8</f>
        <v>8.29485799254634E-006</v>
      </c>
      <c r="HW27" s="175" t="n">
        <f aca="false">2*H10*$K$36/M10</f>
        <v>2.73059656733519E-005</v>
      </c>
      <c r="HX27" s="175" t="n">
        <f aca="false">2*H12*$K$36/M12</f>
        <v>0.000109223862693408</v>
      </c>
      <c r="HY27" s="175" t="n">
        <f aca="false">2*H14*$K$36/M14*3</f>
        <v>3.27671588080223E-005</v>
      </c>
      <c r="IL27" s="176" t="str">
        <f aca="false">IF(II36,2*IO36*K36/HP27/18*1000,"")</f>
        <v/>
      </c>
    </row>
    <row r="28" customFormat="false" ht="15.75" hidden="false" customHeight="false" outlineLevel="0" collapsed="false">
      <c r="A28" s="87" t="s">
        <v>339</v>
      </c>
      <c r="B28" s="88" t="n">
        <f aca="false">((AT36+(AS36-AT36)/(1+(AU36*BS36*10)^AV36)^(1-1/AV36))-AT36)*BM32*1000*(1-BI36)*AP36   + ((AY36+(AX36-AY36)/(1+(AZ36*BS36*10)^BA36)^(1-1/BA36))-AY36)*BM32*1000*(1-BJ36)*AQ36   +((BD36+(BC36-BD36)/(1+(BE36*BS36*10)^BF36)^(1-1/BF36))-BD36)*BM32*1000*(1-BK36)*AR36</f>
        <v>16.0565809746745</v>
      </c>
      <c r="C28" s="6"/>
      <c r="D28" s="167" t="s">
        <v>340</v>
      </c>
      <c r="E28" s="161" t="n">
        <f aca="false">DL36*1000</f>
        <v>1</v>
      </c>
      <c r="F28" s="140" t="n">
        <f aca="false">dbh/SQRT(3)/EXP(CM9/2*LN(CM8))*1000</f>
        <v>0.0886227961644181</v>
      </c>
      <c r="G28" s="135" t="s">
        <v>341</v>
      </c>
      <c r="H28" s="32" t="n">
        <f aca="false">AK19</f>
        <v>50</v>
      </c>
      <c r="I28" s="30" t="n">
        <f aca="false">AL19</f>
        <v>26.6262807344715</v>
      </c>
      <c r="J28" s="6"/>
      <c r="K28" s="87" t="s">
        <v>342</v>
      </c>
      <c r="L28" s="177" t="str">
        <f aca="false">IF(EP36=0,"P12","P_tlp")</f>
        <v>P_tlp</v>
      </c>
      <c r="M28" s="6"/>
      <c r="N28" s="6"/>
      <c r="O28" s="6"/>
      <c r="P28" s="6"/>
      <c r="Q28" s="6"/>
      <c r="R28" s="6"/>
      <c r="S28" s="6"/>
      <c r="T28" s="6"/>
      <c r="U28" s="6"/>
      <c r="V28" s="6"/>
      <c r="W28" s="6"/>
      <c r="X28" s="6"/>
      <c r="Y28" s="6"/>
      <c r="Z28" s="6"/>
      <c r="AA28" s="6"/>
      <c r="AB28" s="6"/>
      <c r="AC28" s="6"/>
      <c r="AD28" s="6"/>
      <c r="AE28" s="6"/>
      <c r="AF28" s="6"/>
      <c r="AG28" s="6"/>
      <c r="AH28" s="6"/>
      <c r="AJ28" s="101" t="s">
        <v>343</v>
      </c>
      <c r="AN28" s="178" t="n">
        <f aca="false">EXP(-FX36*DZ36/(CP36/2*CP36/2*3.1416))</f>
        <v>1</v>
      </c>
      <c r="GE28" s="28" t="s">
        <v>344</v>
      </c>
      <c r="GJ28" s="179" t="s">
        <v>345</v>
      </c>
      <c r="GK28" s="180" t="n">
        <v>5</v>
      </c>
      <c r="GO28" s="181"/>
      <c r="GP28" s="181"/>
      <c r="GQ28" s="181"/>
      <c r="GR28" s="180" t="n">
        <v>5</v>
      </c>
      <c r="GU28" s="180" t="n">
        <v>2.5</v>
      </c>
      <c r="HL28" s="182" t="s">
        <v>346</v>
      </c>
      <c r="HM28" s="183" t="n">
        <f aca="false">'Fractal shoot'!B21</f>
        <v>25</v>
      </c>
    </row>
    <row r="29" customFormat="false" ht="15.75" hidden="false" customHeight="false" outlineLevel="0" collapsed="false">
      <c r="A29" s="6"/>
      <c r="C29" s="6"/>
      <c r="D29" s="6"/>
      <c r="E29" s="6"/>
      <c r="F29" s="6"/>
      <c r="G29" s="6"/>
      <c r="H29" s="6"/>
      <c r="I29" s="6"/>
      <c r="J29" s="6"/>
      <c r="K29" s="6"/>
      <c r="L29" s="6"/>
      <c r="M29" s="89"/>
      <c r="N29" s="6"/>
      <c r="O29" s="89"/>
      <c r="P29" s="89"/>
      <c r="Q29" s="6"/>
      <c r="R29" s="6"/>
      <c r="S29" s="148"/>
      <c r="T29" s="6"/>
      <c r="U29" s="6"/>
      <c r="V29" s="6"/>
      <c r="W29" s="6"/>
      <c r="X29" s="6"/>
      <c r="Y29" s="6"/>
      <c r="Z29" s="6"/>
      <c r="AA29" s="6"/>
      <c r="AB29" s="6"/>
      <c r="AC29" s="6"/>
      <c r="AD29" s="6"/>
      <c r="AE29" s="6"/>
      <c r="AF29" s="6"/>
      <c r="AG29" s="6"/>
      <c r="AH29" s="6"/>
      <c r="AP29" s="101"/>
      <c r="GE29" s="184" t="s">
        <v>347</v>
      </c>
    </row>
    <row r="30" customFormat="false" ht="25.5" hidden="false" customHeight="false" outlineLevel="0" collapsed="false">
      <c r="A30" s="6"/>
      <c r="B30" s="185" t="s">
        <v>348</v>
      </c>
      <c r="C30" s="185"/>
      <c r="D30" s="186"/>
      <c r="E30" s="186"/>
      <c r="F30" s="186"/>
      <c r="G30" s="186"/>
      <c r="H30" s="186"/>
      <c r="I30" s="186"/>
      <c r="J30" s="186"/>
      <c r="K30" s="186"/>
      <c r="L30" s="186"/>
      <c r="M30" s="186"/>
      <c r="N30" s="186"/>
      <c r="O30" s="186"/>
      <c r="P30" s="186"/>
      <c r="Q30" s="186"/>
      <c r="R30" s="186"/>
      <c r="S30" s="186"/>
      <c r="T30" s="186"/>
      <c r="U30" s="186"/>
      <c r="V30" s="186"/>
      <c r="W30" s="186"/>
      <c r="X30" s="187"/>
      <c r="Y30" s="188" t="s">
        <v>242</v>
      </c>
      <c r="Z30" s="189"/>
      <c r="AA30" s="189"/>
      <c r="AB30" s="189"/>
      <c r="AC30" s="189"/>
      <c r="AD30" s="189"/>
      <c r="AE30" s="189"/>
      <c r="AF30" s="189"/>
      <c r="AG30" s="189"/>
      <c r="AH30" s="189"/>
      <c r="AI30" s="189"/>
      <c r="AJ30" s="189"/>
      <c r="AK30" s="189"/>
      <c r="AL30" s="189"/>
      <c r="AM30" s="189"/>
      <c r="AN30" s="190"/>
      <c r="AO30" s="191" t="s">
        <v>349</v>
      </c>
      <c r="AP30" s="191"/>
      <c r="AQ30" s="191"/>
      <c r="AR30" s="191"/>
      <c r="AS30" s="191"/>
      <c r="AT30" s="191"/>
      <c r="AU30" s="191"/>
      <c r="AV30" s="191"/>
      <c r="AW30" s="191"/>
      <c r="AX30" s="191"/>
      <c r="AY30" s="191"/>
      <c r="AZ30" s="191"/>
      <c r="BA30" s="191"/>
      <c r="BB30" s="191"/>
      <c r="BC30" s="191"/>
      <c r="BD30" s="191"/>
      <c r="BE30" s="191"/>
      <c r="BF30" s="191"/>
      <c r="BG30" s="191"/>
      <c r="BH30" s="191"/>
      <c r="BI30" s="191"/>
      <c r="BJ30" s="191"/>
      <c r="BK30" s="191"/>
      <c r="BL30" s="191"/>
      <c r="BM30" s="191"/>
      <c r="BN30" s="191"/>
      <c r="BO30" s="191"/>
      <c r="BP30" s="191"/>
      <c r="BQ30" s="191"/>
      <c r="BR30" s="192"/>
      <c r="BS30" s="191"/>
      <c r="BT30" s="191"/>
      <c r="BU30" s="191"/>
      <c r="BV30" s="191"/>
      <c r="BW30" s="191"/>
      <c r="BX30" s="193" t="s">
        <v>350</v>
      </c>
      <c r="BY30" s="194"/>
      <c r="BZ30" s="194"/>
      <c r="CA30" s="194"/>
      <c r="CB30" s="194"/>
      <c r="CC30" s="194"/>
      <c r="CD30" s="194"/>
      <c r="CE30" s="194"/>
      <c r="CF30" s="194"/>
      <c r="CG30" s="194"/>
      <c r="CH30" s="195"/>
      <c r="CI30" s="196" t="s">
        <v>351</v>
      </c>
      <c r="CJ30" s="197"/>
      <c r="CK30" s="197"/>
      <c r="CL30" s="197"/>
      <c r="CM30" s="197"/>
      <c r="CN30" s="197"/>
      <c r="CO30" s="197"/>
      <c r="CP30" s="197"/>
      <c r="CQ30" s="197"/>
      <c r="CR30" s="197"/>
      <c r="CS30" s="197"/>
      <c r="CT30" s="197"/>
      <c r="CU30" s="197"/>
      <c r="CV30" s="197"/>
      <c r="CW30" s="197"/>
      <c r="CX30" s="197"/>
      <c r="CY30" s="197"/>
      <c r="CZ30" s="197"/>
      <c r="DA30" s="197"/>
      <c r="DB30" s="197"/>
      <c r="DC30" s="198"/>
      <c r="DD30" s="198"/>
      <c r="DE30" s="197"/>
      <c r="DF30" s="197"/>
      <c r="DG30" s="197"/>
      <c r="DH30" s="198"/>
      <c r="DI30" s="197"/>
      <c r="DJ30" s="197"/>
      <c r="DK30" s="197"/>
      <c r="DL30" s="197"/>
      <c r="DM30" s="197"/>
      <c r="DN30" s="197"/>
      <c r="DO30" s="197"/>
      <c r="DP30" s="197"/>
      <c r="DQ30" s="197"/>
      <c r="DR30" s="199"/>
      <c r="DS30" s="197"/>
      <c r="DT30" s="197"/>
      <c r="DU30" s="200" t="s">
        <v>352</v>
      </c>
      <c r="DV30" s="201"/>
      <c r="DW30" s="201"/>
      <c r="DX30" s="201"/>
      <c r="DY30" s="201"/>
      <c r="DZ30" s="201"/>
      <c r="EA30" s="201"/>
      <c r="EB30" s="201"/>
      <c r="EC30" s="201"/>
      <c r="ED30" s="201"/>
      <c r="EE30" s="201"/>
      <c r="EF30" s="201"/>
      <c r="EG30" s="201"/>
      <c r="EH30" s="201"/>
      <c r="EI30" s="201"/>
      <c r="EJ30" s="201"/>
      <c r="EK30" s="202"/>
      <c r="EL30" s="203" t="s">
        <v>353</v>
      </c>
      <c r="EM30" s="204"/>
      <c r="EN30" s="204"/>
      <c r="EO30" s="204"/>
      <c r="EP30" s="204"/>
      <c r="EQ30" s="204"/>
      <c r="ER30" s="204"/>
      <c r="ES30" s="204"/>
      <c r="ET30" s="204"/>
      <c r="EU30" s="204"/>
      <c r="EV30" s="204"/>
      <c r="EW30" s="204"/>
      <c r="EX30" s="204"/>
      <c r="EY30" s="204"/>
      <c r="EZ30" s="204"/>
      <c r="FA30" s="204"/>
      <c r="FB30" s="204"/>
      <c r="FC30" s="204"/>
      <c r="FD30" s="204"/>
      <c r="FE30" s="204"/>
      <c r="FF30" s="204"/>
      <c r="FG30" s="204"/>
      <c r="FH30" s="204"/>
      <c r="FI30" s="204"/>
      <c r="FJ30" s="204"/>
      <c r="FK30" s="204"/>
      <c r="FL30" s="204"/>
      <c r="FM30" s="204"/>
      <c r="FN30" s="204"/>
      <c r="FO30" s="205"/>
      <c r="FP30" s="205"/>
      <c r="FQ30" s="205"/>
      <c r="FR30" s="205"/>
      <c r="FS30" s="205"/>
      <c r="FT30" s="205"/>
      <c r="FU30" s="205"/>
      <c r="FV30" s="205"/>
      <c r="FW30" s="204"/>
      <c r="FX30" s="204"/>
      <c r="FY30" s="206" t="s">
        <v>354</v>
      </c>
      <c r="FZ30" s="207"/>
      <c r="GA30" s="207"/>
      <c r="GB30" s="207"/>
      <c r="GC30" s="207"/>
      <c r="GD30" s="207"/>
      <c r="GE30" s="207"/>
      <c r="GF30" s="208"/>
      <c r="GG30" s="209" t="s">
        <v>355</v>
      </c>
      <c r="GH30" s="210"/>
      <c r="GI30" s="210"/>
      <c r="GJ30" s="210"/>
      <c r="GK30" s="211"/>
      <c r="GL30" s="211"/>
      <c r="GM30" s="211"/>
      <c r="GN30" s="211"/>
      <c r="GO30" s="211"/>
      <c r="GP30" s="211"/>
      <c r="GQ30" s="211"/>
      <c r="GR30" s="211"/>
      <c r="GS30" s="211"/>
      <c r="GT30" s="211"/>
      <c r="GU30" s="212"/>
      <c r="GV30" s="213" t="s">
        <v>356</v>
      </c>
      <c r="GW30" s="214"/>
      <c r="GX30" s="214"/>
      <c r="GY30" s="215"/>
      <c r="GZ30" s="215"/>
      <c r="HA30" s="215"/>
      <c r="HB30" s="215"/>
      <c r="HC30" s="215"/>
      <c r="HD30" s="215"/>
      <c r="HE30" s="215"/>
      <c r="HF30" s="215"/>
      <c r="HG30" s="215"/>
      <c r="HH30" s="215"/>
      <c r="HI30" s="215"/>
      <c r="HJ30" s="215"/>
      <c r="HK30" s="215"/>
      <c r="HL30" s="215"/>
      <c r="HM30" s="215"/>
      <c r="HN30" s="215"/>
      <c r="HO30" s="215"/>
      <c r="HP30" s="215"/>
      <c r="HQ30" s="216"/>
      <c r="HR30" s="217"/>
      <c r="HS30" s="217"/>
      <c r="HT30" s="217"/>
      <c r="HU30" s="217"/>
      <c r="HV30" s="218" t="s">
        <v>357</v>
      </c>
      <c r="HW30" s="219"/>
      <c r="HX30" s="219"/>
      <c r="HY30" s="219"/>
      <c r="HZ30" s="220" t="s">
        <v>358</v>
      </c>
      <c r="IA30" s="221"/>
      <c r="IB30" s="222"/>
      <c r="IC30" s="223"/>
      <c r="ID30" s="221"/>
      <c r="IE30" s="221"/>
      <c r="IF30" s="221"/>
      <c r="IG30" s="221"/>
      <c r="IH30" s="221"/>
      <c r="II30" s="224" t="s">
        <v>359</v>
      </c>
      <c r="IJ30" s="207"/>
      <c r="IK30" s="207"/>
      <c r="IL30" s="207"/>
      <c r="IM30" s="207"/>
      <c r="IN30" s="207"/>
      <c r="IO30" s="207"/>
      <c r="IP30" s="207"/>
      <c r="IQ30" s="207"/>
      <c r="IR30" s="207"/>
      <c r="IS30" s="207"/>
      <c r="IT30" s="207"/>
      <c r="IU30" s="207"/>
      <c r="IV30" s="207"/>
      <c r="IW30" s="207"/>
      <c r="IX30" s="207"/>
      <c r="IY30" s="207"/>
      <c r="IZ30" s="207"/>
      <c r="JA30" s="207"/>
      <c r="JB30" s="207"/>
      <c r="JC30" s="207"/>
      <c r="JD30" s="207"/>
      <c r="JE30" s="208"/>
    </row>
    <row r="31" customFormat="false" ht="25.5" hidden="false" customHeight="true" outlineLevel="0" collapsed="false">
      <c r="A31" s="6"/>
      <c r="B31" s="225"/>
      <c r="C31" s="226"/>
      <c r="D31" s="226"/>
      <c r="E31" s="226"/>
      <c r="F31" s="226"/>
      <c r="G31" s="226"/>
      <c r="H31" s="226"/>
      <c r="I31" s="226"/>
      <c r="J31" s="226"/>
      <c r="K31" s="226"/>
      <c r="L31" s="226"/>
      <c r="M31" s="226"/>
      <c r="N31" s="227"/>
      <c r="O31" s="227"/>
      <c r="P31" s="227"/>
      <c r="Q31" s="227"/>
      <c r="R31" s="227"/>
      <c r="S31" s="227"/>
      <c r="T31" s="227"/>
      <c r="U31" s="227"/>
      <c r="V31" s="227"/>
      <c r="W31" s="227"/>
      <c r="X31" s="228"/>
      <c r="Y31" s="229"/>
      <c r="Z31" s="230"/>
      <c r="AA31" s="230"/>
      <c r="AB31" s="230"/>
      <c r="AC31" s="230"/>
      <c r="AD31" s="230"/>
      <c r="AE31" s="230"/>
      <c r="AF31" s="230"/>
      <c r="AG31" s="230"/>
      <c r="AH31" s="230"/>
      <c r="AI31" s="230"/>
      <c r="AJ31" s="230"/>
      <c r="AK31" s="230"/>
      <c r="AL31" s="230"/>
      <c r="AM31" s="230"/>
      <c r="AN31" s="231"/>
      <c r="AO31" s="232"/>
      <c r="AP31" s="232"/>
      <c r="AQ31" s="232"/>
      <c r="AR31" s="232"/>
      <c r="AS31" s="233" t="s">
        <v>360</v>
      </c>
      <c r="AT31" s="232"/>
      <c r="AU31" s="232"/>
      <c r="AV31" s="232"/>
      <c r="AW31" s="232"/>
      <c r="AX31" s="232"/>
      <c r="AY31" s="232"/>
      <c r="AZ31" s="232"/>
      <c r="BA31" s="232"/>
      <c r="BB31" s="232"/>
      <c r="BC31" s="232"/>
      <c r="BD31" s="232"/>
      <c r="BE31" s="232"/>
      <c r="BF31" s="232"/>
      <c r="BG31" s="232"/>
      <c r="BH31" s="232"/>
      <c r="BI31" s="232"/>
      <c r="BJ31" s="232"/>
      <c r="BK31" s="232"/>
      <c r="BL31" s="232"/>
      <c r="BM31" s="232"/>
      <c r="BN31" s="232"/>
      <c r="BO31" s="232"/>
      <c r="BP31" s="232"/>
      <c r="BQ31" s="232"/>
      <c r="BR31" s="234"/>
      <c r="BS31" s="232"/>
      <c r="BT31" s="232"/>
      <c r="BU31" s="232"/>
      <c r="BV31" s="232"/>
      <c r="BW31" s="232"/>
      <c r="BX31" s="235" t="s">
        <v>361</v>
      </c>
      <c r="BY31" s="236"/>
      <c r="BZ31" s="236"/>
      <c r="CA31" s="237"/>
      <c r="CB31" s="238" t="s">
        <v>362</v>
      </c>
      <c r="CC31" s="238"/>
      <c r="CD31" s="238"/>
      <c r="CE31" s="238"/>
      <c r="CF31" s="239"/>
      <c r="CG31" s="240" t="s">
        <v>363</v>
      </c>
      <c r="CH31" s="238"/>
      <c r="CI31" s="241" t="s">
        <v>217</v>
      </c>
      <c r="CJ31" s="242"/>
      <c r="CK31" s="242"/>
      <c r="CL31" s="242"/>
      <c r="CM31" s="242"/>
      <c r="CN31" s="242"/>
      <c r="CO31" s="242"/>
      <c r="CP31" s="243" t="s">
        <v>364</v>
      </c>
      <c r="CQ31" s="243"/>
      <c r="CR31" s="244"/>
      <c r="CS31" s="244"/>
      <c r="CT31" s="244"/>
      <c r="CU31" s="244" t="s">
        <v>365</v>
      </c>
      <c r="CV31" s="244" t="n">
        <f aca="false">CP36*CP36*3.1416/4</f>
        <v>0.19635</v>
      </c>
      <c r="CW31" s="244"/>
      <c r="CX31" s="244"/>
      <c r="CY31" s="244"/>
      <c r="CZ31" s="244"/>
      <c r="DA31" s="244"/>
      <c r="DB31" s="244"/>
      <c r="DC31" s="245" t="s">
        <v>328</v>
      </c>
      <c r="DD31" s="246"/>
      <c r="DE31" s="246"/>
      <c r="DF31" s="246"/>
      <c r="DG31" s="246"/>
      <c r="DH31" s="246"/>
      <c r="DI31" s="246"/>
      <c r="DJ31" s="246"/>
      <c r="DK31" s="247" t="s">
        <v>366</v>
      </c>
      <c r="DL31" s="248"/>
      <c r="DM31" s="249"/>
      <c r="DN31" s="249"/>
      <c r="DO31" s="249"/>
      <c r="DP31" s="249"/>
      <c r="DQ31" s="249"/>
      <c r="DR31" s="250"/>
      <c r="DS31" s="248"/>
      <c r="DT31" s="248"/>
      <c r="DU31" s="251"/>
      <c r="DV31" s="252"/>
      <c r="DW31" s="252"/>
      <c r="DX31" s="252"/>
      <c r="DY31" s="252"/>
      <c r="DZ31" s="252"/>
      <c r="EA31" s="252"/>
      <c r="EB31" s="252"/>
      <c r="EC31" s="252"/>
      <c r="ED31" s="252"/>
      <c r="EE31" s="252"/>
      <c r="EF31" s="252"/>
      <c r="EG31" s="252"/>
      <c r="EH31" s="252"/>
      <c r="EI31" s="252"/>
      <c r="EJ31" s="252"/>
      <c r="EK31" s="253"/>
      <c r="EL31" s="254" t="s">
        <v>367</v>
      </c>
      <c r="EM31" s="255"/>
      <c r="EN31" s="256" t="s">
        <v>368</v>
      </c>
      <c r="EO31" s="257" t="s">
        <v>369</v>
      </c>
      <c r="EP31" s="258"/>
      <c r="EQ31" s="259"/>
      <c r="ER31" s="259"/>
      <c r="ES31" s="259"/>
      <c r="ET31" s="259"/>
      <c r="EU31" s="260"/>
      <c r="EV31" s="260"/>
      <c r="EW31" s="260"/>
      <c r="EX31" s="261"/>
      <c r="EY31" s="261"/>
      <c r="EZ31" s="261"/>
      <c r="FA31" s="261"/>
      <c r="FB31" s="261"/>
      <c r="FC31" s="261"/>
      <c r="FD31" s="261"/>
      <c r="FE31" s="261"/>
      <c r="FF31" s="261"/>
      <c r="FG31" s="261"/>
      <c r="FH31" s="261"/>
      <c r="FI31" s="262"/>
      <c r="FJ31" s="263"/>
      <c r="FK31" s="263"/>
      <c r="FL31" s="204"/>
      <c r="FM31" s="204"/>
      <c r="FN31" s="204"/>
      <c r="FO31" s="264" t="s">
        <v>370</v>
      </c>
      <c r="FP31" s="265"/>
      <c r="FQ31" s="265"/>
      <c r="FR31" s="265"/>
      <c r="FS31" s="265"/>
      <c r="FT31" s="265"/>
      <c r="FU31" s="265"/>
      <c r="FV31" s="266"/>
      <c r="FW31" s="267" t="s">
        <v>371</v>
      </c>
      <c r="FX31" s="268" t="s">
        <v>368</v>
      </c>
      <c r="FY31" s="269"/>
      <c r="FZ31" s="270"/>
      <c r="GA31" s="270"/>
      <c r="GB31" s="270"/>
      <c r="GC31" s="270"/>
      <c r="GD31" s="270"/>
      <c r="GE31" s="270"/>
      <c r="GF31" s="270"/>
      <c r="GG31" s="271"/>
      <c r="GH31" s="272"/>
      <c r="GI31" s="272"/>
      <c r="GJ31" s="272"/>
      <c r="GK31" s="273" t="s">
        <v>372</v>
      </c>
      <c r="GL31" s="211"/>
      <c r="GM31" s="211"/>
      <c r="GN31" s="211"/>
      <c r="GO31" s="211"/>
      <c r="GP31" s="211"/>
      <c r="GQ31" s="212"/>
      <c r="GR31" s="273" t="s">
        <v>373</v>
      </c>
      <c r="GS31" s="211"/>
      <c r="GT31" s="211"/>
      <c r="GU31" s="212"/>
      <c r="GV31" s="274"/>
      <c r="GW31" s="275"/>
      <c r="GX31" s="275"/>
      <c r="GY31" s="275"/>
      <c r="GZ31" s="275"/>
      <c r="HA31" s="275"/>
      <c r="HB31" s="275"/>
      <c r="HC31" s="275"/>
      <c r="HD31" s="275"/>
      <c r="HE31" s="275"/>
      <c r="HF31" s="275"/>
      <c r="HG31" s="275"/>
      <c r="HH31" s="275"/>
      <c r="HI31" s="275"/>
      <c r="HJ31" s="275"/>
      <c r="HK31" s="275"/>
      <c r="HL31" s="275"/>
      <c r="HM31" s="275"/>
      <c r="HN31" s="275"/>
      <c r="HO31" s="275"/>
      <c r="HP31" s="275"/>
      <c r="HQ31" s="276"/>
      <c r="HR31" s="277"/>
      <c r="HS31" s="277"/>
      <c r="HT31" s="277"/>
      <c r="HU31" s="277"/>
      <c r="HV31" s="278"/>
      <c r="HW31" s="279"/>
      <c r="HX31" s="279"/>
      <c r="HY31" s="279"/>
      <c r="HZ31" s="280"/>
      <c r="IA31" s="281"/>
      <c r="IB31" s="282"/>
      <c r="IC31" s="281"/>
      <c r="ID31" s="281"/>
      <c r="IE31" s="281"/>
      <c r="IF31" s="281"/>
      <c r="IG31" s="281"/>
      <c r="IH31" s="281"/>
      <c r="II31" s="270"/>
      <c r="IJ31" s="270"/>
      <c r="IK31" s="270"/>
      <c r="IL31" s="270"/>
      <c r="IM31" s="270"/>
      <c r="IN31" s="270"/>
      <c r="IO31" s="270"/>
      <c r="IP31" s="270"/>
      <c r="IQ31" s="270"/>
      <c r="IR31" s="270"/>
      <c r="IS31" s="270"/>
      <c r="IT31" s="270"/>
      <c r="IU31" s="270"/>
      <c r="IV31" s="283"/>
      <c r="IW31" s="283"/>
      <c r="IX31" s="283"/>
      <c r="IY31" s="283"/>
      <c r="IZ31" s="283"/>
      <c r="JA31" s="283"/>
      <c r="JB31" s="283"/>
      <c r="JC31" s="270"/>
      <c r="JD31" s="270"/>
      <c r="JE31" s="284"/>
      <c r="LL31" s="285"/>
      <c r="LM31" s="285"/>
      <c r="LN31" s="285"/>
      <c r="LO31" s="285"/>
      <c r="LP31" s="285"/>
      <c r="LQ31" s="285"/>
      <c r="LR31" s="285"/>
      <c r="LS31" s="285"/>
      <c r="LT31" s="285"/>
    </row>
    <row r="32" customFormat="false" ht="18.75" hidden="false" customHeight="false" outlineLevel="0" collapsed="false">
      <c r="A32" s="6"/>
      <c r="B32" s="286" t="s">
        <v>374</v>
      </c>
      <c r="C32" s="287"/>
      <c r="D32" s="287"/>
      <c r="E32" s="287"/>
      <c r="F32" s="288"/>
      <c r="G32" s="288"/>
      <c r="H32" s="288"/>
      <c r="I32" s="288"/>
      <c r="J32" s="288"/>
      <c r="K32" s="289" t="s">
        <v>375</v>
      </c>
      <c r="L32" s="289"/>
      <c r="M32" s="290" t="s">
        <v>376</v>
      </c>
      <c r="N32" s="291" t="s">
        <v>377</v>
      </c>
      <c r="O32" s="292"/>
      <c r="P32" s="293" t="s">
        <v>378</v>
      </c>
      <c r="Q32" s="292"/>
      <c r="R32" s="292"/>
      <c r="S32" s="293"/>
      <c r="T32" s="293"/>
      <c r="U32" s="293"/>
      <c r="V32" s="293"/>
      <c r="W32" s="293"/>
      <c r="X32" s="294" t="s">
        <v>379</v>
      </c>
      <c r="Y32" s="295" t="s">
        <v>380</v>
      </c>
      <c r="Z32" s="296" t="s">
        <v>381</v>
      </c>
      <c r="AA32" s="296" t="s">
        <v>382</v>
      </c>
      <c r="AB32" s="297" t="s">
        <v>383</v>
      </c>
      <c r="AC32" s="298" t="s">
        <v>384</v>
      </c>
      <c r="AD32" s="299" t="n">
        <f aca="false">AD36*AF32/100</f>
        <v>1901.11884736526</v>
      </c>
      <c r="AE32" s="298" t="s">
        <v>385</v>
      </c>
      <c r="AF32" s="299" t="n">
        <f aca="false">611.21*EXP((18.678-AC36/234.5)*AC36/(257.14+AC36))</f>
        <v>3168.53141227543</v>
      </c>
      <c r="AG32" s="298" t="s">
        <v>386</v>
      </c>
      <c r="AH32" s="300" t="n">
        <f aca="false">(AF32-AD32)/1000</f>
        <v>1.26741256491017</v>
      </c>
      <c r="AI32" s="295"/>
      <c r="AJ32" s="295" t="s">
        <v>387</v>
      </c>
      <c r="AK32" s="295"/>
      <c r="AL32" s="295"/>
      <c r="AM32" s="295"/>
      <c r="AN32" s="301" t="s">
        <v>388</v>
      </c>
      <c r="AO32" s="302" t="s">
        <v>389</v>
      </c>
      <c r="AP32" s="303" t="s">
        <v>390</v>
      </c>
      <c r="AQ32" s="304"/>
      <c r="AR32" s="305"/>
      <c r="AS32" s="306" t="s">
        <v>391</v>
      </c>
      <c r="AT32" s="307"/>
      <c r="AU32" s="307"/>
      <c r="AV32" s="307"/>
      <c r="AW32" s="307"/>
      <c r="AX32" s="308" t="s">
        <v>392</v>
      </c>
      <c r="AY32" s="309"/>
      <c r="AZ32" s="309"/>
      <c r="BA32" s="309"/>
      <c r="BB32" s="309"/>
      <c r="BC32" s="306" t="s">
        <v>393</v>
      </c>
      <c r="BD32" s="307"/>
      <c r="BE32" s="307"/>
      <c r="BF32" s="307"/>
      <c r="BG32" s="307"/>
      <c r="BH32" s="310"/>
      <c r="BI32" s="310"/>
      <c r="BJ32" s="310"/>
      <c r="BK32" s="305"/>
      <c r="BL32" s="311" t="s">
        <v>394</v>
      </c>
      <c r="BM32" s="311" t="n">
        <f aca="false">BL36*BM36*BM36*3.1416/4</f>
        <v>0.05780544</v>
      </c>
      <c r="BN32" s="311" t="s">
        <v>395</v>
      </c>
      <c r="BO32" s="309" t="s">
        <v>396</v>
      </c>
      <c r="BP32" s="312" t="n">
        <v>0.98</v>
      </c>
      <c r="BQ32" s="309" t="s">
        <v>397</v>
      </c>
      <c r="BR32" s="313"/>
      <c r="BS32" s="314" t="s">
        <v>398</v>
      </c>
      <c r="BT32" s="167" t="s">
        <v>399</v>
      </c>
      <c r="BU32" s="315" t="s">
        <v>400</v>
      </c>
      <c r="BV32" s="315"/>
      <c r="BW32" s="315"/>
      <c r="BX32" s="237" t="s">
        <v>401</v>
      </c>
      <c r="BY32" s="237" t="s">
        <v>402</v>
      </c>
      <c r="BZ32" s="237" t="s">
        <v>403</v>
      </c>
      <c r="CA32" s="237" t="s">
        <v>404</v>
      </c>
      <c r="CB32" s="237" t="s">
        <v>405</v>
      </c>
      <c r="CC32" s="237" t="s">
        <v>406</v>
      </c>
      <c r="CD32" s="237" t="s">
        <v>407</v>
      </c>
      <c r="CE32" s="237" t="s">
        <v>408</v>
      </c>
      <c r="CF32" s="237" t="s">
        <v>409</v>
      </c>
      <c r="CG32" s="237" t="s">
        <v>410</v>
      </c>
      <c r="CH32" s="237" t="s">
        <v>411</v>
      </c>
      <c r="CI32" s="316" t="s">
        <v>412</v>
      </c>
      <c r="CJ32" s="317"/>
      <c r="CK32" s="317"/>
      <c r="CL32" s="317"/>
      <c r="CM32" s="318"/>
      <c r="CN32" s="318"/>
      <c r="CO32" s="318"/>
      <c r="CP32" s="309" t="s">
        <v>413</v>
      </c>
      <c r="CQ32" s="311" t="s">
        <v>414</v>
      </c>
      <c r="CR32" s="309"/>
      <c r="CS32" s="312"/>
      <c r="CT32" s="319" t="s">
        <v>415</v>
      </c>
      <c r="CU32" s="319" t="s">
        <v>416</v>
      </c>
      <c r="CV32" s="320" t="s">
        <v>417</v>
      </c>
      <c r="CW32" s="320" t="s">
        <v>418</v>
      </c>
      <c r="CX32" s="319" t="s">
        <v>419</v>
      </c>
      <c r="CY32" s="320" t="s">
        <v>20</v>
      </c>
      <c r="CZ32" s="320" t="s">
        <v>420</v>
      </c>
      <c r="DA32" s="320"/>
      <c r="DB32" s="320" t="s">
        <v>421</v>
      </c>
      <c r="DC32" s="302" t="s">
        <v>416</v>
      </c>
      <c r="DD32" s="302" t="s">
        <v>422</v>
      </c>
      <c r="DE32" s="311" t="s">
        <v>417</v>
      </c>
      <c r="DF32" s="311" t="s">
        <v>418</v>
      </c>
      <c r="DG32" s="311" t="s">
        <v>423</v>
      </c>
      <c r="DH32" s="311"/>
      <c r="DI32" s="311" t="s">
        <v>424</v>
      </c>
      <c r="DJ32" s="311"/>
      <c r="DK32" s="321" t="s">
        <v>238</v>
      </c>
      <c r="DL32" s="322" t="s">
        <v>425</v>
      </c>
      <c r="DM32" s="323" t="s">
        <v>426</v>
      </c>
      <c r="DN32" s="324"/>
      <c r="DO32" s="316" t="s">
        <v>427</v>
      </c>
      <c r="DP32" s="316"/>
      <c r="DQ32" s="323" t="s">
        <v>424</v>
      </c>
      <c r="DR32" s="324"/>
      <c r="DS32" s="316" t="s">
        <v>417</v>
      </c>
      <c r="DT32" s="316" t="s">
        <v>418</v>
      </c>
      <c r="DU32" s="135" t="s">
        <v>428</v>
      </c>
      <c r="DV32" s="135" t="s">
        <v>429</v>
      </c>
      <c r="DW32" s="135"/>
      <c r="DX32" s="135"/>
      <c r="DY32" s="135" t="s">
        <v>430</v>
      </c>
      <c r="DZ32" s="135"/>
      <c r="EA32" s="325"/>
      <c r="EB32" s="325" t="s">
        <v>431</v>
      </c>
      <c r="EC32" s="325"/>
      <c r="ED32" s="325"/>
      <c r="EE32" s="325"/>
      <c r="EF32" s="325" t="s">
        <v>432</v>
      </c>
      <c r="EG32" s="265"/>
      <c r="EH32" s="266"/>
      <c r="EI32" s="135" t="s">
        <v>433</v>
      </c>
      <c r="EJ32" s="135" t="s">
        <v>434</v>
      </c>
      <c r="EK32" s="325" t="s">
        <v>435</v>
      </c>
      <c r="EL32" s="256" t="s">
        <v>367</v>
      </c>
      <c r="EM32" s="267"/>
      <c r="EN32" s="267" t="s">
        <v>436</v>
      </c>
      <c r="EO32" s="326" t="s">
        <v>437</v>
      </c>
      <c r="EP32" s="327" t="s">
        <v>438</v>
      </c>
      <c r="EQ32" s="328"/>
      <c r="ER32" s="328"/>
      <c r="ES32" s="328"/>
      <c r="ET32" s="329"/>
      <c r="EU32" s="330" t="s">
        <v>439</v>
      </c>
      <c r="EV32" s="326"/>
      <c r="EW32" s="326"/>
      <c r="EX32" s="326"/>
      <c r="EY32" s="326"/>
      <c r="EZ32" s="326"/>
      <c r="FA32" s="326"/>
      <c r="FB32" s="326"/>
      <c r="FC32" s="326"/>
      <c r="FD32" s="326"/>
      <c r="FE32" s="331"/>
      <c r="FF32" s="326"/>
      <c r="FG32" s="326"/>
      <c r="FH32" s="326"/>
      <c r="FI32" s="326"/>
      <c r="FJ32" s="260"/>
      <c r="FK32" s="260"/>
      <c r="FL32" s="260"/>
      <c r="FM32" s="260"/>
      <c r="FN32" s="267"/>
      <c r="FO32" s="332" t="s">
        <v>440</v>
      </c>
      <c r="FP32" s="333" t="s">
        <v>441</v>
      </c>
      <c r="FQ32" s="333" t="s">
        <v>442</v>
      </c>
      <c r="FR32" s="333" t="s">
        <v>443</v>
      </c>
      <c r="FS32" s="333" t="s">
        <v>444</v>
      </c>
      <c r="FT32" s="333" t="s">
        <v>445</v>
      </c>
      <c r="FU32" s="333" t="s">
        <v>446</v>
      </c>
      <c r="FV32" s="333" t="s">
        <v>447</v>
      </c>
      <c r="FW32" s="334" t="s">
        <v>448</v>
      </c>
      <c r="FX32" s="335" t="s">
        <v>449</v>
      </c>
      <c r="FY32" s="336" t="s">
        <v>450</v>
      </c>
      <c r="FZ32" s="337"/>
      <c r="GA32" s="337"/>
      <c r="GB32" s="338"/>
      <c r="GC32" s="337" t="s">
        <v>451</v>
      </c>
      <c r="GD32" s="337"/>
      <c r="GE32" s="337"/>
      <c r="GF32" s="338"/>
      <c r="GG32" s="339" t="s">
        <v>452</v>
      </c>
      <c r="GH32" s="211"/>
      <c r="GI32" s="211"/>
      <c r="GJ32" s="212"/>
      <c r="GK32" s="271" t="s">
        <v>453</v>
      </c>
      <c r="GL32" s="271" t="s">
        <v>454</v>
      </c>
      <c r="GM32" s="340"/>
      <c r="GN32" s="341"/>
      <c r="GO32" s="271" t="s">
        <v>12</v>
      </c>
      <c r="GP32" s="271"/>
      <c r="GQ32" s="271"/>
      <c r="GR32" s="211" t="s">
        <v>455</v>
      </c>
      <c r="GS32" s="211"/>
      <c r="GT32" s="211"/>
      <c r="GU32" s="212"/>
      <c r="GV32" s="342" t="s">
        <v>456</v>
      </c>
      <c r="GW32" s="343"/>
      <c r="GX32" s="343"/>
      <c r="GY32" s="343"/>
      <c r="GZ32" s="343"/>
      <c r="HA32" s="343"/>
      <c r="HB32" s="343"/>
      <c r="HC32" s="344"/>
      <c r="HD32" s="342" t="s">
        <v>457</v>
      </c>
      <c r="HE32" s="343"/>
      <c r="HF32" s="343"/>
      <c r="HG32" s="343"/>
      <c r="HH32" s="343"/>
      <c r="HI32" s="343"/>
      <c r="HJ32" s="343"/>
      <c r="HK32" s="343"/>
      <c r="HL32" s="342" t="s">
        <v>458</v>
      </c>
      <c r="HM32" s="342"/>
      <c r="HN32" s="342" t="s">
        <v>459</v>
      </c>
      <c r="HO32" s="343"/>
      <c r="HP32" s="343"/>
      <c r="HQ32" s="344"/>
      <c r="HR32" s="345" t="s">
        <v>460</v>
      </c>
      <c r="HS32" s="346"/>
      <c r="HT32" s="346"/>
      <c r="HU32" s="346"/>
      <c r="HV32" s="347" t="s">
        <v>461</v>
      </c>
      <c r="HW32" s="348"/>
      <c r="HX32" s="348"/>
      <c r="HY32" s="349"/>
      <c r="HZ32" s="350" t="s">
        <v>358</v>
      </c>
      <c r="IA32" s="351" t="s">
        <v>462</v>
      </c>
      <c r="IB32" s="352"/>
      <c r="IC32" s="353" t="s">
        <v>463</v>
      </c>
      <c r="ID32" s="354"/>
      <c r="IE32" s="350" t="s">
        <v>464</v>
      </c>
      <c r="IF32" s="350"/>
      <c r="IG32" s="350"/>
      <c r="IH32" s="350"/>
      <c r="II32" s="139" t="s">
        <v>465</v>
      </c>
      <c r="IJ32" s="139"/>
      <c r="IK32" s="139" t="s">
        <v>466</v>
      </c>
      <c r="IL32" s="139"/>
      <c r="IM32" s="139"/>
      <c r="IN32" s="139" t="s">
        <v>424</v>
      </c>
      <c r="IO32" s="139" t="s">
        <v>467</v>
      </c>
      <c r="IP32" s="139"/>
      <c r="IQ32" s="139"/>
      <c r="IR32" s="139" t="s">
        <v>468</v>
      </c>
      <c r="IS32" s="139"/>
      <c r="IT32" s="355" t="s">
        <v>469</v>
      </c>
      <c r="IU32" s="356"/>
      <c r="IV32" s="355" t="s">
        <v>470</v>
      </c>
      <c r="IW32" s="357"/>
      <c r="IX32" s="356"/>
      <c r="IY32" s="356"/>
      <c r="IZ32" s="355" t="s">
        <v>471</v>
      </c>
      <c r="JA32" s="356"/>
      <c r="JB32" s="358"/>
      <c r="JC32" s="338"/>
      <c r="JD32" s="139" t="s">
        <v>358</v>
      </c>
      <c r="JE32" s="139"/>
    </row>
    <row r="33" customFormat="false" ht="15.75" hidden="false" customHeight="false" outlineLevel="0" collapsed="false">
      <c r="A33" s="359"/>
      <c r="B33" s="360" t="s">
        <v>472</v>
      </c>
      <c r="C33" s="360" t="s">
        <v>473</v>
      </c>
      <c r="D33" s="360" t="s">
        <v>474</v>
      </c>
      <c r="E33" s="360" t="s">
        <v>475</v>
      </c>
      <c r="F33" s="360" t="s">
        <v>476</v>
      </c>
      <c r="G33" s="361" t="s">
        <v>477</v>
      </c>
      <c r="H33" s="361" t="s">
        <v>478</v>
      </c>
      <c r="I33" s="361" t="s">
        <v>479</v>
      </c>
      <c r="J33" s="361" t="s">
        <v>480</v>
      </c>
      <c r="K33" s="362" t="s">
        <v>481</v>
      </c>
      <c r="L33" s="362" t="s">
        <v>482</v>
      </c>
      <c r="M33" s="363" t="s">
        <v>483</v>
      </c>
      <c r="N33" s="364" t="s">
        <v>484</v>
      </c>
      <c r="O33" s="365" t="s">
        <v>485</v>
      </c>
      <c r="P33" s="366" t="s">
        <v>378</v>
      </c>
      <c r="Q33" s="367" t="s">
        <v>486</v>
      </c>
      <c r="R33" s="365" t="s">
        <v>487</v>
      </c>
      <c r="S33" s="368" t="s">
        <v>488</v>
      </c>
      <c r="T33" s="368" t="s">
        <v>489</v>
      </c>
      <c r="U33" s="368" t="s">
        <v>490</v>
      </c>
      <c r="V33" s="368" t="s">
        <v>491</v>
      </c>
      <c r="W33" s="368" t="s">
        <v>492</v>
      </c>
      <c r="X33" s="291" t="s">
        <v>493</v>
      </c>
      <c r="Y33" s="369" t="s">
        <v>242</v>
      </c>
      <c r="Z33" s="370" t="s">
        <v>494</v>
      </c>
      <c r="AA33" s="370" t="s">
        <v>495</v>
      </c>
      <c r="AB33" s="371" t="s">
        <v>496</v>
      </c>
      <c r="AC33" s="372" t="s">
        <v>497</v>
      </c>
      <c r="AD33" s="372" t="s">
        <v>498</v>
      </c>
      <c r="AE33" s="372" t="s">
        <v>499</v>
      </c>
      <c r="AF33" s="371" t="s">
        <v>500</v>
      </c>
      <c r="AG33" s="371" t="s">
        <v>501</v>
      </c>
      <c r="AH33" s="373" t="s">
        <v>502</v>
      </c>
      <c r="AI33" s="373" t="s">
        <v>503</v>
      </c>
      <c r="AJ33" s="371" t="s">
        <v>504</v>
      </c>
      <c r="AK33" s="371" t="s">
        <v>505</v>
      </c>
      <c r="AL33" s="371" t="s">
        <v>506</v>
      </c>
      <c r="AM33" s="371" t="s">
        <v>507</v>
      </c>
      <c r="AN33" s="371" t="s">
        <v>508</v>
      </c>
      <c r="AO33" s="374" t="s">
        <v>509</v>
      </c>
      <c r="AP33" s="374" t="s">
        <v>510</v>
      </c>
      <c r="AQ33" s="374" t="s">
        <v>511</v>
      </c>
      <c r="AR33" s="374" t="s">
        <v>512</v>
      </c>
      <c r="AS33" s="315" t="s">
        <v>34</v>
      </c>
      <c r="AT33" s="315" t="s">
        <v>35</v>
      </c>
      <c r="AU33" s="375" t="s">
        <v>36</v>
      </c>
      <c r="AV33" s="315" t="s">
        <v>37</v>
      </c>
      <c r="AW33" s="376" t="s">
        <v>513</v>
      </c>
      <c r="AX33" s="377" t="s">
        <v>34</v>
      </c>
      <c r="AY33" s="377" t="s">
        <v>35</v>
      </c>
      <c r="AZ33" s="378" t="s">
        <v>36</v>
      </c>
      <c r="BA33" s="377" t="s">
        <v>37</v>
      </c>
      <c r="BB33" s="379" t="s">
        <v>513</v>
      </c>
      <c r="BC33" s="315" t="s">
        <v>34</v>
      </c>
      <c r="BD33" s="315" t="s">
        <v>35</v>
      </c>
      <c r="BE33" s="375" t="s">
        <v>36</v>
      </c>
      <c r="BF33" s="315" t="s">
        <v>37</v>
      </c>
      <c r="BG33" s="376" t="s">
        <v>513</v>
      </c>
      <c r="BH33" s="379" t="s">
        <v>514</v>
      </c>
      <c r="BI33" s="379" t="s">
        <v>515</v>
      </c>
      <c r="BJ33" s="379" t="s">
        <v>515</v>
      </c>
      <c r="BK33" s="379" t="s">
        <v>515</v>
      </c>
      <c r="BL33" s="379" t="s">
        <v>516</v>
      </c>
      <c r="BM33" s="379" t="s">
        <v>517</v>
      </c>
      <c r="BN33" s="380" t="s">
        <v>518</v>
      </c>
      <c r="BO33" s="380" t="s">
        <v>519</v>
      </c>
      <c r="BP33" s="380" t="s">
        <v>520</v>
      </c>
      <c r="BQ33" s="379" t="s">
        <v>521</v>
      </c>
      <c r="BR33" s="379" t="s">
        <v>522</v>
      </c>
      <c r="BS33" s="379" t="s">
        <v>523</v>
      </c>
      <c r="BT33" s="379" t="s">
        <v>524</v>
      </c>
      <c r="BU33" s="315" t="s">
        <v>525</v>
      </c>
      <c r="BV33" s="315" t="s">
        <v>526</v>
      </c>
      <c r="BW33" s="315" t="s">
        <v>527</v>
      </c>
      <c r="BX33" s="381" t="s">
        <v>528</v>
      </c>
      <c r="BY33" s="381" t="s">
        <v>529</v>
      </c>
      <c r="BZ33" s="381" t="s">
        <v>530</v>
      </c>
      <c r="CA33" s="381"/>
      <c r="CB33" s="381" t="s">
        <v>531</v>
      </c>
      <c r="CC33" s="381" t="s">
        <v>532</v>
      </c>
      <c r="CD33" s="381" t="s">
        <v>530</v>
      </c>
      <c r="CE33" s="381" t="s">
        <v>381</v>
      </c>
      <c r="CF33" s="381" t="s">
        <v>381</v>
      </c>
      <c r="CG33" s="381" t="s">
        <v>531</v>
      </c>
      <c r="CH33" s="381" t="s">
        <v>529</v>
      </c>
      <c r="CI33" s="382" t="s">
        <v>217</v>
      </c>
      <c r="CJ33" s="317" t="s">
        <v>533</v>
      </c>
      <c r="CK33" s="317" t="s">
        <v>534</v>
      </c>
      <c r="CL33" s="317" t="s">
        <v>535</v>
      </c>
      <c r="CM33" s="318" t="s">
        <v>297</v>
      </c>
      <c r="CN33" s="318" t="s">
        <v>536</v>
      </c>
      <c r="CO33" s="318" t="s">
        <v>537</v>
      </c>
      <c r="CP33" s="309" t="s">
        <v>466</v>
      </c>
      <c r="CQ33" s="380" t="s">
        <v>538</v>
      </c>
      <c r="CR33" s="380" t="s">
        <v>539</v>
      </c>
      <c r="CS33" s="380" t="s">
        <v>540</v>
      </c>
      <c r="CT33" s="376" t="s">
        <v>37</v>
      </c>
      <c r="CU33" s="376" t="s">
        <v>466</v>
      </c>
      <c r="CV33" s="376" t="s">
        <v>529</v>
      </c>
      <c r="CW33" s="376" t="s">
        <v>529</v>
      </c>
      <c r="CX33" s="376" t="s">
        <v>541</v>
      </c>
      <c r="CY33" s="376" t="s">
        <v>542</v>
      </c>
      <c r="CZ33" s="376" t="s">
        <v>543</v>
      </c>
      <c r="DA33" s="376" t="s">
        <v>544</v>
      </c>
      <c r="DB33" s="376" t="s">
        <v>545</v>
      </c>
      <c r="DC33" s="379" t="s">
        <v>466</v>
      </c>
      <c r="DD33" s="379" t="s">
        <v>541</v>
      </c>
      <c r="DE33" s="379" t="s">
        <v>529</v>
      </c>
      <c r="DF33" s="379" t="s">
        <v>529</v>
      </c>
      <c r="DG33" s="379" t="s">
        <v>529</v>
      </c>
      <c r="DH33" s="379" t="s">
        <v>546</v>
      </c>
      <c r="DI33" s="379" t="s">
        <v>547</v>
      </c>
      <c r="DJ33" s="379" t="s">
        <v>548</v>
      </c>
      <c r="DK33" s="383" t="s">
        <v>466</v>
      </c>
      <c r="DL33" s="382" t="s">
        <v>541</v>
      </c>
      <c r="DM33" s="382" t="s">
        <v>549</v>
      </c>
      <c r="DN33" s="382" t="s">
        <v>550</v>
      </c>
      <c r="DO33" s="382" t="s">
        <v>551</v>
      </c>
      <c r="DP33" s="382" t="s">
        <v>552</v>
      </c>
      <c r="DQ33" s="382" t="s">
        <v>553</v>
      </c>
      <c r="DR33" s="382" t="s">
        <v>554</v>
      </c>
      <c r="DS33" s="382" t="s">
        <v>529</v>
      </c>
      <c r="DT33" s="382" t="s">
        <v>529</v>
      </c>
      <c r="DU33" s="135" t="s">
        <v>530</v>
      </c>
      <c r="DV33" s="135" t="s">
        <v>555</v>
      </c>
      <c r="DW33" s="135"/>
      <c r="DX33" s="135"/>
      <c r="DY33" s="135" t="s">
        <v>556</v>
      </c>
      <c r="DZ33" s="384" t="s">
        <v>557</v>
      </c>
      <c r="EA33" s="384" t="s">
        <v>558</v>
      </c>
      <c r="EB33" s="385" t="s">
        <v>559</v>
      </c>
      <c r="EC33" s="385" t="s">
        <v>560</v>
      </c>
      <c r="ED33" s="385" t="s">
        <v>561</v>
      </c>
      <c r="EE33" s="385" t="s">
        <v>562</v>
      </c>
      <c r="EF33" s="386" t="s">
        <v>563</v>
      </c>
      <c r="EG33" s="384" t="s">
        <v>564</v>
      </c>
      <c r="EH33" s="384" t="s">
        <v>565</v>
      </c>
      <c r="EI33" s="384" t="s">
        <v>566</v>
      </c>
      <c r="EJ33" s="387" t="s">
        <v>567</v>
      </c>
      <c r="EK33" s="387" t="s">
        <v>568</v>
      </c>
      <c r="EL33" s="388" t="s">
        <v>504</v>
      </c>
      <c r="EM33" s="388" t="s">
        <v>569</v>
      </c>
      <c r="EN33" s="389" t="s">
        <v>570</v>
      </c>
      <c r="EO33" s="390" t="s">
        <v>571</v>
      </c>
      <c r="EP33" s="391" t="s">
        <v>69</v>
      </c>
      <c r="EQ33" s="389" t="s">
        <v>572</v>
      </c>
      <c r="ER33" s="389" t="s">
        <v>573</v>
      </c>
      <c r="ES33" s="384" t="s">
        <v>574</v>
      </c>
      <c r="ET33" s="384" t="s">
        <v>575</v>
      </c>
      <c r="EU33" s="389" t="s">
        <v>576</v>
      </c>
      <c r="EV33" s="389"/>
      <c r="EW33" s="389"/>
      <c r="EX33" s="389" t="s">
        <v>577</v>
      </c>
      <c r="EY33" s="392" t="s">
        <v>578</v>
      </c>
      <c r="EZ33" s="389" t="s">
        <v>579</v>
      </c>
      <c r="FA33" s="393" t="s">
        <v>580</v>
      </c>
      <c r="FB33" s="389" t="s">
        <v>581</v>
      </c>
      <c r="FC33" s="389" t="s">
        <v>582</v>
      </c>
      <c r="FD33" s="389" t="s">
        <v>583</v>
      </c>
      <c r="FE33" s="394" t="s">
        <v>584</v>
      </c>
      <c r="FF33" s="389" t="s">
        <v>585</v>
      </c>
      <c r="FG33" s="389" t="s">
        <v>586</v>
      </c>
      <c r="FH33" s="389" t="s">
        <v>587</v>
      </c>
      <c r="FI33" s="389" t="s">
        <v>588</v>
      </c>
      <c r="FJ33" s="389" t="s">
        <v>589</v>
      </c>
      <c r="FK33" s="389" t="s">
        <v>590</v>
      </c>
      <c r="FL33" s="389" t="s">
        <v>591</v>
      </c>
      <c r="FM33" s="389" t="s">
        <v>592</v>
      </c>
      <c r="FN33" s="389" t="s">
        <v>593</v>
      </c>
      <c r="FO33" s="387"/>
      <c r="FP33" s="387" t="s">
        <v>594</v>
      </c>
      <c r="FQ33" s="387" t="s">
        <v>594</v>
      </c>
      <c r="FR33" s="387" t="s">
        <v>595</v>
      </c>
      <c r="FS33" s="387" t="s">
        <v>594</v>
      </c>
      <c r="FT33" s="387"/>
      <c r="FU33" s="395" t="s">
        <v>596</v>
      </c>
      <c r="FV33" s="395" t="s">
        <v>597</v>
      </c>
      <c r="FW33" s="396"/>
      <c r="FX33" s="389" t="s">
        <v>598</v>
      </c>
      <c r="FY33" s="397" t="s">
        <v>599</v>
      </c>
      <c r="FZ33" s="397" t="s">
        <v>600</v>
      </c>
      <c r="GA33" s="397" t="s">
        <v>601</v>
      </c>
      <c r="GB33" s="397" t="s">
        <v>602</v>
      </c>
      <c r="GC33" s="397" t="s">
        <v>603</v>
      </c>
      <c r="GD33" s="397" t="s">
        <v>604</v>
      </c>
      <c r="GE33" s="397" t="s">
        <v>605</v>
      </c>
      <c r="GF33" s="397" t="s">
        <v>606</v>
      </c>
      <c r="GG33" s="398" t="s">
        <v>607</v>
      </c>
      <c r="GH33" s="399" t="s">
        <v>608</v>
      </c>
      <c r="GI33" s="399" t="s">
        <v>609</v>
      </c>
      <c r="GJ33" s="399" t="s">
        <v>610</v>
      </c>
      <c r="GK33" s="400" t="s">
        <v>611</v>
      </c>
      <c r="GL33" s="400" t="s">
        <v>612</v>
      </c>
      <c r="GM33" s="400" t="s">
        <v>613</v>
      </c>
      <c r="GN33" s="400" t="s">
        <v>614</v>
      </c>
      <c r="GO33" s="400" t="s">
        <v>615</v>
      </c>
      <c r="GP33" s="400" t="s">
        <v>616</v>
      </c>
      <c r="GQ33" s="400" t="s">
        <v>617</v>
      </c>
      <c r="GR33" s="400" t="s">
        <v>618</v>
      </c>
      <c r="GS33" s="400" t="s">
        <v>619</v>
      </c>
      <c r="GT33" s="400" t="s">
        <v>620</v>
      </c>
      <c r="GU33" s="400" t="s">
        <v>621</v>
      </c>
      <c r="GV33" s="345" t="s">
        <v>622</v>
      </c>
      <c r="GW33" s="345" t="s">
        <v>623</v>
      </c>
      <c r="GX33" s="345" t="s">
        <v>624</v>
      </c>
      <c r="GY33" s="401" t="s">
        <v>625</v>
      </c>
      <c r="GZ33" s="401" t="s">
        <v>626</v>
      </c>
      <c r="HA33" s="401" t="s">
        <v>627</v>
      </c>
      <c r="HB33" s="401" t="s">
        <v>628</v>
      </c>
      <c r="HC33" s="401" t="s">
        <v>629</v>
      </c>
      <c r="HD33" s="401" t="s">
        <v>630</v>
      </c>
      <c r="HE33" s="401" t="s">
        <v>631</v>
      </c>
      <c r="HF33" s="401" t="s">
        <v>632</v>
      </c>
      <c r="HG33" s="401" t="s">
        <v>633</v>
      </c>
      <c r="HH33" s="401" t="s">
        <v>634</v>
      </c>
      <c r="HI33" s="401" t="s">
        <v>635</v>
      </c>
      <c r="HJ33" s="401" t="s">
        <v>636</v>
      </c>
      <c r="HK33" s="402" t="s">
        <v>637</v>
      </c>
      <c r="HL33" s="401" t="s">
        <v>638</v>
      </c>
      <c r="HM33" s="401" t="s">
        <v>639</v>
      </c>
      <c r="HN33" s="401" t="s">
        <v>146</v>
      </c>
      <c r="HO33" s="401" t="s">
        <v>101</v>
      </c>
      <c r="HP33" s="401" t="s">
        <v>328</v>
      </c>
      <c r="HQ33" s="401" t="s">
        <v>341</v>
      </c>
      <c r="HR33" s="345" t="s">
        <v>460</v>
      </c>
      <c r="HS33" s="345"/>
      <c r="HT33" s="345"/>
      <c r="HU33" s="345"/>
      <c r="HV33" s="403" t="s">
        <v>640</v>
      </c>
      <c r="HW33" s="403" t="s">
        <v>641</v>
      </c>
      <c r="HX33" s="403" t="s">
        <v>642</v>
      </c>
      <c r="HY33" s="403" t="s">
        <v>643</v>
      </c>
      <c r="HZ33" s="370" t="s">
        <v>452</v>
      </c>
      <c r="IA33" s="370" t="s">
        <v>644</v>
      </c>
      <c r="IB33" s="370" t="s">
        <v>645</v>
      </c>
      <c r="IC33" s="370" t="s">
        <v>646</v>
      </c>
      <c r="ID33" s="370" t="s">
        <v>647</v>
      </c>
      <c r="IE33" s="370" t="s">
        <v>648</v>
      </c>
      <c r="IF33" s="370" t="s">
        <v>649</v>
      </c>
      <c r="IG33" s="370" t="s">
        <v>650</v>
      </c>
      <c r="IH33" s="370" t="s">
        <v>651</v>
      </c>
      <c r="II33" s="397" t="s">
        <v>652</v>
      </c>
      <c r="IJ33" s="397" t="s">
        <v>653</v>
      </c>
      <c r="IK33" s="397" t="s">
        <v>654</v>
      </c>
      <c r="IL33" s="397" t="s">
        <v>655</v>
      </c>
      <c r="IM33" s="397" t="s">
        <v>656</v>
      </c>
      <c r="IN33" s="397" t="s">
        <v>657</v>
      </c>
      <c r="IO33" s="397" t="s">
        <v>658</v>
      </c>
      <c r="IP33" s="397" t="s">
        <v>659</v>
      </c>
      <c r="IQ33" s="397" t="s">
        <v>660</v>
      </c>
      <c r="IR33" s="397" t="s">
        <v>661</v>
      </c>
      <c r="IS33" s="397" t="s">
        <v>662</v>
      </c>
      <c r="IT33" s="397" t="s">
        <v>663</v>
      </c>
      <c r="IU33" s="397" t="s">
        <v>664</v>
      </c>
      <c r="IV33" s="404" t="s">
        <v>665</v>
      </c>
      <c r="IW33" s="404" t="s">
        <v>666</v>
      </c>
      <c r="IX33" s="404" t="s">
        <v>667</v>
      </c>
      <c r="IY33" s="404" t="s">
        <v>668</v>
      </c>
      <c r="IZ33" s="404" t="s">
        <v>586</v>
      </c>
      <c r="JA33" s="404" t="s">
        <v>587</v>
      </c>
      <c r="JB33" s="404" t="s">
        <v>588</v>
      </c>
      <c r="JC33" s="397" t="s">
        <v>669</v>
      </c>
      <c r="JD33" s="397" t="s">
        <v>646</v>
      </c>
      <c r="JE33" s="397" t="s">
        <v>670</v>
      </c>
    </row>
    <row r="34" customFormat="false" ht="15.75" hidden="false" customHeight="false" outlineLevel="0" collapsed="false">
      <c r="A34" s="405" t="n">
        <f aca="false">MAX(C35:MQ35)</f>
        <v>263</v>
      </c>
      <c r="B34" s="406" t="s">
        <v>671</v>
      </c>
      <c r="C34" s="406" t="s">
        <v>672</v>
      </c>
      <c r="D34" s="406" t="s">
        <v>673</v>
      </c>
      <c r="E34" s="406" t="s">
        <v>674</v>
      </c>
      <c r="F34" s="406" t="s">
        <v>675</v>
      </c>
      <c r="G34" s="406" t="s">
        <v>676</v>
      </c>
      <c r="H34" s="406" t="s">
        <v>677</v>
      </c>
      <c r="I34" s="406" t="s">
        <v>678</v>
      </c>
      <c r="J34" s="406" t="s">
        <v>679</v>
      </c>
      <c r="K34" s="406" t="s">
        <v>680</v>
      </c>
      <c r="L34" s="406" t="s">
        <v>681</v>
      </c>
      <c r="M34" s="406" t="s">
        <v>682</v>
      </c>
      <c r="N34" s="406" t="s">
        <v>683</v>
      </c>
      <c r="O34" s="406" t="s">
        <v>684</v>
      </c>
      <c r="P34" s="406" t="s">
        <v>685</v>
      </c>
      <c r="Q34" s="406" t="s">
        <v>686</v>
      </c>
      <c r="R34" s="406" t="s">
        <v>687</v>
      </c>
      <c r="S34" s="406" t="s">
        <v>688</v>
      </c>
      <c r="T34" s="406" t="s">
        <v>689</v>
      </c>
      <c r="U34" s="406" t="s">
        <v>690</v>
      </c>
      <c r="V34" s="406" t="s">
        <v>691</v>
      </c>
      <c r="W34" s="406" t="s">
        <v>692</v>
      </c>
      <c r="X34" s="406" t="s">
        <v>693</v>
      </c>
      <c r="Y34" s="407" t="s">
        <v>694</v>
      </c>
      <c r="Z34" s="407" t="s">
        <v>695</v>
      </c>
      <c r="AA34" s="407" t="s">
        <v>696</v>
      </c>
      <c r="AB34" s="407" t="s">
        <v>697</v>
      </c>
      <c r="AC34" s="407" t="s">
        <v>698</v>
      </c>
      <c r="AD34" s="407" t="s">
        <v>699</v>
      </c>
      <c r="AE34" s="407" t="s">
        <v>700</v>
      </c>
      <c r="AF34" s="407" t="s">
        <v>701</v>
      </c>
      <c r="AG34" s="407" t="s">
        <v>702</v>
      </c>
      <c r="AH34" s="408" t="s">
        <v>703</v>
      </c>
      <c r="AI34" s="408" t="s">
        <v>704</v>
      </c>
      <c r="AJ34" s="407" t="s">
        <v>705</v>
      </c>
      <c r="AK34" s="407" t="s">
        <v>706</v>
      </c>
      <c r="AL34" s="407" t="s">
        <v>707</v>
      </c>
      <c r="AM34" s="407" t="s">
        <v>708</v>
      </c>
      <c r="AN34" s="407" t="s">
        <v>709</v>
      </c>
      <c r="AO34" s="407" t="s">
        <v>710</v>
      </c>
      <c r="AP34" s="407" t="s">
        <v>711</v>
      </c>
      <c r="AQ34" s="407" t="s">
        <v>712</v>
      </c>
      <c r="AR34" s="407" t="s">
        <v>713</v>
      </c>
      <c r="AS34" s="407" t="s">
        <v>714</v>
      </c>
      <c r="AT34" s="407" t="s">
        <v>715</v>
      </c>
      <c r="AU34" s="407" t="s">
        <v>716</v>
      </c>
      <c r="AV34" s="407" t="s">
        <v>717</v>
      </c>
      <c r="AW34" s="407" t="s">
        <v>718</v>
      </c>
      <c r="AX34" s="407" t="s">
        <v>719</v>
      </c>
      <c r="AY34" s="407" t="s">
        <v>720</v>
      </c>
      <c r="AZ34" s="407" t="s">
        <v>721</v>
      </c>
      <c r="BA34" s="407" t="s">
        <v>722</v>
      </c>
      <c r="BB34" s="407" t="s">
        <v>723</v>
      </c>
      <c r="BC34" s="407" t="s">
        <v>724</v>
      </c>
      <c r="BD34" s="407" t="s">
        <v>725</v>
      </c>
      <c r="BE34" s="407" t="s">
        <v>726</v>
      </c>
      <c r="BF34" s="407" t="s">
        <v>727</v>
      </c>
      <c r="BG34" s="407" t="s">
        <v>728</v>
      </c>
      <c r="BH34" s="407" t="s">
        <v>729</v>
      </c>
      <c r="BI34" s="407" t="s">
        <v>730</v>
      </c>
      <c r="BJ34" s="407" t="s">
        <v>731</v>
      </c>
      <c r="BK34" s="407" t="s">
        <v>732</v>
      </c>
      <c r="BL34" s="407" t="s">
        <v>733</v>
      </c>
      <c r="BM34" s="407" t="s">
        <v>734</v>
      </c>
      <c r="BN34" s="407" t="s">
        <v>735</v>
      </c>
      <c r="BO34" s="407" t="s">
        <v>736</v>
      </c>
      <c r="BP34" s="407" t="s">
        <v>737</v>
      </c>
      <c r="BQ34" s="407" t="s">
        <v>738</v>
      </c>
      <c r="BR34" s="407" t="s">
        <v>739</v>
      </c>
      <c r="BS34" s="407" t="s">
        <v>740</v>
      </c>
      <c r="BT34" s="407" t="s">
        <v>741</v>
      </c>
      <c r="BU34" s="407" t="s">
        <v>742</v>
      </c>
      <c r="BV34" s="407" t="s">
        <v>743</v>
      </c>
      <c r="BW34" s="407" t="s">
        <v>744</v>
      </c>
      <c r="BX34" s="407" t="s">
        <v>745</v>
      </c>
      <c r="BY34" s="407" t="s">
        <v>746</v>
      </c>
      <c r="BZ34" s="407" t="s">
        <v>747</v>
      </c>
      <c r="CA34" s="407" t="s">
        <v>748</v>
      </c>
      <c r="CB34" s="407" t="s">
        <v>749</v>
      </c>
      <c r="CC34" s="407" t="s">
        <v>750</v>
      </c>
      <c r="CD34" s="407" t="s">
        <v>751</v>
      </c>
      <c r="CE34" s="407" t="s">
        <v>752</v>
      </c>
      <c r="CF34" s="407" t="s">
        <v>753</v>
      </c>
      <c r="CG34" s="407" t="s">
        <v>754</v>
      </c>
      <c r="CH34" s="407" t="s">
        <v>755</v>
      </c>
      <c r="CI34" s="407" t="s">
        <v>756</v>
      </c>
      <c r="CJ34" s="409" t="s">
        <v>757</v>
      </c>
      <c r="CK34" s="409" t="s">
        <v>758</v>
      </c>
      <c r="CL34" s="410" t="s">
        <v>759</v>
      </c>
      <c r="CM34" s="408" t="s">
        <v>760</v>
      </c>
      <c r="CN34" s="408" t="s">
        <v>761</v>
      </c>
      <c r="CO34" s="408" t="s">
        <v>762</v>
      </c>
      <c r="CP34" s="408" t="s">
        <v>763</v>
      </c>
      <c r="CQ34" s="407" t="s">
        <v>764</v>
      </c>
      <c r="CR34" s="407" t="s">
        <v>765</v>
      </c>
      <c r="CS34" s="407" t="s">
        <v>766</v>
      </c>
      <c r="CT34" s="407" t="s">
        <v>767</v>
      </c>
      <c r="CU34" s="407" t="s">
        <v>768</v>
      </c>
      <c r="CV34" s="407" t="s">
        <v>769</v>
      </c>
      <c r="CW34" s="407" t="s">
        <v>770</v>
      </c>
      <c r="CX34" s="407" t="s">
        <v>771</v>
      </c>
      <c r="CY34" s="407" t="s">
        <v>772</v>
      </c>
      <c r="CZ34" s="407" t="s">
        <v>773</v>
      </c>
      <c r="DA34" s="407" t="s">
        <v>774</v>
      </c>
      <c r="DB34" s="407" t="s">
        <v>775</v>
      </c>
      <c r="DC34" s="407" t="s">
        <v>776</v>
      </c>
      <c r="DD34" s="407" t="s">
        <v>777</v>
      </c>
      <c r="DE34" s="407" t="s">
        <v>778</v>
      </c>
      <c r="DF34" s="407" t="s">
        <v>779</v>
      </c>
      <c r="DG34" s="407" t="s">
        <v>780</v>
      </c>
      <c r="DH34" s="407" t="s">
        <v>781</v>
      </c>
      <c r="DI34" s="407" t="s">
        <v>782</v>
      </c>
      <c r="DJ34" s="407" t="s">
        <v>783</v>
      </c>
      <c r="DK34" s="407" t="s">
        <v>784</v>
      </c>
      <c r="DL34" s="407" t="s">
        <v>785</v>
      </c>
      <c r="DM34" s="407" t="s">
        <v>786</v>
      </c>
      <c r="DN34" s="407" t="s">
        <v>787</v>
      </c>
      <c r="DO34" s="407" t="s">
        <v>788</v>
      </c>
      <c r="DP34" s="407" t="s">
        <v>789</v>
      </c>
      <c r="DQ34" s="407" t="s">
        <v>790</v>
      </c>
      <c r="DR34" s="407" t="s">
        <v>791</v>
      </c>
      <c r="DS34" s="407" t="s">
        <v>792</v>
      </c>
      <c r="DT34" s="407" t="s">
        <v>793</v>
      </c>
      <c r="DU34" s="407" t="s">
        <v>794</v>
      </c>
      <c r="DV34" s="407" t="s">
        <v>795</v>
      </c>
      <c r="DW34" s="407" t="s">
        <v>796</v>
      </c>
      <c r="DX34" s="407" t="s">
        <v>797</v>
      </c>
      <c r="DY34" s="407" t="s">
        <v>798</v>
      </c>
      <c r="DZ34" s="407" t="s">
        <v>799</v>
      </c>
      <c r="EA34" s="407" t="s">
        <v>800</v>
      </c>
      <c r="EB34" s="407" t="s">
        <v>801</v>
      </c>
      <c r="EC34" s="407" t="s">
        <v>802</v>
      </c>
      <c r="ED34" s="407" t="s">
        <v>803</v>
      </c>
      <c r="EE34" s="407" t="s">
        <v>804</v>
      </c>
      <c r="EF34" s="407" t="s">
        <v>805</v>
      </c>
      <c r="EG34" s="407" t="s">
        <v>806</v>
      </c>
      <c r="EH34" s="407" t="s">
        <v>807</v>
      </c>
      <c r="EI34" s="407" t="s">
        <v>808</v>
      </c>
      <c r="EJ34" s="407" t="s">
        <v>809</v>
      </c>
      <c r="EK34" s="407" t="s">
        <v>810</v>
      </c>
      <c r="EL34" s="407" t="s">
        <v>811</v>
      </c>
      <c r="EM34" s="407" t="s">
        <v>812</v>
      </c>
      <c r="EN34" s="407" t="s">
        <v>813</v>
      </c>
      <c r="EO34" s="407" t="s">
        <v>814</v>
      </c>
      <c r="EP34" s="407" t="s">
        <v>815</v>
      </c>
      <c r="EQ34" s="407" t="s">
        <v>816</v>
      </c>
      <c r="ER34" s="407" t="s">
        <v>817</v>
      </c>
      <c r="ES34" s="407" t="s">
        <v>818</v>
      </c>
      <c r="ET34" s="407" t="s">
        <v>819</v>
      </c>
      <c r="EU34" s="407" t="s">
        <v>820</v>
      </c>
      <c r="EV34" s="407" t="s">
        <v>821</v>
      </c>
      <c r="EW34" s="407" t="s">
        <v>822</v>
      </c>
      <c r="EX34" s="407" t="s">
        <v>823</v>
      </c>
      <c r="EY34" s="407" t="s">
        <v>824</v>
      </c>
      <c r="EZ34" s="407" t="s">
        <v>825</v>
      </c>
      <c r="FA34" s="407" t="s">
        <v>826</v>
      </c>
      <c r="FB34" s="407" t="s">
        <v>827</v>
      </c>
      <c r="FC34" s="407" t="s">
        <v>828</v>
      </c>
      <c r="FD34" s="407" t="s">
        <v>829</v>
      </c>
      <c r="FE34" s="407" t="s">
        <v>830</v>
      </c>
      <c r="FF34" s="407" t="s">
        <v>831</v>
      </c>
      <c r="FG34" s="407" t="s">
        <v>832</v>
      </c>
      <c r="FH34" s="407" t="s">
        <v>833</v>
      </c>
      <c r="FI34" s="407" t="s">
        <v>834</v>
      </c>
      <c r="FJ34" s="407" t="s">
        <v>835</v>
      </c>
      <c r="FK34" s="407" t="s">
        <v>836</v>
      </c>
      <c r="FL34" s="407" t="s">
        <v>837</v>
      </c>
      <c r="FM34" s="407" t="s">
        <v>838</v>
      </c>
      <c r="FN34" s="407" t="s">
        <v>839</v>
      </c>
      <c r="FO34" s="407" t="s">
        <v>840</v>
      </c>
      <c r="FP34" s="407" t="s">
        <v>841</v>
      </c>
      <c r="FQ34" s="407" t="s">
        <v>842</v>
      </c>
      <c r="FR34" s="407" t="s">
        <v>843</v>
      </c>
      <c r="FS34" s="407" t="s">
        <v>844</v>
      </c>
      <c r="FT34" s="407" t="s">
        <v>845</v>
      </c>
      <c r="FU34" s="407" t="s">
        <v>846</v>
      </c>
      <c r="FV34" s="407" t="s">
        <v>847</v>
      </c>
      <c r="FW34" s="407" t="s">
        <v>848</v>
      </c>
      <c r="FX34" s="407" t="s">
        <v>849</v>
      </c>
      <c r="FY34" s="407" t="s">
        <v>850</v>
      </c>
      <c r="FZ34" s="407" t="s">
        <v>851</v>
      </c>
      <c r="GA34" s="407" t="s">
        <v>852</v>
      </c>
      <c r="GB34" s="407" t="s">
        <v>853</v>
      </c>
      <c r="GC34" s="407" t="s">
        <v>854</v>
      </c>
      <c r="GD34" s="407" t="s">
        <v>855</v>
      </c>
      <c r="GE34" s="407" t="s">
        <v>856</v>
      </c>
      <c r="GF34" s="407" t="s">
        <v>857</v>
      </c>
      <c r="GG34" s="407" t="s">
        <v>858</v>
      </c>
      <c r="GH34" s="407" t="s">
        <v>859</v>
      </c>
      <c r="GI34" s="407" t="s">
        <v>860</v>
      </c>
      <c r="GJ34" s="407" t="s">
        <v>861</v>
      </c>
      <c r="GK34" s="407" t="s">
        <v>862</v>
      </c>
      <c r="GL34" s="407" t="s">
        <v>863</v>
      </c>
      <c r="GM34" s="407" t="s">
        <v>864</v>
      </c>
      <c r="GN34" s="407" t="s">
        <v>865</v>
      </c>
      <c r="GO34" s="407" t="s">
        <v>866</v>
      </c>
      <c r="GP34" s="407" t="s">
        <v>867</v>
      </c>
      <c r="GQ34" s="407" t="s">
        <v>868</v>
      </c>
      <c r="GR34" s="407" t="s">
        <v>869</v>
      </c>
      <c r="GS34" s="407" t="s">
        <v>870</v>
      </c>
      <c r="GT34" s="407" t="s">
        <v>871</v>
      </c>
      <c r="GU34" s="407" t="s">
        <v>872</v>
      </c>
      <c r="GV34" s="407" t="s">
        <v>873</v>
      </c>
      <c r="GW34" s="407" t="s">
        <v>874</v>
      </c>
      <c r="GX34" s="407" t="s">
        <v>875</v>
      </c>
      <c r="GY34" s="407" t="s">
        <v>876</v>
      </c>
      <c r="GZ34" s="407" t="s">
        <v>877</v>
      </c>
      <c r="HA34" s="407" t="s">
        <v>878</v>
      </c>
      <c r="HB34" s="407" t="s">
        <v>879</v>
      </c>
      <c r="HC34" s="407" t="s">
        <v>880</v>
      </c>
      <c r="HD34" s="407" t="s">
        <v>881</v>
      </c>
      <c r="HE34" s="407" t="s">
        <v>882</v>
      </c>
      <c r="HF34" s="407" t="s">
        <v>883</v>
      </c>
      <c r="HG34" s="407" t="s">
        <v>884</v>
      </c>
      <c r="HH34" s="407" t="s">
        <v>885</v>
      </c>
      <c r="HI34" s="407" t="s">
        <v>886</v>
      </c>
      <c r="HJ34" s="407" t="s">
        <v>887</v>
      </c>
      <c r="HK34" s="407" t="s">
        <v>888</v>
      </c>
      <c r="HL34" s="407" t="s">
        <v>889</v>
      </c>
      <c r="HM34" s="407" t="s">
        <v>890</v>
      </c>
      <c r="HN34" s="407" t="s">
        <v>891</v>
      </c>
      <c r="HO34" s="407" t="s">
        <v>892</v>
      </c>
      <c r="HP34" s="407" t="s">
        <v>893</v>
      </c>
      <c r="HQ34" s="407" t="s">
        <v>894</v>
      </c>
      <c r="HR34" s="407" t="s">
        <v>895</v>
      </c>
      <c r="HS34" s="407" t="s">
        <v>896</v>
      </c>
      <c r="HT34" s="407" t="s">
        <v>897</v>
      </c>
      <c r="HU34" s="407" t="s">
        <v>898</v>
      </c>
      <c r="HV34" s="407" t="s">
        <v>899</v>
      </c>
      <c r="HW34" s="407" t="s">
        <v>900</v>
      </c>
      <c r="HX34" s="407" t="s">
        <v>901</v>
      </c>
      <c r="HY34" s="407" t="s">
        <v>902</v>
      </c>
      <c r="HZ34" s="407" t="s">
        <v>903</v>
      </c>
      <c r="IA34" s="407" t="s">
        <v>904</v>
      </c>
      <c r="IB34" s="407" t="s">
        <v>905</v>
      </c>
      <c r="IC34" s="407" t="s">
        <v>906</v>
      </c>
      <c r="ID34" s="407" t="s">
        <v>907</v>
      </c>
      <c r="IE34" s="407" t="s">
        <v>908</v>
      </c>
      <c r="IF34" s="407" t="s">
        <v>909</v>
      </c>
      <c r="IG34" s="407" t="s">
        <v>910</v>
      </c>
      <c r="IH34" s="407" t="s">
        <v>911</v>
      </c>
      <c r="II34" s="407" t="s">
        <v>912</v>
      </c>
      <c r="IJ34" s="407" t="s">
        <v>913</v>
      </c>
      <c r="IK34" s="407" t="s">
        <v>914</v>
      </c>
      <c r="IL34" s="407" t="s">
        <v>915</v>
      </c>
      <c r="IM34" s="407" t="s">
        <v>916</v>
      </c>
      <c r="IN34" s="407" t="s">
        <v>917</v>
      </c>
      <c r="IO34" s="407" t="s">
        <v>918</v>
      </c>
      <c r="IP34" s="407" t="s">
        <v>919</v>
      </c>
      <c r="IQ34" s="407" t="s">
        <v>920</v>
      </c>
      <c r="IR34" s="407" t="s">
        <v>921</v>
      </c>
      <c r="IS34" s="407" t="s">
        <v>922</v>
      </c>
      <c r="IT34" s="407" t="s">
        <v>923</v>
      </c>
      <c r="IU34" s="407" t="s">
        <v>924</v>
      </c>
      <c r="IV34" s="407" t="s">
        <v>925</v>
      </c>
      <c r="IW34" s="407" t="s">
        <v>926</v>
      </c>
      <c r="IX34" s="407" t="s">
        <v>927</v>
      </c>
      <c r="IY34" s="407" t="s">
        <v>928</v>
      </c>
      <c r="IZ34" s="407" t="s">
        <v>929</v>
      </c>
      <c r="JA34" s="407" t="s">
        <v>930</v>
      </c>
      <c r="JB34" s="407" t="s">
        <v>931</v>
      </c>
      <c r="JC34" s="407" t="s">
        <v>932</v>
      </c>
      <c r="JD34" s="407" t="s">
        <v>933</v>
      </c>
      <c r="JE34" s="407" t="s">
        <v>934</v>
      </c>
    </row>
    <row r="35" s="116" customFormat="true" ht="16.5" hidden="false" customHeight="true" outlineLevel="0" collapsed="false">
      <c r="A35" s="116" t="s">
        <v>935</v>
      </c>
      <c r="B35" s="411" t="n">
        <v>0</v>
      </c>
      <c r="C35" s="411" t="n">
        <v>1</v>
      </c>
      <c r="D35" s="412" t="n">
        <v>2</v>
      </c>
      <c r="E35" s="412" t="n">
        <v>3</v>
      </c>
      <c r="F35" s="412" t="n">
        <v>4</v>
      </c>
      <c r="G35" s="412" t="n">
        <v>5</v>
      </c>
      <c r="H35" s="413" t="n">
        <v>205</v>
      </c>
      <c r="I35" s="412" t="n">
        <v>6</v>
      </c>
      <c r="J35" s="412" t="n">
        <v>7</v>
      </c>
      <c r="K35" s="412" t="n">
        <v>14</v>
      </c>
      <c r="L35" s="412" t="n">
        <v>15</v>
      </c>
      <c r="M35" s="412" t="n">
        <v>16</v>
      </c>
      <c r="N35" s="412" t="n">
        <v>195</v>
      </c>
      <c r="O35" s="412" t="n">
        <v>10</v>
      </c>
      <c r="P35" s="412" t="n">
        <v>13</v>
      </c>
      <c r="Q35" s="412" t="n">
        <v>11</v>
      </c>
      <c r="R35" s="412" t="n">
        <v>12</v>
      </c>
      <c r="S35" s="412" t="n">
        <v>18</v>
      </c>
      <c r="T35" s="412" t="n">
        <v>19</v>
      </c>
      <c r="U35" s="412" t="n">
        <v>20</v>
      </c>
      <c r="V35" s="412" t="n">
        <v>21</v>
      </c>
      <c r="W35" s="412" t="n">
        <v>23</v>
      </c>
      <c r="X35" s="412" t="n">
        <v>63</v>
      </c>
      <c r="Y35" s="412" t="n">
        <v>17</v>
      </c>
      <c r="Z35" s="412" t="n">
        <v>30</v>
      </c>
      <c r="AA35" s="412" t="n">
        <v>31</v>
      </c>
      <c r="AB35" s="413" t="n">
        <v>32</v>
      </c>
      <c r="AC35" s="413" t="n">
        <v>33</v>
      </c>
      <c r="AD35" s="413" t="n">
        <v>34</v>
      </c>
      <c r="AE35" s="413" t="n">
        <v>35</v>
      </c>
      <c r="AF35" s="413" t="n">
        <v>36</v>
      </c>
      <c r="AG35" s="413" t="n">
        <v>37</v>
      </c>
      <c r="AH35" s="412" t="n">
        <v>199</v>
      </c>
      <c r="AI35" s="412" t="n">
        <v>200</v>
      </c>
      <c r="AJ35" s="412" t="n">
        <v>38</v>
      </c>
      <c r="AK35" s="412" t="n">
        <v>39</v>
      </c>
      <c r="AL35" s="412" t="n">
        <v>40</v>
      </c>
      <c r="AM35" s="412" t="n">
        <v>41</v>
      </c>
      <c r="AN35" s="412" t="n">
        <v>247</v>
      </c>
      <c r="AO35" s="412" t="n">
        <v>194</v>
      </c>
      <c r="AP35" s="414" t="n">
        <v>216</v>
      </c>
      <c r="AQ35" s="414" t="n">
        <v>217</v>
      </c>
      <c r="AR35" s="414" t="n">
        <v>218</v>
      </c>
      <c r="AS35" s="413" t="n">
        <v>42</v>
      </c>
      <c r="AT35" s="413" t="n">
        <v>43</v>
      </c>
      <c r="AU35" s="413" t="n">
        <v>44</v>
      </c>
      <c r="AV35" s="413" t="n">
        <v>45</v>
      </c>
      <c r="AW35" s="413" t="n">
        <v>46</v>
      </c>
      <c r="AX35" s="414" t="n">
        <v>219</v>
      </c>
      <c r="AY35" s="414" t="n">
        <v>220</v>
      </c>
      <c r="AZ35" s="414" t="n">
        <v>221</v>
      </c>
      <c r="BA35" s="414" t="n">
        <v>222</v>
      </c>
      <c r="BB35" s="414" t="n">
        <v>223</v>
      </c>
      <c r="BC35" s="415" t="n">
        <v>224</v>
      </c>
      <c r="BD35" s="415" t="n">
        <v>225</v>
      </c>
      <c r="BE35" s="415" t="n">
        <v>226</v>
      </c>
      <c r="BF35" s="415" t="n">
        <v>227</v>
      </c>
      <c r="BG35" s="415" t="n">
        <v>228</v>
      </c>
      <c r="BH35" s="413" t="n">
        <v>47</v>
      </c>
      <c r="BI35" s="412" t="n">
        <v>48</v>
      </c>
      <c r="BJ35" s="412" t="n">
        <v>196</v>
      </c>
      <c r="BK35" s="412" t="n">
        <v>197</v>
      </c>
      <c r="BL35" s="413" t="n">
        <v>139</v>
      </c>
      <c r="BM35" s="413" t="n">
        <v>140</v>
      </c>
      <c r="BN35" s="412" t="n">
        <v>141</v>
      </c>
      <c r="BO35" s="412" t="n">
        <v>142</v>
      </c>
      <c r="BP35" s="412" t="n">
        <v>143</v>
      </c>
      <c r="BQ35" s="412" t="n">
        <v>144</v>
      </c>
      <c r="BR35" s="412" t="n">
        <v>24</v>
      </c>
      <c r="BS35" s="412" t="n">
        <v>260</v>
      </c>
      <c r="BT35" s="412" t="n">
        <v>259</v>
      </c>
      <c r="BU35" s="412" t="n">
        <v>261</v>
      </c>
      <c r="BV35" s="412" t="n">
        <v>262</v>
      </c>
      <c r="BW35" s="412" t="n">
        <v>263</v>
      </c>
      <c r="BX35" s="412" t="n">
        <v>52</v>
      </c>
      <c r="BY35" s="412" t="n">
        <v>53</v>
      </c>
      <c r="BZ35" s="412" t="n">
        <v>54</v>
      </c>
      <c r="CA35" s="412" t="n">
        <v>55</v>
      </c>
      <c r="CB35" s="412" t="n">
        <v>56</v>
      </c>
      <c r="CC35" s="412" t="n">
        <v>57</v>
      </c>
      <c r="CD35" s="412" t="n">
        <v>58</v>
      </c>
      <c r="CE35" s="412" t="n">
        <v>59</v>
      </c>
      <c r="CF35" s="412" t="n">
        <v>60</v>
      </c>
      <c r="CG35" s="412" t="n">
        <v>61</v>
      </c>
      <c r="CH35" s="412" t="n">
        <v>62</v>
      </c>
      <c r="CI35" s="412" t="n">
        <v>103</v>
      </c>
      <c r="CJ35" s="416" t="n">
        <v>206</v>
      </c>
      <c r="CK35" s="416" t="n">
        <v>211</v>
      </c>
      <c r="CL35" s="416" t="n">
        <v>210</v>
      </c>
      <c r="CM35" s="416" t="n">
        <v>207</v>
      </c>
      <c r="CN35" s="416" t="n">
        <v>208</v>
      </c>
      <c r="CO35" s="416" t="n">
        <v>209</v>
      </c>
      <c r="CP35" s="416" t="n">
        <v>246</v>
      </c>
      <c r="CQ35" s="412" t="n">
        <v>230</v>
      </c>
      <c r="CR35" s="412" t="n">
        <v>231</v>
      </c>
      <c r="CS35" s="412" t="n">
        <v>232</v>
      </c>
      <c r="CT35" s="412" t="n">
        <v>88</v>
      </c>
      <c r="CU35" s="417" t="n">
        <v>89</v>
      </c>
      <c r="CV35" s="417" t="n">
        <v>91</v>
      </c>
      <c r="CW35" s="417" t="n">
        <v>92</v>
      </c>
      <c r="CX35" s="417" t="n">
        <v>90</v>
      </c>
      <c r="CY35" s="418" t="n">
        <v>110</v>
      </c>
      <c r="CZ35" s="418" t="n">
        <v>104</v>
      </c>
      <c r="DA35" s="418" t="n">
        <v>105</v>
      </c>
      <c r="DB35" s="412" t="n">
        <v>93</v>
      </c>
      <c r="DC35" s="417" t="n">
        <v>94</v>
      </c>
      <c r="DD35" s="417" t="n">
        <v>95</v>
      </c>
      <c r="DE35" s="417" t="n">
        <v>96</v>
      </c>
      <c r="DF35" s="417" t="n">
        <v>97</v>
      </c>
      <c r="DG35" s="417" t="n">
        <v>98</v>
      </c>
      <c r="DH35" s="418" t="n">
        <v>111</v>
      </c>
      <c r="DI35" s="418" t="n">
        <v>106</v>
      </c>
      <c r="DJ35" s="418" t="n">
        <v>107</v>
      </c>
      <c r="DK35" s="415" t="n">
        <v>99</v>
      </c>
      <c r="DL35" s="412" t="n">
        <v>100</v>
      </c>
      <c r="DM35" s="415" t="n">
        <v>112</v>
      </c>
      <c r="DN35" s="415" t="n">
        <v>113</v>
      </c>
      <c r="DO35" s="415" t="n">
        <v>114</v>
      </c>
      <c r="DP35" s="415" t="n">
        <v>115</v>
      </c>
      <c r="DQ35" s="415" t="n">
        <v>108</v>
      </c>
      <c r="DR35" s="415" t="n">
        <v>109</v>
      </c>
      <c r="DS35" s="412" t="n">
        <v>101</v>
      </c>
      <c r="DT35" s="412" t="n">
        <v>102</v>
      </c>
      <c r="DU35" s="413" t="n">
        <v>65</v>
      </c>
      <c r="DV35" s="412" t="n">
        <v>66</v>
      </c>
      <c r="DW35" s="412" t="n">
        <v>243</v>
      </c>
      <c r="DX35" s="412" t="n">
        <v>244</v>
      </c>
      <c r="DY35" s="412" t="n">
        <v>67</v>
      </c>
      <c r="DZ35" s="413" t="n">
        <v>68</v>
      </c>
      <c r="EA35" s="412" t="n">
        <v>69</v>
      </c>
      <c r="EB35" s="412" t="n">
        <v>70</v>
      </c>
      <c r="EC35" s="412" t="n">
        <v>71</v>
      </c>
      <c r="ED35" s="412" t="n">
        <v>72</v>
      </c>
      <c r="EE35" s="412" t="n">
        <v>73</v>
      </c>
      <c r="EF35" s="412" t="n">
        <v>74</v>
      </c>
      <c r="EG35" s="413" t="n">
        <v>75</v>
      </c>
      <c r="EH35" s="413" t="n">
        <v>76</v>
      </c>
      <c r="EI35" s="413" t="n">
        <v>77</v>
      </c>
      <c r="EJ35" s="413" t="n">
        <v>78</v>
      </c>
      <c r="EK35" s="413" t="n">
        <v>79</v>
      </c>
      <c r="EL35" s="412" t="n">
        <v>49</v>
      </c>
      <c r="EM35" s="412" t="n">
        <v>50</v>
      </c>
      <c r="EN35" s="413" t="n">
        <v>51</v>
      </c>
      <c r="EO35" s="412" t="n">
        <v>204</v>
      </c>
      <c r="EP35" s="412" t="n">
        <v>25</v>
      </c>
      <c r="EQ35" s="413" t="n">
        <v>26</v>
      </c>
      <c r="ER35" s="413" t="n">
        <v>27</v>
      </c>
      <c r="ES35" s="413" t="n">
        <v>28</v>
      </c>
      <c r="ET35" s="413" t="n">
        <v>29</v>
      </c>
      <c r="EU35" s="413" t="n">
        <v>119</v>
      </c>
      <c r="EV35" s="413" t="n">
        <v>241</v>
      </c>
      <c r="EW35" s="413" t="n">
        <v>242</v>
      </c>
      <c r="EX35" s="413" t="n">
        <v>120</v>
      </c>
      <c r="EY35" s="412" t="n">
        <v>8</v>
      </c>
      <c r="EZ35" s="413" t="n">
        <v>121</v>
      </c>
      <c r="FA35" s="412" t="n">
        <v>122</v>
      </c>
      <c r="FB35" s="412" t="n">
        <v>198</v>
      </c>
      <c r="FC35" s="413" t="n">
        <v>123</v>
      </c>
      <c r="FD35" s="413" t="n">
        <v>124</v>
      </c>
      <c r="FE35" s="412" t="n">
        <v>22</v>
      </c>
      <c r="FF35" s="419" t="n">
        <v>125</v>
      </c>
      <c r="FG35" s="413" t="n">
        <v>126</v>
      </c>
      <c r="FH35" s="413" t="n">
        <v>127</v>
      </c>
      <c r="FI35" s="413" t="n">
        <v>128</v>
      </c>
      <c r="FJ35" s="413" t="n">
        <v>245</v>
      </c>
      <c r="FK35" s="413" t="n">
        <v>129</v>
      </c>
      <c r="FL35" s="413" t="n">
        <v>130</v>
      </c>
      <c r="FM35" s="413" t="n">
        <v>131</v>
      </c>
      <c r="FN35" s="413" t="n">
        <v>132</v>
      </c>
      <c r="FO35" s="413" t="n">
        <v>229</v>
      </c>
      <c r="FP35" s="413" t="n">
        <v>80</v>
      </c>
      <c r="FQ35" s="413" t="n">
        <v>81</v>
      </c>
      <c r="FR35" s="412" t="n">
        <v>82</v>
      </c>
      <c r="FS35" s="413" t="n">
        <v>83</v>
      </c>
      <c r="FT35" s="413" t="n">
        <v>84</v>
      </c>
      <c r="FU35" s="413" t="n">
        <v>85</v>
      </c>
      <c r="FV35" s="413" t="n">
        <v>86</v>
      </c>
      <c r="FW35" s="413" t="n">
        <v>87</v>
      </c>
      <c r="FX35" s="413" t="n">
        <v>64</v>
      </c>
      <c r="FY35" s="413" t="n">
        <v>145</v>
      </c>
      <c r="FZ35" s="413" t="n">
        <v>146</v>
      </c>
      <c r="GA35" s="413" t="n">
        <v>147</v>
      </c>
      <c r="GB35" s="413" t="n">
        <v>148</v>
      </c>
      <c r="GC35" s="413" t="n">
        <v>149</v>
      </c>
      <c r="GD35" s="413" t="n">
        <v>150</v>
      </c>
      <c r="GE35" s="413" t="n">
        <v>151</v>
      </c>
      <c r="GF35" s="413" t="n">
        <v>152</v>
      </c>
      <c r="GG35" s="412" t="n">
        <v>9</v>
      </c>
      <c r="GH35" s="413" t="n">
        <v>201</v>
      </c>
      <c r="GI35" s="413" t="n">
        <v>202</v>
      </c>
      <c r="GJ35" s="413" t="n">
        <v>203</v>
      </c>
      <c r="GK35" s="413" t="n">
        <v>153</v>
      </c>
      <c r="GL35" s="417" t="n">
        <v>154</v>
      </c>
      <c r="GM35" s="417" t="n">
        <v>155</v>
      </c>
      <c r="GN35" s="412" t="n">
        <v>156</v>
      </c>
      <c r="GO35" s="418" t="n">
        <v>116</v>
      </c>
      <c r="GP35" s="418" t="n">
        <v>117</v>
      </c>
      <c r="GQ35" s="418" t="n">
        <v>118</v>
      </c>
      <c r="GR35" s="413" t="n">
        <v>157</v>
      </c>
      <c r="GS35" s="413" t="n">
        <v>158</v>
      </c>
      <c r="GT35" s="413" t="n">
        <v>159</v>
      </c>
      <c r="GU35" s="413" t="n">
        <v>160</v>
      </c>
      <c r="GV35" s="413" t="n">
        <v>161</v>
      </c>
      <c r="GW35" s="413" t="n">
        <v>233</v>
      </c>
      <c r="GX35" s="413" t="n">
        <v>234</v>
      </c>
      <c r="GY35" s="413" t="n">
        <v>162</v>
      </c>
      <c r="GZ35" s="413" t="n">
        <v>237</v>
      </c>
      <c r="HA35" s="413" t="n">
        <v>238</v>
      </c>
      <c r="HB35" s="413" t="n">
        <v>163</v>
      </c>
      <c r="HC35" s="413" t="n">
        <v>164</v>
      </c>
      <c r="HD35" s="413" t="n">
        <v>165</v>
      </c>
      <c r="HE35" s="413" t="n">
        <v>235</v>
      </c>
      <c r="HF35" s="413" t="n">
        <v>236</v>
      </c>
      <c r="HG35" s="413" t="n">
        <v>166</v>
      </c>
      <c r="HH35" s="413" t="n">
        <v>239</v>
      </c>
      <c r="HI35" s="413" t="n">
        <v>240</v>
      </c>
      <c r="HJ35" s="413" t="n">
        <v>167</v>
      </c>
      <c r="HK35" s="413" t="n">
        <v>168</v>
      </c>
      <c r="HL35" s="412" t="n">
        <v>188</v>
      </c>
      <c r="HM35" s="413" t="n">
        <v>189</v>
      </c>
      <c r="HN35" s="412" t="n">
        <v>190</v>
      </c>
      <c r="HO35" s="412" t="n">
        <v>191</v>
      </c>
      <c r="HP35" s="412" t="n">
        <v>192</v>
      </c>
      <c r="HQ35" s="412" t="n">
        <v>193</v>
      </c>
      <c r="HR35" s="412" t="n">
        <v>212</v>
      </c>
      <c r="HS35" s="412" t="n">
        <v>213</v>
      </c>
      <c r="HT35" s="412" t="n">
        <v>214</v>
      </c>
      <c r="HU35" s="412" t="n">
        <v>215</v>
      </c>
      <c r="HV35" s="412" t="n">
        <v>135</v>
      </c>
      <c r="HW35" s="412" t="n">
        <v>136</v>
      </c>
      <c r="HX35" s="412" t="n">
        <v>137</v>
      </c>
      <c r="HY35" s="412" t="n">
        <v>138</v>
      </c>
      <c r="HZ35" s="413" t="n">
        <v>258</v>
      </c>
      <c r="IA35" s="413" t="n">
        <v>256</v>
      </c>
      <c r="IB35" s="413" t="n">
        <v>257</v>
      </c>
      <c r="IC35" s="413" t="n">
        <v>133</v>
      </c>
      <c r="ID35" s="413" t="n">
        <v>134</v>
      </c>
      <c r="IE35" s="413" t="n">
        <v>248</v>
      </c>
      <c r="IF35" s="413" t="n">
        <v>249</v>
      </c>
      <c r="IG35" s="413" t="n">
        <v>250</v>
      </c>
      <c r="IH35" s="413" t="n">
        <v>251</v>
      </c>
      <c r="II35" s="412" t="n">
        <v>169</v>
      </c>
      <c r="IJ35" s="412" t="n">
        <v>170</v>
      </c>
      <c r="IK35" s="412" t="n">
        <v>182</v>
      </c>
      <c r="IL35" s="412" t="n">
        <v>183</v>
      </c>
      <c r="IM35" s="412" t="n">
        <v>184</v>
      </c>
      <c r="IN35" s="412" t="n">
        <v>185</v>
      </c>
      <c r="IO35" s="412" t="n">
        <v>171</v>
      </c>
      <c r="IP35" s="412" t="n">
        <v>172</v>
      </c>
      <c r="IQ35" s="412" t="n">
        <v>173</v>
      </c>
      <c r="IR35" s="412" t="n">
        <v>174</v>
      </c>
      <c r="IS35" s="412" t="n">
        <v>175</v>
      </c>
      <c r="IT35" s="412" t="n">
        <v>176</v>
      </c>
      <c r="IU35" s="412" t="n">
        <v>177</v>
      </c>
      <c r="IV35" s="412" t="n">
        <v>252</v>
      </c>
      <c r="IW35" s="412" t="n">
        <v>178</v>
      </c>
      <c r="IX35" s="412" t="n">
        <v>179</v>
      </c>
      <c r="IY35" s="412" t="n">
        <v>180</v>
      </c>
      <c r="IZ35" s="412" t="n">
        <v>253</v>
      </c>
      <c r="JA35" s="412" t="n">
        <v>254</v>
      </c>
      <c r="JB35" s="412" t="n">
        <v>255</v>
      </c>
      <c r="JC35" s="412" t="n">
        <v>181</v>
      </c>
      <c r="JD35" s="412" t="n">
        <v>186</v>
      </c>
      <c r="JE35" s="412" t="n">
        <v>187</v>
      </c>
    </row>
    <row r="36" s="119" customFormat="true" ht="15.75" hidden="false" customHeight="false" outlineLevel="0" collapsed="false">
      <c r="A36" s="119" t="s">
        <v>936</v>
      </c>
      <c r="B36" s="119" t="n">
        <v>1</v>
      </c>
      <c r="C36" s="119" t="n">
        <v>1</v>
      </c>
      <c r="D36" s="119" t="n">
        <v>1E-005</v>
      </c>
      <c r="E36" s="119" t="n">
        <v>1.1</v>
      </c>
      <c r="F36" s="119" t="n">
        <v>0</v>
      </c>
      <c r="G36" s="119" t="n">
        <v>1</v>
      </c>
      <c r="H36" s="119" t="n">
        <v>0</v>
      </c>
      <c r="I36" s="119" t="n">
        <v>1</v>
      </c>
      <c r="J36" s="119" t="n">
        <v>0</v>
      </c>
      <c r="K36" s="420" t="n">
        <v>0.001</v>
      </c>
      <c r="L36" s="119" t="n">
        <v>0.1</v>
      </c>
      <c r="M36" s="420" t="n">
        <f aca="false">1/24/60</f>
        <v>0.000694444444444444</v>
      </c>
      <c r="N36" s="119" t="n">
        <v>0</v>
      </c>
      <c r="O36" s="119" t="n">
        <v>0</v>
      </c>
      <c r="P36" s="119" t="n">
        <v>0.2</v>
      </c>
      <c r="Q36" s="420" t="n">
        <v>1</v>
      </c>
      <c r="R36" s="119" t="n">
        <v>99</v>
      </c>
      <c r="S36" s="119" t="n">
        <v>2</v>
      </c>
      <c r="T36" s="119" t="n">
        <v>1</v>
      </c>
      <c r="U36" s="119" t="n">
        <v>1</v>
      </c>
      <c r="V36" s="119" t="n">
        <v>1</v>
      </c>
      <c r="W36" s="119" t="n">
        <v>0</v>
      </c>
      <c r="X36" s="119" t="n">
        <v>0</v>
      </c>
      <c r="Y36" s="420" t="n">
        <v>1</v>
      </c>
      <c r="Z36" s="119" t="n">
        <v>0</v>
      </c>
      <c r="AA36" s="119" t="n">
        <v>46.8</v>
      </c>
      <c r="AB36" s="119" t="n">
        <v>15</v>
      </c>
      <c r="AC36" s="119" t="n">
        <v>25</v>
      </c>
      <c r="AD36" s="119" t="n">
        <v>60</v>
      </c>
      <c r="AE36" s="119" t="n">
        <v>80</v>
      </c>
      <c r="AF36" s="119" t="n">
        <v>1500</v>
      </c>
      <c r="AG36" s="119" t="n">
        <v>1</v>
      </c>
      <c r="AH36" s="119" t="n">
        <v>12</v>
      </c>
      <c r="AI36" s="119" t="n">
        <v>2</v>
      </c>
      <c r="AJ36" s="420" t="n">
        <v>0</v>
      </c>
      <c r="AK36" s="119" t="n">
        <v>3</v>
      </c>
      <c r="AL36" s="119" t="n">
        <v>3</v>
      </c>
      <c r="AM36" s="119" t="n">
        <v>15</v>
      </c>
      <c r="AN36" s="119" t="n">
        <v>1</v>
      </c>
      <c r="AO36" s="119" t="n">
        <v>0</v>
      </c>
      <c r="AP36" s="119" t="n">
        <v>0.333333333333333</v>
      </c>
      <c r="AQ36" s="119" t="n">
        <v>0.333333333333333</v>
      </c>
      <c r="AR36" s="119" t="n">
        <v>0.333333333333333</v>
      </c>
      <c r="AS36" s="421" t="n">
        <v>0.37</v>
      </c>
      <c r="AT36" s="421" t="n">
        <v>0.09</v>
      </c>
      <c r="AU36" s="421" t="n">
        <v>0.0003</v>
      </c>
      <c r="AV36" s="421" t="n">
        <v>1.7</v>
      </c>
      <c r="AW36" s="422" t="n">
        <v>5</v>
      </c>
      <c r="AX36" s="421" t="n">
        <v>0.37</v>
      </c>
      <c r="AY36" s="421" t="n">
        <v>0.09</v>
      </c>
      <c r="AZ36" s="421" t="n">
        <v>0.0003</v>
      </c>
      <c r="BA36" s="421" t="n">
        <v>1.7</v>
      </c>
      <c r="BB36" s="422" t="n">
        <v>5</v>
      </c>
      <c r="BC36" s="421" t="n">
        <v>0.37</v>
      </c>
      <c r="BD36" s="421" t="n">
        <v>0.09</v>
      </c>
      <c r="BE36" s="421" t="n">
        <v>0.0003</v>
      </c>
      <c r="BF36" s="421" t="n">
        <v>1.7</v>
      </c>
      <c r="BG36" s="422" t="n">
        <v>5</v>
      </c>
      <c r="BH36" s="423" t="n">
        <v>0.5</v>
      </c>
      <c r="BI36" s="119" t="n">
        <v>0</v>
      </c>
      <c r="BJ36" s="119" t="n">
        <v>0</v>
      </c>
      <c r="BK36" s="119" t="n">
        <v>0</v>
      </c>
      <c r="BL36" s="178" t="n">
        <v>0.2944</v>
      </c>
      <c r="BM36" s="424" t="n">
        <f aca="false">CP36</f>
        <v>0.5</v>
      </c>
      <c r="BN36" s="120" t="n">
        <f aca="false">1-$BP$32^33.3333333333</f>
        <v>0.490040300640587</v>
      </c>
      <c r="BO36" s="120" t="n">
        <f aca="false">(1-$BP$32^66.66666666)-BN36</f>
        <v>0.249900804353995</v>
      </c>
      <c r="BP36" s="120" t="n">
        <f aca="false">1-BN36-BO36</f>
        <v>0.260058895005418</v>
      </c>
      <c r="BQ36" s="119" t="n">
        <v>0</v>
      </c>
      <c r="BR36" s="119" t="n">
        <v>0</v>
      </c>
      <c r="BS36" s="119" t="n">
        <v>33</v>
      </c>
      <c r="BT36" s="119" t="n">
        <v>0</v>
      </c>
      <c r="BU36" s="120" t="n">
        <f aca="false">AT36+(AS36-AT36)/(1+(AU36*$BS$36/1000*10000)^AV36)^(1-1/AV36)</f>
        <v>0.367769375592928</v>
      </c>
      <c r="BV36" s="120" t="n">
        <f aca="false">AY36+(AX36-AY36)/(1+(AZ36*$BS$36/1000*10000)^BA36)^(1-1/BA36)</f>
        <v>0.367769375592928</v>
      </c>
      <c r="BW36" s="120" t="n">
        <f aca="false">BD36+(BC36-BD36)/(1+(BE36*$BS$36/1000*10000)^BF36)^(1-1/BF36)</f>
        <v>0.367769375592928</v>
      </c>
      <c r="BX36" s="119" t="n">
        <v>0</v>
      </c>
      <c r="BY36" s="119" t="n">
        <v>20</v>
      </c>
      <c r="BZ36" s="119" t="n">
        <v>2</v>
      </c>
      <c r="CA36" s="119" t="n">
        <v>1</v>
      </c>
      <c r="CB36" s="119" t="n">
        <v>4</v>
      </c>
      <c r="CC36" s="119" t="n">
        <v>1</v>
      </c>
      <c r="CD36" s="119" t="n">
        <v>0.1</v>
      </c>
      <c r="CE36" s="119" t="n">
        <v>0</v>
      </c>
      <c r="CF36" s="119" t="n">
        <v>360</v>
      </c>
      <c r="CG36" s="119" t="n">
        <v>0</v>
      </c>
      <c r="CH36" s="119" t="n">
        <v>50</v>
      </c>
      <c r="CI36" s="119" t="n">
        <v>3</v>
      </c>
      <c r="CJ36" s="119" t="n">
        <v>200</v>
      </c>
      <c r="CK36" s="119" t="n">
        <v>12.5</v>
      </c>
      <c r="CL36" s="119" t="n">
        <v>3.75</v>
      </c>
      <c r="CM36" s="119" t="n">
        <v>1.8</v>
      </c>
      <c r="CN36" s="119" t="n">
        <v>1</v>
      </c>
      <c r="CO36" s="119" t="n">
        <v>0.3</v>
      </c>
      <c r="CP36" s="119" t="n">
        <v>0.5</v>
      </c>
      <c r="CQ36" s="119" t="n">
        <v>0.333333333333333</v>
      </c>
      <c r="CR36" s="119" t="n">
        <v>0.333333333333333</v>
      </c>
      <c r="CS36" s="119" t="n">
        <v>0.333333333333333</v>
      </c>
      <c r="CT36" s="119" t="n">
        <v>3</v>
      </c>
      <c r="CU36" s="119" t="n">
        <v>0.5</v>
      </c>
      <c r="CV36" s="119" t="n">
        <v>0.16757753585326</v>
      </c>
      <c r="CW36" s="119" t="n">
        <v>0.16757753585326</v>
      </c>
      <c r="CX36" s="119" t="n">
        <v>0.005</v>
      </c>
      <c r="CY36" s="120" t="n">
        <f aca="false">IF(CI36=2,'Fractal shoot'!M7,IF(CI36=3,'Allometric tree'!BC5,CT36*CU36*CX36*3.1416))</f>
        <v>0.05</v>
      </c>
      <c r="CZ36" s="120" t="n">
        <f aca="false">IF(CI36=2,'Fractal shoot'!M5,IF(CI36=3,'Allometric tree'!AY5,CT36*CU36*CX36*CX36*3.1416/4*CW36*1000))</f>
        <v>0.0058905</v>
      </c>
      <c r="DA36" s="120" t="n">
        <f aca="false">IF(CI36=2,'Fractal shoot'!M4,IF(CI36=3,'Allometric tree'!AX5,CT36*CU36*CX36*CX36*3.1416/4*CV36*1000))</f>
        <v>0.011781</v>
      </c>
      <c r="DB36" s="119" t="n">
        <v>700</v>
      </c>
      <c r="DC36" s="119" t="n">
        <v>0.5</v>
      </c>
      <c r="DD36" s="119" t="n">
        <v>0.01</v>
      </c>
      <c r="DE36" s="119" t="n">
        <v>0.4</v>
      </c>
      <c r="DF36" s="119" t="n">
        <v>0.2</v>
      </c>
      <c r="DG36" s="119" t="n">
        <v>0.5</v>
      </c>
      <c r="DH36" s="120" t="n">
        <f aca="false">IF(CI36=2,'Fractal shoot'!M6,IF(CI36=3,'Allometric tree'!BB5, DC36*DD36*3.1416))</f>
        <v>0.015708</v>
      </c>
      <c r="DI36" s="120" t="n">
        <f aca="false">IF(CI36=2,'Fractal shoot'!M3,IF(CI36=3,'Allometric tree'!AW5,DC36*DD36*DD36*DF36*3.1416/4*1000*(2-DG36)*DG36))</f>
        <v>0.0058905</v>
      </c>
      <c r="DJ36" s="120" t="n">
        <f aca="false">IF(CI36=2,'Fractal shoot'!M2,IF(CI36=3,'Allometric tree'!AV5,DC36*DD36*DD36*DE36*3.1416/4*1000*(2-DG36)*DG36))</f>
        <v>0.011781</v>
      </c>
      <c r="DK36" s="120" t="n">
        <f aca="false">DN36/(3.1416*DL36)</f>
        <v>159.154570919277</v>
      </c>
      <c r="DL36" s="119" t="n">
        <v>0.001</v>
      </c>
      <c r="DM36" s="120" t="n">
        <f aca="false">IF(FRACTAL=3,'Allometric tree'!BE5,'Fractal root'!M4)</f>
        <v>0.55</v>
      </c>
      <c r="DN36" s="120" t="n">
        <f aca="false">IF(FRACTAL=3,'Allometric tree'!BD5,'Fractal root'!B4)</f>
        <v>0.5</v>
      </c>
      <c r="DO36" s="120" t="n">
        <v>0</v>
      </c>
      <c r="DP36" s="120" t="n">
        <v>0.001</v>
      </c>
      <c r="DQ36" s="120" t="n">
        <f aca="false">IF(FRACTAL=3,'Allometric tree'!BA5,'Fractal root'!M3)</f>
        <v>0.011781</v>
      </c>
      <c r="DR36" s="120" t="n">
        <f aca="false">IF(FRACTAL=3,'Allometric tree'!AZ5,'Fractal root'!M2)</f>
        <v>0.023562</v>
      </c>
      <c r="DS36" s="119" t="n">
        <v>0.4</v>
      </c>
      <c r="DT36" s="119" t="n">
        <v>0.2</v>
      </c>
      <c r="DU36" s="119" t="n">
        <v>60</v>
      </c>
      <c r="DV36" s="119" t="n">
        <v>0</v>
      </c>
      <c r="DW36" s="119" t="n">
        <v>0</v>
      </c>
      <c r="DX36" s="119" t="n">
        <v>0</v>
      </c>
      <c r="DY36" s="119" t="n">
        <v>0</v>
      </c>
      <c r="DZ36" s="119" t="n">
        <v>0.5</v>
      </c>
      <c r="EA36" s="119" t="n">
        <v>0</v>
      </c>
      <c r="EB36" s="119" t="n">
        <v>123</v>
      </c>
      <c r="EC36" s="119" t="n">
        <v>140</v>
      </c>
      <c r="ED36" s="119" t="n">
        <v>285</v>
      </c>
      <c r="EE36" s="119" t="n">
        <v>325</v>
      </c>
      <c r="EF36" s="119" t="n">
        <v>0</v>
      </c>
      <c r="EG36" s="119" t="n">
        <v>-3</v>
      </c>
      <c r="EH36" s="119" t="n">
        <v>50</v>
      </c>
      <c r="EI36" s="119" t="n">
        <v>124.1025539</v>
      </c>
      <c r="EJ36" s="119" t="n">
        <v>0.25</v>
      </c>
      <c r="EK36" s="119" t="n">
        <v>123.777695259314</v>
      </c>
      <c r="EL36" s="119" t="n">
        <v>0</v>
      </c>
      <c r="EM36" s="119" t="n">
        <v>0.7</v>
      </c>
      <c r="EN36" s="119" t="n">
        <v>5000</v>
      </c>
      <c r="EO36" s="119" t="n">
        <v>0</v>
      </c>
      <c r="EP36" s="420" t="n">
        <v>2</v>
      </c>
      <c r="EQ36" s="119" t="n">
        <v>0.8</v>
      </c>
      <c r="ER36" s="178" t="n">
        <v>-1.4</v>
      </c>
      <c r="ES36" s="178" t="n">
        <v>0</v>
      </c>
      <c r="ET36" s="178" t="n">
        <f aca="false">ES36</f>
        <v>0</v>
      </c>
      <c r="EU36" s="119" t="n">
        <v>200</v>
      </c>
      <c r="EV36" s="120" t="n">
        <f aca="false">EU36*($AF$36*EXP(-FX36*CQ36*DZ36/(CP36*CP36/4*3.1416))/$AF$36)</f>
        <v>200</v>
      </c>
      <c r="EW36" s="120" t="n">
        <f aca="false">EU36*($AF$36*EXP(-FX36*(CQ36*DZ36/(CP36*CP36/4*3.1416)+CR36*DZ36/(CP36*CP36/4*3.1416)))/$AF$36)</f>
        <v>200</v>
      </c>
      <c r="EX36" s="120" t="n">
        <v>0</v>
      </c>
      <c r="EY36" s="119" t="n">
        <v>0</v>
      </c>
      <c r="EZ36" s="119" t="n">
        <v>0.006</v>
      </c>
      <c r="FA36" s="119" t="n">
        <v>0</v>
      </c>
      <c r="FB36" s="119" t="n">
        <v>0</v>
      </c>
      <c r="FC36" s="119" t="n">
        <v>25</v>
      </c>
      <c r="FD36" s="119" t="n">
        <v>17</v>
      </c>
      <c r="FE36" s="119" t="n">
        <v>3</v>
      </c>
      <c r="FF36" s="425" t="n">
        <v>7</v>
      </c>
      <c r="FG36" s="119" t="n">
        <v>37.5</v>
      </c>
      <c r="FH36" s="119" t="n">
        <v>1.2</v>
      </c>
      <c r="FI36" s="119" t="n">
        <v>4.8</v>
      </c>
      <c r="FJ36" s="119" t="n">
        <v>0.0489996391123778</v>
      </c>
      <c r="FK36" s="120" t="n">
        <v>0</v>
      </c>
      <c r="FL36" s="120" t="n">
        <v>0</v>
      </c>
      <c r="FM36" s="426" t="n">
        <v>0</v>
      </c>
      <c r="FN36" s="119" t="n">
        <v>0</v>
      </c>
      <c r="FO36" s="119" t="n">
        <v>3</v>
      </c>
      <c r="FP36" s="119" t="n">
        <v>110</v>
      </c>
      <c r="FQ36" s="119" t="n">
        <v>180</v>
      </c>
      <c r="FR36" s="119" t="n">
        <v>3</v>
      </c>
      <c r="FS36" s="119" t="n">
        <v>-0.37</v>
      </c>
      <c r="FT36" s="119" t="n">
        <v>0.12</v>
      </c>
      <c r="FU36" s="119" t="n">
        <v>41.14</v>
      </c>
      <c r="FV36" s="119" t="n">
        <v>27350</v>
      </c>
      <c r="FW36" s="119" t="n">
        <v>-1.815</v>
      </c>
      <c r="FX36" s="119" t="n">
        <v>0</v>
      </c>
      <c r="FY36" s="119" t="n">
        <v>11.2672461</v>
      </c>
      <c r="FZ36" s="120" t="n">
        <f aca="false">FY36</f>
        <v>11.2672461</v>
      </c>
      <c r="GA36" s="120" t="n">
        <f aca="false">FZ36</f>
        <v>11.2672461</v>
      </c>
      <c r="GB36" s="120" t="n">
        <f aca="false">GA36</f>
        <v>11.2672461</v>
      </c>
      <c r="GC36" s="119" t="n">
        <v>-1.7156893</v>
      </c>
      <c r="GD36" s="120" t="n">
        <f aca="false">GC36</f>
        <v>-1.7156893</v>
      </c>
      <c r="GE36" s="120" t="n">
        <f aca="false">GC36</f>
        <v>-1.7156893</v>
      </c>
      <c r="GF36" s="120" t="n">
        <f aca="false">GC36</f>
        <v>-1.7156893</v>
      </c>
      <c r="GG36" s="119" t="n">
        <v>0</v>
      </c>
      <c r="GH36" s="427" t="n">
        <v>-1</v>
      </c>
      <c r="GI36" s="427" t="n">
        <v>-1</v>
      </c>
      <c r="GJ36" s="427" t="n">
        <v>-1</v>
      </c>
      <c r="GK36" s="120" t="n">
        <f aca="false">IF(FRACTAL=3,'Allometric tree'!N5,GK28)</f>
        <v>7.14870181328353</v>
      </c>
      <c r="GL36" s="119" t="n">
        <v>10000</v>
      </c>
      <c r="GM36" s="119" t="n">
        <v>20000</v>
      </c>
      <c r="GN36" s="119" t="n">
        <v>200</v>
      </c>
      <c r="GO36" s="120" t="n">
        <f aca="false">IF(FRACTAL=2,'Fractal shoot'!E12,IF(FRACTAL=3,'Allometric tree'!U5,CT36*CX36*CX36*3.1416/4/CU36*GL36))</f>
        <v>8.93587726660441</v>
      </c>
      <c r="GP36" s="120" t="n">
        <f aca="false">IF(FRACTAL=2,1/'Fractal shoot'!E10,IF(FRACTAL=3,'Allometric tree'!V5,GM36*DD36*DD36*3.1416/4/DC36*(2-DG36)*DG36))</f>
        <v>35.7435090664177</v>
      </c>
      <c r="GQ36" s="120" t="n">
        <f aca="false">IF(FRACTAL=3,'Allometric tree'!W5,1/'Fractal root'!E8)</f>
        <v>7.14870181328353</v>
      </c>
      <c r="GR36" s="120" t="n">
        <f aca="false">IF(FRACTAL=3,'Allometric tree'!M5,GR28)</f>
        <v>7.14870181328353</v>
      </c>
      <c r="GS36" s="119" t="n">
        <v>3</v>
      </c>
      <c r="GT36" s="119" t="n">
        <v>3</v>
      </c>
      <c r="GU36" s="120" t="n">
        <f aca="false">IF(FRACTAL=3,'Allometric tree'!R5,GU28)</f>
        <v>3.57435090664177</v>
      </c>
      <c r="GV36" s="119" t="n">
        <v>-4</v>
      </c>
      <c r="GW36" s="120" t="n">
        <f aca="false">GV36</f>
        <v>-4</v>
      </c>
      <c r="GX36" s="120" t="n">
        <f aca="false">GW36</f>
        <v>-4</v>
      </c>
      <c r="GY36" s="120" t="n">
        <f aca="false">GX36</f>
        <v>-4</v>
      </c>
      <c r="GZ36" s="120" t="n">
        <f aca="false">GY36</f>
        <v>-4</v>
      </c>
      <c r="HA36" s="120" t="n">
        <f aca="false">GZ36</f>
        <v>-4</v>
      </c>
      <c r="HB36" s="120" t="n">
        <f aca="false">HA36</f>
        <v>-4</v>
      </c>
      <c r="HC36" s="120" t="n">
        <f aca="false">HB36</f>
        <v>-4</v>
      </c>
      <c r="HD36" s="119" t="n">
        <v>70</v>
      </c>
      <c r="HE36" s="120" t="n">
        <f aca="false">HD36</f>
        <v>70</v>
      </c>
      <c r="HF36" s="120" t="n">
        <f aca="false">HD36</f>
        <v>70</v>
      </c>
      <c r="HG36" s="120" t="n">
        <f aca="false">HE36</f>
        <v>70</v>
      </c>
      <c r="HH36" s="120" t="n">
        <f aca="false">HF36</f>
        <v>70</v>
      </c>
      <c r="HI36" s="120" t="n">
        <f aca="false">HG36</f>
        <v>70</v>
      </c>
      <c r="HJ36" s="120" t="n">
        <f aca="false">HH36</f>
        <v>70</v>
      </c>
      <c r="HK36" s="120" t="n">
        <f aca="false">HI36</f>
        <v>70</v>
      </c>
      <c r="HL36" s="119" t="n">
        <v>0</v>
      </c>
      <c r="HM36" s="119" t="n">
        <v>-1</v>
      </c>
      <c r="HN36" s="119" t="n">
        <v>0</v>
      </c>
      <c r="HO36" s="119" t="n">
        <v>0</v>
      </c>
      <c r="HP36" s="119" t="n">
        <v>0</v>
      </c>
      <c r="HQ36" s="119" t="n">
        <v>0</v>
      </c>
      <c r="HR36" s="119" t="n">
        <v>0</v>
      </c>
      <c r="HS36" s="119" t="n">
        <v>-0.008519669</v>
      </c>
      <c r="HT36" s="119" t="n">
        <v>-0.010750518</v>
      </c>
      <c r="HU36" s="119" t="n">
        <v>-0.006180124</v>
      </c>
      <c r="HV36" s="119" t="n">
        <v>0.005</v>
      </c>
      <c r="HW36" s="119" t="n">
        <v>0.001</v>
      </c>
      <c r="HX36" s="119" t="n">
        <v>0.001</v>
      </c>
      <c r="HY36" s="119" t="n">
        <v>0.001</v>
      </c>
      <c r="HZ36" s="119" t="n">
        <v>0</v>
      </c>
      <c r="IA36" s="119" t="n">
        <v>7</v>
      </c>
      <c r="IB36" s="119" t="n">
        <v>30</v>
      </c>
      <c r="IC36" s="142" t="n">
        <v>1.2E-006</v>
      </c>
      <c r="ID36" s="119" t="n">
        <v>0.3</v>
      </c>
      <c r="IE36" s="119" t="n">
        <v>0.1</v>
      </c>
      <c r="IF36" s="119" t="n">
        <v>10</v>
      </c>
      <c r="IG36" s="119" t="n">
        <v>0.25</v>
      </c>
      <c r="IH36" s="119" t="n">
        <v>0.1</v>
      </c>
      <c r="II36" s="119" t="n">
        <v>0</v>
      </c>
      <c r="IJ36" s="119" t="n">
        <v>0</v>
      </c>
      <c r="IK36" s="119" t="n">
        <v>0.001</v>
      </c>
      <c r="IL36" s="119" t="n">
        <v>0.01</v>
      </c>
      <c r="IM36" s="119" t="n">
        <v>0.002</v>
      </c>
      <c r="IN36" s="119" t="n">
        <v>0.5</v>
      </c>
      <c r="IO36" s="119" t="n">
        <v>2</v>
      </c>
      <c r="IP36" s="119" t="n">
        <v>0.005</v>
      </c>
      <c r="IQ36" s="119" t="n">
        <v>0.02</v>
      </c>
      <c r="IR36" s="119" t="n">
        <v>10</v>
      </c>
      <c r="IS36" s="119" t="n">
        <v>-2.1</v>
      </c>
      <c r="IT36" s="119" t="n">
        <v>-3.4</v>
      </c>
      <c r="IU36" s="119" t="n">
        <v>60</v>
      </c>
      <c r="IV36" s="119" t="n">
        <v>0</v>
      </c>
      <c r="IW36" s="119" t="n">
        <v>1</v>
      </c>
      <c r="IX36" s="119" t="n">
        <v>1</v>
      </c>
      <c r="IY36" s="119" t="n">
        <v>1</v>
      </c>
      <c r="IZ36" s="119" t="n">
        <v>35</v>
      </c>
      <c r="JA36" s="119" t="n">
        <v>1.2</v>
      </c>
      <c r="JB36" s="119" t="n">
        <v>4</v>
      </c>
      <c r="JC36" s="119" t="n">
        <v>0.05</v>
      </c>
      <c r="JD36" s="119" t="n">
        <v>1E-006</v>
      </c>
      <c r="JE36" s="119" t="n">
        <v>0.5</v>
      </c>
      <c r="MR36" s="424"/>
      <c r="MS36" s="424"/>
      <c r="MT36" s="424"/>
      <c r="MU36" s="424"/>
      <c r="MV36" s="424"/>
      <c r="MW36" s="424"/>
      <c r="MX36" s="424"/>
      <c r="MY36" s="424"/>
      <c r="MZ36" s="424"/>
      <c r="NA36" s="424"/>
      <c r="NB36" s="424"/>
      <c r="NM36" s="424"/>
    </row>
    <row r="37" customFormat="false" ht="15.75" hidden="false" customHeight="false" outlineLevel="0" collapsed="false">
      <c r="B37" s="119"/>
      <c r="AS37" s="421"/>
      <c r="AT37" s="421"/>
      <c r="AU37" s="421"/>
      <c r="AV37" s="421"/>
      <c r="AW37" s="422"/>
      <c r="AX37" s="421"/>
      <c r="AY37" s="421"/>
      <c r="AZ37" s="421"/>
      <c r="BA37" s="421"/>
      <c r="BB37" s="422"/>
      <c r="BC37" s="421"/>
      <c r="BD37" s="421"/>
      <c r="BE37" s="421"/>
      <c r="BF37" s="421"/>
      <c r="BG37" s="422"/>
      <c r="BH37" s="423"/>
      <c r="BL37" s="178"/>
      <c r="BM37" s="424"/>
      <c r="CY37" s="120"/>
      <c r="CZ37" s="120"/>
      <c r="DA37" s="120"/>
      <c r="DH37" s="120"/>
      <c r="DI37" s="120"/>
      <c r="DJ37" s="120"/>
      <c r="DK37" s="120"/>
      <c r="DM37" s="120"/>
      <c r="DN37" s="120"/>
      <c r="DO37" s="120"/>
      <c r="DP37" s="120"/>
      <c r="DQ37" s="120"/>
      <c r="DR37" s="120"/>
      <c r="EB37" s="119"/>
      <c r="EC37" s="119"/>
      <c r="ED37" s="119"/>
      <c r="EE37" s="119"/>
      <c r="ER37" s="178"/>
      <c r="ES37" s="178"/>
      <c r="ET37" s="178"/>
      <c r="EV37" s="120"/>
      <c r="EW37" s="120"/>
      <c r="EX37" s="120"/>
      <c r="FK37" s="120"/>
      <c r="FL37" s="120"/>
      <c r="FM37" s="426"/>
      <c r="FZ37" s="120"/>
      <c r="GA37" s="120"/>
      <c r="GB37" s="120"/>
      <c r="GD37" s="120"/>
      <c r="GE37" s="120"/>
      <c r="GF37" s="120"/>
      <c r="GH37" s="427"/>
      <c r="GI37" s="427"/>
      <c r="GJ37" s="427"/>
      <c r="GK37" s="120"/>
      <c r="GO37" s="120"/>
      <c r="GP37" s="120"/>
      <c r="GQ37" s="120"/>
      <c r="GR37" s="120"/>
      <c r="GU37" s="120"/>
      <c r="GW37" s="120"/>
      <c r="GX37" s="120"/>
      <c r="GY37" s="120"/>
      <c r="GZ37" s="120"/>
      <c r="HA37" s="120"/>
      <c r="HB37" s="120"/>
      <c r="HC37" s="120"/>
      <c r="HE37" s="120"/>
      <c r="HF37" s="120"/>
      <c r="HG37" s="120"/>
      <c r="HH37" s="120"/>
      <c r="HI37" s="120"/>
      <c r="HJ37" s="120"/>
      <c r="HK37" s="120"/>
      <c r="IC37" s="142"/>
    </row>
    <row r="38" customFormat="false" ht="15.75" hidden="false" customHeight="false" outlineLevel="0" collapsed="false">
      <c r="B38" s="119"/>
      <c r="AS38" s="421"/>
      <c r="AT38" s="421"/>
      <c r="AU38" s="421"/>
      <c r="AV38" s="421"/>
      <c r="AW38" s="422"/>
      <c r="AX38" s="421"/>
      <c r="AY38" s="421"/>
      <c r="AZ38" s="421"/>
      <c r="BA38" s="421"/>
      <c r="BB38" s="422"/>
      <c r="BC38" s="421"/>
      <c r="BD38" s="421"/>
      <c r="BE38" s="421"/>
      <c r="BF38" s="421"/>
      <c r="BG38" s="422"/>
      <c r="BH38" s="423"/>
      <c r="BL38" s="178"/>
      <c r="BM38" s="424"/>
      <c r="CY38" s="120"/>
      <c r="CZ38" s="120"/>
      <c r="DA38" s="120"/>
      <c r="DH38" s="120"/>
      <c r="DI38" s="120"/>
      <c r="DJ38" s="120"/>
      <c r="DK38" s="120"/>
      <c r="DM38" s="120"/>
      <c r="DN38" s="120"/>
      <c r="DO38" s="120"/>
      <c r="DP38" s="120"/>
      <c r="DQ38" s="120"/>
      <c r="DR38" s="120"/>
      <c r="EB38" s="119"/>
      <c r="EC38" s="119"/>
      <c r="ED38" s="119"/>
      <c r="EE38" s="119"/>
      <c r="ER38" s="178"/>
      <c r="ES38" s="178"/>
      <c r="ET38" s="178"/>
      <c r="EV38" s="120"/>
      <c r="EW38" s="120"/>
      <c r="EX38" s="120"/>
      <c r="FK38" s="120"/>
      <c r="FL38" s="120"/>
      <c r="FM38" s="426"/>
      <c r="FZ38" s="120"/>
      <c r="GA38" s="120"/>
      <c r="GB38" s="120"/>
      <c r="GD38" s="120"/>
      <c r="GE38" s="120"/>
      <c r="GF38" s="120"/>
      <c r="GH38" s="427"/>
      <c r="GI38" s="427"/>
      <c r="GJ38" s="427"/>
      <c r="GK38" s="120"/>
      <c r="GO38" s="120"/>
      <c r="GP38" s="120"/>
      <c r="GQ38" s="120"/>
      <c r="GR38" s="120"/>
      <c r="GU38" s="120"/>
      <c r="GW38" s="120"/>
      <c r="GX38" s="120"/>
      <c r="GY38" s="120"/>
      <c r="GZ38" s="120"/>
      <c r="HA38" s="120"/>
      <c r="HB38" s="120"/>
      <c r="HC38" s="120"/>
      <c r="HE38" s="120"/>
      <c r="HF38" s="120"/>
      <c r="HG38" s="120"/>
      <c r="HH38" s="120"/>
      <c r="HI38" s="120"/>
      <c r="HJ38" s="120"/>
      <c r="HK38" s="120"/>
      <c r="IC38" s="142"/>
    </row>
    <row r="39" customFormat="false" ht="15.75" hidden="false" customHeight="false" outlineLevel="0" collapsed="false">
      <c r="B39" s="119"/>
      <c r="AS39" s="421"/>
      <c r="AT39" s="421"/>
      <c r="AU39" s="421"/>
      <c r="AV39" s="421"/>
      <c r="AW39" s="422"/>
      <c r="AX39" s="421"/>
      <c r="AY39" s="421"/>
      <c r="AZ39" s="421"/>
      <c r="BA39" s="421"/>
      <c r="BB39" s="422"/>
      <c r="BC39" s="421"/>
      <c r="BD39" s="421"/>
      <c r="BE39" s="421"/>
      <c r="BF39" s="421"/>
      <c r="BG39" s="422"/>
      <c r="BH39" s="423"/>
      <c r="BL39" s="178"/>
      <c r="BM39" s="424"/>
      <c r="CY39" s="120"/>
      <c r="CZ39" s="120"/>
      <c r="DA39" s="120"/>
      <c r="DH39" s="120"/>
      <c r="DI39" s="120"/>
      <c r="DJ39" s="120"/>
      <c r="DK39" s="120"/>
      <c r="DM39" s="120"/>
      <c r="DN39" s="120"/>
      <c r="DO39" s="120"/>
      <c r="DP39" s="120"/>
      <c r="DQ39" s="120"/>
      <c r="DR39" s="120"/>
      <c r="EB39" s="119"/>
      <c r="EC39" s="119"/>
      <c r="ED39" s="119"/>
      <c r="EE39" s="119"/>
      <c r="ER39" s="178"/>
      <c r="ES39" s="178"/>
      <c r="ET39" s="178"/>
      <c r="EV39" s="120"/>
      <c r="EW39" s="120"/>
      <c r="EX39" s="120"/>
      <c r="FK39" s="120"/>
      <c r="FL39" s="120"/>
      <c r="FM39" s="426"/>
      <c r="FZ39" s="120"/>
      <c r="GA39" s="120"/>
      <c r="GB39" s="120"/>
      <c r="GD39" s="120"/>
      <c r="GE39" s="120"/>
      <c r="GF39" s="120"/>
      <c r="GH39" s="427"/>
      <c r="GI39" s="427"/>
      <c r="GJ39" s="427"/>
      <c r="GK39" s="120"/>
      <c r="GO39" s="120"/>
      <c r="GP39" s="120"/>
      <c r="GQ39" s="120"/>
      <c r="GR39" s="120"/>
      <c r="GU39" s="120"/>
      <c r="GW39" s="120"/>
      <c r="GX39" s="120"/>
      <c r="GY39" s="120"/>
      <c r="GZ39" s="120"/>
      <c r="HA39" s="120"/>
      <c r="HB39" s="120"/>
      <c r="HC39" s="120"/>
      <c r="HE39" s="120"/>
      <c r="HF39" s="120"/>
      <c r="HG39" s="120"/>
      <c r="HH39" s="120"/>
      <c r="HI39" s="120"/>
      <c r="HJ39" s="120"/>
      <c r="HK39" s="120"/>
      <c r="IC39" s="142"/>
    </row>
    <row r="40" customFormat="false" ht="15.75" hidden="false" customHeight="false" outlineLevel="0" collapsed="false">
      <c r="B40" s="119"/>
      <c r="AS40" s="421"/>
      <c r="AT40" s="421"/>
      <c r="AU40" s="421"/>
      <c r="AV40" s="421"/>
      <c r="AW40" s="422"/>
      <c r="AX40" s="421"/>
      <c r="AY40" s="421"/>
      <c r="AZ40" s="421"/>
      <c r="BA40" s="421"/>
      <c r="BB40" s="422"/>
      <c r="BC40" s="421"/>
      <c r="BD40" s="421"/>
      <c r="BE40" s="421"/>
      <c r="BF40" s="421"/>
      <c r="BG40" s="422"/>
      <c r="BH40" s="423"/>
      <c r="BL40" s="178"/>
      <c r="BM40" s="424"/>
      <c r="CY40" s="120"/>
      <c r="CZ40" s="120"/>
      <c r="DA40" s="120"/>
      <c r="DH40" s="120"/>
      <c r="DI40" s="120"/>
      <c r="DJ40" s="120"/>
      <c r="DK40" s="120"/>
      <c r="DM40" s="120"/>
      <c r="DN40" s="120"/>
      <c r="DO40" s="120"/>
      <c r="DP40" s="120"/>
      <c r="DQ40" s="120"/>
      <c r="DR40" s="120"/>
      <c r="EB40" s="119"/>
      <c r="EC40" s="119"/>
      <c r="ED40" s="119"/>
      <c r="EE40" s="119"/>
      <c r="ER40" s="178"/>
      <c r="ES40" s="178"/>
      <c r="ET40" s="178"/>
      <c r="EV40" s="120"/>
      <c r="EW40" s="120"/>
      <c r="EX40" s="120"/>
      <c r="FK40" s="120"/>
      <c r="FL40" s="120"/>
      <c r="FM40" s="426"/>
      <c r="FZ40" s="120"/>
      <c r="GA40" s="120"/>
      <c r="GB40" s="120"/>
      <c r="GD40" s="120"/>
      <c r="GE40" s="120"/>
      <c r="GF40" s="120"/>
      <c r="GH40" s="427"/>
      <c r="GI40" s="427"/>
      <c r="GJ40" s="427"/>
      <c r="GK40" s="120"/>
      <c r="GO40" s="120"/>
      <c r="GP40" s="120"/>
      <c r="GQ40" s="120"/>
      <c r="GR40" s="120"/>
      <c r="GU40" s="120"/>
      <c r="GW40" s="120"/>
      <c r="GX40" s="120"/>
      <c r="GY40" s="120"/>
      <c r="GZ40" s="120"/>
      <c r="HA40" s="120"/>
      <c r="HB40" s="120"/>
      <c r="HC40" s="120"/>
      <c r="HE40" s="120"/>
      <c r="HF40" s="120"/>
      <c r="HG40" s="120"/>
      <c r="HH40" s="120"/>
      <c r="HI40" s="120"/>
      <c r="HJ40" s="120"/>
      <c r="HK40" s="120"/>
      <c r="IC40" s="142"/>
    </row>
    <row r="41" customFormat="false" ht="15.75" hidden="false" customHeight="false" outlineLevel="0" collapsed="false">
      <c r="B41" s="119"/>
      <c r="AS41" s="421"/>
      <c r="AT41" s="421"/>
      <c r="AU41" s="421"/>
      <c r="AV41" s="421"/>
      <c r="AW41" s="422"/>
      <c r="AX41" s="421"/>
      <c r="AY41" s="421"/>
      <c r="AZ41" s="421"/>
      <c r="BA41" s="421"/>
      <c r="BB41" s="422"/>
      <c r="BC41" s="421"/>
      <c r="BD41" s="421"/>
      <c r="BE41" s="421"/>
      <c r="BF41" s="421"/>
      <c r="BG41" s="422"/>
      <c r="BH41" s="423"/>
      <c r="BL41" s="178"/>
      <c r="BM41" s="424"/>
      <c r="CY41" s="120"/>
      <c r="CZ41" s="120"/>
      <c r="DA41" s="120"/>
      <c r="DH41" s="120"/>
      <c r="DI41" s="120"/>
      <c r="DJ41" s="120"/>
      <c r="DK41" s="120"/>
      <c r="DM41" s="120"/>
      <c r="DN41" s="120"/>
      <c r="DO41" s="120"/>
      <c r="DP41" s="120"/>
      <c r="DQ41" s="120"/>
      <c r="DR41" s="120"/>
      <c r="EB41" s="119"/>
      <c r="EC41" s="119"/>
      <c r="ED41" s="119"/>
      <c r="EE41" s="119"/>
      <c r="ER41" s="178"/>
      <c r="ES41" s="178"/>
      <c r="ET41" s="178"/>
      <c r="EV41" s="120"/>
      <c r="EW41" s="120"/>
      <c r="EX41" s="120"/>
      <c r="FK41" s="120"/>
      <c r="FL41" s="120"/>
      <c r="FM41" s="426"/>
      <c r="FZ41" s="120"/>
      <c r="GA41" s="120"/>
      <c r="GB41" s="120"/>
      <c r="GD41" s="120"/>
      <c r="GE41" s="120"/>
      <c r="GF41" s="120"/>
      <c r="GH41" s="427"/>
      <c r="GI41" s="427"/>
      <c r="GJ41" s="427"/>
      <c r="GK41" s="120"/>
      <c r="GO41" s="120"/>
      <c r="GP41" s="120"/>
      <c r="GQ41" s="120"/>
      <c r="GR41" s="120"/>
      <c r="GU41" s="120"/>
      <c r="GW41" s="120"/>
      <c r="GX41" s="120"/>
      <c r="GY41" s="120"/>
      <c r="GZ41" s="120"/>
      <c r="HA41" s="120"/>
      <c r="HB41" s="120"/>
      <c r="HC41" s="120"/>
      <c r="HE41" s="120"/>
      <c r="HF41" s="120"/>
      <c r="HG41" s="120"/>
      <c r="HH41" s="120"/>
      <c r="HI41" s="120"/>
      <c r="HJ41" s="120"/>
      <c r="HK41" s="120"/>
      <c r="IC41" s="142"/>
    </row>
    <row r="42" customFormat="false" ht="15.75" hidden="false" customHeight="false" outlineLevel="0" collapsed="false">
      <c r="B42" s="119"/>
      <c r="AS42" s="421"/>
      <c r="AT42" s="421"/>
      <c r="AU42" s="421"/>
      <c r="AV42" s="421"/>
      <c r="AW42" s="422"/>
      <c r="AX42" s="421"/>
      <c r="AY42" s="421"/>
      <c r="AZ42" s="421"/>
      <c r="BA42" s="421"/>
      <c r="BB42" s="422"/>
      <c r="BC42" s="421"/>
      <c r="BD42" s="421"/>
      <c r="BE42" s="421"/>
      <c r="BF42" s="421"/>
      <c r="BG42" s="422"/>
      <c r="BH42" s="423"/>
      <c r="BL42" s="178"/>
      <c r="BM42" s="424"/>
      <c r="CY42" s="120"/>
      <c r="CZ42" s="120"/>
      <c r="DA42" s="120"/>
      <c r="DH42" s="120"/>
      <c r="DI42" s="120"/>
      <c r="DJ42" s="120"/>
      <c r="DK42" s="120"/>
      <c r="DM42" s="120"/>
      <c r="DN42" s="120"/>
      <c r="DO42" s="120"/>
      <c r="DP42" s="120"/>
      <c r="DQ42" s="120"/>
      <c r="DR42" s="120"/>
      <c r="EB42" s="119"/>
      <c r="EC42" s="119"/>
      <c r="ED42" s="119"/>
      <c r="EE42" s="119"/>
      <c r="ER42" s="178"/>
      <c r="ES42" s="178"/>
      <c r="ET42" s="178"/>
      <c r="EV42" s="120"/>
      <c r="EW42" s="120"/>
      <c r="EX42" s="120"/>
      <c r="FK42" s="120"/>
      <c r="FL42" s="120"/>
      <c r="FM42" s="426"/>
      <c r="FZ42" s="120"/>
      <c r="GA42" s="120"/>
      <c r="GB42" s="120"/>
      <c r="GD42" s="120"/>
      <c r="GE42" s="120"/>
      <c r="GF42" s="120"/>
      <c r="GH42" s="427"/>
      <c r="GI42" s="427"/>
      <c r="GJ42" s="427"/>
      <c r="GK42" s="120"/>
      <c r="GO42" s="120"/>
      <c r="GP42" s="120"/>
      <c r="GQ42" s="120"/>
      <c r="GR42" s="120"/>
      <c r="GU42" s="120"/>
      <c r="GW42" s="120"/>
      <c r="GX42" s="120"/>
      <c r="GY42" s="120"/>
      <c r="GZ42" s="120"/>
      <c r="HA42" s="120"/>
      <c r="HB42" s="120"/>
      <c r="HC42" s="120"/>
      <c r="HE42" s="120"/>
      <c r="HF42" s="120"/>
      <c r="HG42" s="120"/>
      <c r="HH42" s="120"/>
      <c r="HI42" s="120"/>
      <c r="HJ42" s="120"/>
      <c r="HK42" s="120"/>
      <c r="IC42" s="142"/>
    </row>
    <row r="43" customFormat="false" ht="15.75" hidden="false" customHeight="false" outlineLevel="0" collapsed="false">
      <c r="B43" s="119"/>
      <c r="AS43" s="421"/>
      <c r="AT43" s="421"/>
      <c r="AU43" s="421"/>
      <c r="AV43" s="421"/>
      <c r="AW43" s="422"/>
      <c r="AX43" s="421"/>
      <c r="AY43" s="421"/>
      <c r="AZ43" s="421"/>
      <c r="BA43" s="421"/>
      <c r="BB43" s="422"/>
      <c r="BC43" s="421"/>
      <c r="BD43" s="421"/>
      <c r="BE43" s="421"/>
      <c r="BF43" s="421"/>
      <c r="BG43" s="422"/>
      <c r="BH43" s="423"/>
      <c r="BL43" s="178"/>
      <c r="BM43" s="424"/>
      <c r="CY43" s="120"/>
      <c r="CZ43" s="120"/>
      <c r="DA43" s="120"/>
      <c r="DH43" s="120"/>
      <c r="DI43" s="120"/>
      <c r="DJ43" s="120"/>
      <c r="DK43" s="120"/>
      <c r="DM43" s="120"/>
      <c r="DN43" s="120"/>
      <c r="DO43" s="120"/>
      <c r="DP43" s="120"/>
      <c r="DQ43" s="120"/>
      <c r="DR43" s="120"/>
      <c r="EB43" s="119"/>
      <c r="EC43" s="119"/>
      <c r="ED43" s="119"/>
      <c r="EE43" s="119"/>
      <c r="ER43" s="178"/>
      <c r="ES43" s="178"/>
      <c r="ET43" s="178"/>
      <c r="EV43" s="120"/>
      <c r="EW43" s="120"/>
      <c r="EX43" s="120"/>
      <c r="FK43" s="120"/>
      <c r="FL43" s="120"/>
      <c r="FM43" s="426"/>
      <c r="FZ43" s="120"/>
      <c r="GA43" s="120"/>
      <c r="GB43" s="120"/>
      <c r="GD43" s="120"/>
      <c r="GE43" s="120"/>
      <c r="GF43" s="120"/>
      <c r="GH43" s="427"/>
      <c r="GI43" s="427"/>
      <c r="GJ43" s="427"/>
      <c r="GK43" s="120"/>
      <c r="GO43" s="120"/>
      <c r="GP43" s="120"/>
      <c r="GQ43" s="120"/>
      <c r="GR43" s="120"/>
      <c r="GU43" s="120"/>
      <c r="GW43" s="120"/>
      <c r="GX43" s="120"/>
      <c r="GY43" s="120"/>
      <c r="GZ43" s="120"/>
      <c r="HA43" s="120"/>
      <c r="HB43" s="120"/>
      <c r="HC43" s="120"/>
      <c r="HE43" s="120"/>
      <c r="HF43" s="120"/>
      <c r="HG43" s="120"/>
      <c r="HH43" s="120"/>
      <c r="HI43" s="120"/>
      <c r="HJ43" s="120"/>
      <c r="HK43" s="120"/>
      <c r="IC43" s="142"/>
    </row>
    <row r="44" customFormat="false" ht="15.75" hidden="false" customHeight="false" outlineLevel="0" collapsed="false">
      <c r="B44" s="119"/>
      <c r="AS44" s="421"/>
      <c r="AT44" s="421"/>
      <c r="AU44" s="421"/>
      <c r="AV44" s="421"/>
      <c r="AW44" s="422"/>
      <c r="AX44" s="421"/>
      <c r="AY44" s="421"/>
      <c r="AZ44" s="421"/>
      <c r="BA44" s="421"/>
      <c r="BB44" s="422"/>
      <c r="BC44" s="421"/>
      <c r="BD44" s="421"/>
      <c r="BE44" s="421"/>
      <c r="BF44" s="421"/>
      <c r="BG44" s="422"/>
      <c r="BH44" s="423"/>
      <c r="BL44" s="178"/>
      <c r="BM44" s="424"/>
      <c r="CY44" s="120"/>
      <c r="CZ44" s="120"/>
      <c r="DA44" s="120"/>
      <c r="DH44" s="120"/>
      <c r="DI44" s="120"/>
      <c r="DJ44" s="120"/>
      <c r="DK44" s="120"/>
      <c r="DM44" s="120"/>
      <c r="DN44" s="120"/>
      <c r="DO44" s="120"/>
      <c r="DP44" s="120"/>
      <c r="DQ44" s="120"/>
      <c r="DR44" s="120"/>
      <c r="EB44" s="119"/>
      <c r="EC44" s="119"/>
      <c r="ED44" s="119"/>
      <c r="EE44" s="119"/>
      <c r="ER44" s="178"/>
      <c r="ES44" s="178"/>
      <c r="ET44" s="178"/>
      <c r="EV44" s="120"/>
      <c r="EW44" s="120"/>
      <c r="EX44" s="120"/>
      <c r="FK44" s="120"/>
      <c r="FL44" s="120"/>
      <c r="FM44" s="426"/>
      <c r="FZ44" s="120"/>
      <c r="GA44" s="120"/>
      <c r="GB44" s="120"/>
      <c r="GD44" s="120"/>
      <c r="GE44" s="120"/>
      <c r="GF44" s="120"/>
      <c r="GH44" s="427"/>
      <c r="GI44" s="427"/>
      <c r="GJ44" s="427"/>
      <c r="GK44" s="120"/>
      <c r="GO44" s="120"/>
      <c r="GP44" s="120"/>
      <c r="GQ44" s="120"/>
      <c r="GR44" s="120"/>
      <c r="GU44" s="120"/>
      <c r="GW44" s="120"/>
      <c r="GX44" s="120"/>
      <c r="GY44" s="120"/>
      <c r="GZ44" s="120"/>
      <c r="HA44" s="120"/>
      <c r="HB44" s="120"/>
      <c r="HC44" s="120"/>
      <c r="HE44" s="120"/>
      <c r="HF44" s="120"/>
      <c r="HG44" s="120"/>
      <c r="HH44" s="120"/>
      <c r="HI44" s="120"/>
      <c r="HJ44" s="120"/>
      <c r="HK44" s="120"/>
      <c r="IC44" s="142"/>
    </row>
    <row r="45" customFormat="false" ht="15.75" hidden="false" customHeight="false" outlineLevel="0" collapsed="false">
      <c r="B45" s="119"/>
      <c r="AS45" s="421"/>
      <c r="AT45" s="421"/>
      <c r="AU45" s="421"/>
      <c r="AV45" s="421"/>
      <c r="AW45" s="422"/>
      <c r="AX45" s="421"/>
      <c r="AY45" s="421"/>
      <c r="AZ45" s="421"/>
      <c r="BA45" s="421"/>
      <c r="BB45" s="422"/>
      <c r="BC45" s="421"/>
      <c r="BD45" s="421"/>
      <c r="BE45" s="421"/>
      <c r="BF45" s="421"/>
      <c r="BG45" s="422"/>
      <c r="BH45" s="423"/>
      <c r="BL45" s="178"/>
      <c r="BM45" s="424"/>
      <c r="CY45" s="120"/>
      <c r="CZ45" s="120"/>
      <c r="DA45" s="120"/>
      <c r="DH45" s="120"/>
      <c r="DI45" s="120"/>
      <c r="DJ45" s="120"/>
      <c r="DK45" s="120"/>
      <c r="DM45" s="120"/>
      <c r="DN45" s="120"/>
      <c r="DO45" s="120"/>
      <c r="DP45" s="120"/>
      <c r="DQ45" s="120"/>
      <c r="DR45" s="120"/>
      <c r="EB45" s="119"/>
      <c r="EC45" s="119"/>
      <c r="ED45" s="119"/>
      <c r="EE45" s="119"/>
      <c r="ER45" s="178"/>
      <c r="ES45" s="178"/>
      <c r="ET45" s="178"/>
      <c r="EV45" s="120"/>
      <c r="EW45" s="120"/>
      <c r="EX45" s="120"/>
      <c r="FK45" s="120"/>
      <c r="FL45" s="120"/>
      <c r="FM45" s="426"/>
      <c r="FZ45" s="120"/>
      <c r="GA45" s="120"/>
      <c r="GB45" s="120"/>
      <c r="GD45" s="120"/>
      <c r="GE45" s="120"/>
      <c r="GF45" s="120"/>
      <c r="GH45" s="427"/>
      <c r="GI45" s="427"/>
      <c r="GJ45" s="427"/>
      <c r="GK45" s="120"/>
      <c r="GO45" s="120"/>
      <c r="GP45" s="120"/>
      <c r="GQ45" s="120"/>
      <c r="GR45" s="120"/>
      <c r="GU45" s="120"/>
      <c r="GW45" s="120"/>
      <c r="GX45" s="120"/>
      <c r="GY45" s="120"/>
      <c r="GZ45" s="120"/>
      <c r="HA45" s="120"/>
      <c r="HB45" s="120"/>
      <c r="HC45" s="120"/>
      <c r="HE45" s="120"/>
      <c r="HF45" s="120"/>
      <c r="HG45" s="120"/>
      <c r="HH45" s="120"/>
      <c r="HI45" s="120"/>
      <c r="HJ45" s="120"/>
      <c r="HK45" s="120"/>
      <c r="IC45" s="142"/>
    </row>
    <row r="46" customFormat="false" ht="15.75" hidden="false" customHeight="false" outlineLevel="0" collapsed="false">
      <c r="B46" s="119"/>
      <c r="AS46" s="421"/>
      <c r="AT46" s="421"/>
      <c r="AU46" s="421"/>
      <c r="AV46" s="421"/>
      <c r="AW46" s="422"/>
      <c r="AX46" s="421"/>
      <c r="AY46" s="421"/>
      <c r="AZ46" s="421"/>
      <c r="BA46" s="421"/>
      <c r="BB46" s="422"/>
      <c r="BC46" s="421"/>
      <c r="BD46" s="421"/>
      <c r="BE46" s="421"/>
      <c r="BF46" s="421"/>
      <c r="BG46" s="422"/>
      <c r="BH46" s="423"/>
      <c r="BL46" s="178"/>
      <c r="BM46" s="424"/>
      <c r="CY46" s="120"/>
      <c r="CZ46" s="120"/>
      <c r="DA46" s="120"/>
      <c r="DH46" s="120"/>
      <c r="DI46" s="120"/>
      <c r="DJ46" s="120"/>
      <c r="DK46" s="120"/>
      <c r="DM46" s="120"/>
      <c r="DN46" s="120"/>
      <c r="DO46" s="120"/>
      <c r="DP46" s="120"/>
      <c r="DQ46" s="120"/>
      <c r="DR46" s="120"/>
      <c r="EB46" s="119"/>
      <c r="EC46" s="119"/>
      <c r="ED46" s="119"/>
      <c r="EE46" s="119"/>
      <c r="ER46" s="178"/>
      <c r="ES46" s="178"/>
      <c r="ET46" s="178"/>
      <c r="EV46" s="120"/>
      <c r="EW46" s="120"/>
      <c r="EX46" s="120"/>
      <c r="FK46" s="120"/>
      <c r="FL46" s="120"/>
      <c r="FM46" s="426"/>
      <c r="FZ46" s="120"/>
      <c r="GA46" s="120"/>
      <c r="GB46" s="120"/>
      <c r="GD46" s="120"/>
      <c r="GE46" s="120"/>
      <c r="GF46" s="120"/>
      <c r="GH46" s="427"/>
      <c r="GI46" s="427"/>
      <c r="GJ46" s="427"/>
      <c r="GK46" s="120"/>
      <c r="GO46" s="120"/>
      <c r="GP46" s="120"/>
      <c r="GQ46" s="120"/>
      <c r="GR46" s="120"/>
      <c r="GU46" s="120"/>
      <c r="GW46" s="120"/>
      <c r="GX46" s="120"/>
      <c r="GY46" s="120"/>
      <c r="GZ46" s="120"/>
      <c r="HA46" s="120"/>
      <c r="HB46" s="120"/>
      <c r="HC46" s="120"/>
      <c r="HE46" s="120"/>
      <c r="HF46" s="120"/>
      <c r="HG46" s="120"/>
      <c r="HH46" s="120"/>
      <c r="HI46" s="120"/>
      <c r="HJ46" s="120"/>
      <c r="HK46" s="120"/>
      <c r="IC46" s="142"/>
    </row>
    <row r="47" customFormat="false" ht="15.75" hidden="false" customHeight="false" outlineLevel="0" collapsed="false">
      <c r="B47" s="119"/>
      <c r="AS47" s="421"/>
      <c r="AT47" s="421"/>
      <c r="AU47" s="421"/>
      <c r="AV47" s="421"/>
      <c r="AW47" s="422"/>
      <c r="AX47" s="421"/>
      <c r="AY47" s="421"/>
      <c r="AZ47" s="421"/>
      <c r="BA47" s="421"/>
      <c r="BB47" s="422"/>
      <c r="BC47" s="421"/>
      <c r="BD47" s="421"/>
      <c r="BE47" s="421"/>
      <c r="BF47" s="421"/>
      <c r="BG47" s="422"/>
      <c r="BH47" s="423"/>
      <c r="BL47" s="178"/>
      <c r="BM47" s="424"/>
      <c r="CY47" s="120"/>
      <c r="CZ47" s="120"/>
      <c r="DA47" s="120"/>
      <c r="DH47" s="120"/>
      <c r="DI47" s="120"/>
      <c r="DJ47" s="120"/>
      <c r="DK47" s="120"/>
      <c r="DM47" s="120"/>
      <c r="DN47" s="120"/>
      <c r="DO47" s="120"/>
      <c r="DP47" s="120"/>
      <c r="DQ47" s="120"/>
      <c r="DR47" s="120"/>
      <c r="EB47" s="119"/>
      <c r="EC47" s="119"/>
      <c r="ED47" s="119"/>
      <c r="EE47" s="119"/>
      <c r="ER47" s="178"/>
      <c r="ES47" s="178"/>
      <c r="ET47" s="178"/>
      <c r="EV47" s="120"/>
      <c r="EW47" s="120"/>
      <c r="EX47" s="120"/>
      <c r="FK47" s="120"/>
      <c r="FL47" s="120"/>
      <c r="FM47" s="426"/>
      <c r="FZ47" s="120"/>
      <c r="GA47" s="120"/>
      <c r="GB47" s="120"/>
      <c r="GD47" s="120"/>
      <c r="GE47" s="120"/>
      <c r="GF47" s="120"/>
      <c r="GH47" s="427"/>
      <c r="GI47" s="427"/>
      <c r="GJ47" s="427"/>
      <c r="GK47" s="120"/>
      <c r="GO47" s="120"/>
      <c r="GP47" s="120"/>
      <c r="GQ47" s="120"/>
      <c r="GR47" s="120"/>
      <c r="GU47" s="120"/>
      <c r="GW47" s="120"/>
      <c r="GX47" s="120"/>
      <c r="GY47" s="120"/>
      <c r="GZ47" s="120"/>
      <c r="HA47" s="120"/>
      <c r="HB47" s="120"/>
      <c r="HC47" s="120"/>
      <c r="HE47" s="120"/>
      <c r="HF47" s="120"/>
      <c r="HG47" s="120"/>
      <c r="HH47" s="120"/>
      <c r="HI47" s="120"/>
      <c r="HJ47" s="120"/>
      <c r="HK47" s="120"/>
      <c r="IC47" s="142"/>
    </row>
    <row r="48" customFormat="false" ht="15.75" hidden="false" customHeight="false" outlineLevel="0" collapsed="false">
      <c r="B48" s="119"/>
      <c r="AS48" s="421"/>
      <c r="AT48" s="421"/>
      <c r="AU48" s="421"/>
      <c r="AV48" s="421"/>
      <c r="AW48" s="422"/>
      <c r="AX48" s="421"/>
      <c r="AY48" s="421"/>
      <c r="AZ48" s="421"/>
      <c r="BA48" s="421"/>
      <c r="BB48" s="422"/>
      <c r="BC48" s="421"/>
      <c r="BD48" s="421"/>
      <c r="BE48" s="421"/>
      <c r="BF48" s="421"/>
      <c r="BG48" s="422"/>
      <c r="BH48" s="423"/>
      <c r="BL48" s="178"/>
      <c r="BM48" s="424"/>
      <c r="CY48" s="120"/>
      <c r="CZ48" s="120"/>
      <c r="DA48" s="120"/>
      <c r="DH48" s="120"/>
      <c r="DI48" s="120"/>
      <c r="DJ48" s="120"/>
      <c r="DK48" s="120"/>
      <c r="DM48" s="120"/>
      <c r="DN48" s="120"/>
      <c r="DO48" s="120"/>
      <c r="DP48" s="120"/>
      <c r="DQ48" s="120"/>
      <c r="DR48" s="120"/>
      <c r="EB48" s="119"/>
      <c r="EC48" s="119"/>
      <c r="ED48" s="119"/>
      <c r="EE48" s="119"/>
      <c r="ER48" s="178"/>
      <c r="ES48" s="178"/>
      <c r="ET48" s="178"/>
      <c r="EV48" s="120"/>
      <c r="EW48" s="120"/>
      <c r="EX48" s="120"/>
      <c r="FK48" s="120"/>
      <c r="FL48" s="120"/>
      <c r="FM48" s="426"/>
      <c r="FZ48" s="120"/>
      <c r="GA48" s="120"/>
      <c r="GB48" s="120"/>
      <c r="GD48" s="120"/>
      <c r="GE48" s="120"/>
      <c r="GF48" s="120"/>
      <c r="GH48" s="427"/>
      <c r="GI48" s="427"/>
      <c r="GJ48" s="427"/>
      <c r="GK48" s="120"/>
      <c r="GO48" s="120"/>
      <c r="GP48" s="120"/>
      <c r="GQ48" s="120"/>
      <c r="GR48" s="120"/>
      <c r="GU48" s="120"/>
      <c r="GW48" s="120"/>
      <c r="GX48" s="120"/>
      <c r="GY48" s="120"/>
      <c r="GZ48" s="120"/>
      <c r="HA48" s="120"/>
      <c r="HB48" s="120"/>
      <c r="HC48" s="120"/>
      <c r="HE48" s="120"/>
      <c r="HF48" s="120"/>
      <c r="HG48" s="120"/>
      <c r="HH48" s="120"/>
      <c r="HI48" s="120"/>
      <c r="HJ48" s="120"/>
      <c r="HK48" s="120"/>
      <c r="IC48" s="142"/>
    </row>
    <row r="49" customFormat="false" ht="15.75" hidden="false" customHeight="false" outlineLevel="0" collapsed="false">
      <c r="B49" s="119"/>
      <c r="AS49" s="421"/>
      <c r="AT49" s="421"/>
      <c r="AU49" s="421"/>
      <c r="AV49" s="421"/>
      <c r="AW49" s="422"/>
      <c r="AX49" s="421"/>
      <c r="AY49" s="421"/>
      <c r="AZ49" s="421"/>
      <c r="BA49" s="421"/>
      <c r="BB49" s="422"/>
      <c r="BC49" s="421"/>
      <c r="BD49" s="421"/>
      <c r="BE49" s="421"/>
      <c r="BF49" s="421"/>
      <c r="BG49" s="422"/>
      <c r="BH49" s="423"/>
      <c r="BL49" s="178"/>
      <c r="BM49" s="424"/>
      <c r="CY49" s="120"/>
      <c r="CZ49" s="120"/>
      <c r="DA49" s="120"/>
      <c r="DH49" s="120"/>
      <c r="DI49" s="120"/>
      <c r="DJ49" s="120"/>
      <c r="DK49" s="120"/>
      <c r="DM49" s="120"/>
      <c r="DN49" s="120"/>
      <c r="DO49" s="120"/>
      <c r="DP49" s="120"/>
      <c r="DQ49" s="120"/>
      <c r="DR49" s="120"/>
      <c r="EB49" s="119"/>
      <c r="EC49" s="119"/>
      <c r="ED49" s="119"/>
      <c r="EE49" s="119"/>
      <c r="ER49" s="178"/>
      <c r="ES49" s="178"/>
      <c r="ET49" s="178"/>
      <c r="EV49" s="120"/>
      <c r="EW49" s="120"/>
      <c r="EX49" s="120"/>
      <c r="FK49" s="120"/>
      <c r="FL49" s="120"/>
      <c r="FM49" s="426"/>
      <c r="FZ49" s="120"/>
      <c r="GA49" s="120"/>
      <c r="GB49" s="120"/>
      <c r="GD49" s="120"/>
      <c r="GE49" s="120"/>
      <c r="GF49" s="120"/>
      <c r="GH49" s="427"/>
      <c r="GI49" s="427"/>
      <c r="GJ49" s="427"/>
      <c r="GK49" s="120"/>
      <c r="GO49" s="120"/>
      <c r="GP49" s="120"/>
      <c r="GQ49" s="120"/>
      <c r="GR49" s="120"/>
      <c r="GU49" s="120"/>
      <c r="GW49" s="120"/>
      <c r="GX49" s="120"/>
      <c r="GY49" s="120"/>
      <c r="GZ49" s="120"/>
      <c r="HA49" s="120"/>
      <c r="HB49" s="120"/>
      <c r="HC49" s="120"/>
      <c r="HE49" s="120"/>
      <c r="HF49" s="120"/>
      <c r="HG49" s="120"/>
      <c r="HH49" s="120"/>
      <c r="HI49" s="120"/>
      <c r="HJ49" s="120"/>
      <c r="HK49" s="120"/>
      <c r="IC49" s="142"/>
    </row>
    <row r="50" customFormat="false" ht="15.75" hidden="false" customHeight="false" outlineLevel="0" collapsed="false">
      <c r="B50" s="119"/>
      <c r="AS50" s="421"/>
      <c r="AT50" s="421"/>
      <c r="AU50" s="421"/>
      <c r="AV50" s="421"/>
      <c r="AW50" s="422"/>
      <c r="AX50" s="421"/>
      <c r="AY50" s="421"/>
      <c r="AZ50" s="421"/>
      <c r="BA50" s="421"/>
      <c r="BB50" s="422"/>
      <c r="BC50" s="421"/>
      <c r="BD50" s="421"/>
      <c r="BE50" s="421"/>
      <c r="BF50" s="421"/>
      <c r="BG50" s="422"/>
      <c r="BH50" s="423"/>
      <c r="BL50" s="178"/>
      <c r="BM50" s="424"/>
      <c r="CY50" s="120"/>
      <c r="CZ50" s="120"/>
      <c r="DA50" s="120"/>
      <c r="DH50" s="120"/>
      <c r="DI50" s="120"/>
      <c r="DJ50" s="120"/>
      <c r="DK50" s="120"/>
      <c r="DM50" s="120"/>
      <c r="DN50" s="120"/>
      <c r="DO50" s="120"/>
      <c r="DP50" s="120"/>
      <c r="DQ50" s="120"/>
      <c r="DR50" s="120"/>
      <c r="EB50" s="119"/>
      <c r="EC50" s="119"/>
      <c r="ED50" s="119"/>
      <c r="EE50" s="119"/>
      <c r="ER50" s="178"/>
      <c r="ES50" s="178"/>
      <c r="ET50" s="178"/>
      <c r="EV50" s="120"/>
      <c r="EW50" s="120"/>
      <c r="EX50" s="120"/>
      <c r="FK50" s="120"/>
      <c r="FL50" s="120"/>
      <c r="FM50" s="426"/>
      <c r="FZ50" s="120"/>
      <c r="GA50" s="120"/>
      <c r="GB50" s="120"/>
      <c r="GD50" s="120"/>
      <c r="GE50" s="120"/>
      <c r="GF50" s="120"/>
      <c r="GH50" s="427"/>
      <c r="GI50" s="427"/>
      <c r="GJ50" s="427"/>
      <c r="GK50" s="120"/>
      <c r="GO50" s="120"/>
      <c r="GP50" s="120"/>
      <c r="GQ50" s="120"/>
      <c r="GR50" s="120"/>
      <c r="GU50" s="120"/>
      <c r="GW50" s="120"/>
      <c r="GX50" s="120"/>
      <c r="GY50" s="120"/>
      <c r="GZ50" s="120"/>
      <c r="HA50" s="120"/>
      <c r="HB50" s="120"/>
      <c r="HC50" s="120"/>
      <c r="HE50" s="120"/>
      <c r="HF50" s="120"/>
      <c r="HG50" s="120"/>
      <c r="HH50" s="120"/>
      <c r="HI50" s="120"/>
      <c r="HJ50" s="120"/>
      <c r="HK50" s="120"/>
      <c r="IC50" s="142"/>
    </row>
    <row r="51" customFormat="false" ht="15.75" hidden="false" customHeight="false" outlineLevel="0" collapsed="false">
      <c r="B51" s="119"/>
      <c r="AS51" s="421"/>
      <c r="AT51" s="421"/>
      <c r="AU51" s="421"/>
      <c r="AV51" s="421"/>
      <c r="AW51" s="422"/>
      <c r="AX51" s="421"/>
      <c r="AY51" s="421"/>
      <c r="AZ51" s="421"/>
      <c r="BA51" s="421"/>
      <c r="BB51" s="422"/>
      <c r="BC51" s="421"/>
      <c r="BD51" s="421"/>
      <c r="BE51" s="421"/>
      <c r="BF51" s="421"/>
      <c r="BG51" s="422"/>
      <c r="BH51" s="423"/>
      <c r="BL51" s="178"/>
      <c r="BM51" s="424"/>
      <c r="CY51" s="120"/>
      <c r="CZ51" s="120"/>
      <c r="DA51" s="120"/>
      <c r="DH51" s="120"/>
      <c r="DI51" s="120"/>
      <c r="DJ51" s="120"/>
      <c r="DK51" s="120"/>
      <c r="DM51" s="120"/>
      <c r="DN51" s="120"/>
      <c r="DO51" s="120"/>
      <c r="DP51" s="120"/>
      <c r="DQ51" s="120"/>
      <c r="DR51" s="120"/>
      <c r="EB51" s="119"/>
      <c r="EC51" s="119"/>
      <c r="ED51" s="119"/>
      <c r="EE51" s="119"/>
      <c r="ER51" s="178"/>
      <c r="ES51" s="178"/>
      <c r="ET51" s="178"/>
      <c r="EV51" s="120"/>
      <c r="EW51" s="120"/>
      <c r="EX51" s="120"/>
      <c r="FK51" s="120"/>
      <c r="FL51" s="120"/>
      <c r="FM51" s="426"/>
      <c r="FZ51" s="120"/>
      <c r="GA51" s="120"/>
      <c r="GB51" s="120"/>
      <c r="GD51" s="120"/>
      <c r="GE51" s="120"/>
      <c r="GF51" s="120"/>
      <c r="GH51" s="427"/>
      <c r="GI51" s="427"/>
      <c r="GJ51" s="427"/>
      <c r="GK51" s="120"/>
      <c r="GO51" s="120"/>
      <c r="GP51" s="120"/>
      <c r="GQ51" s="120"/>
      <c r="GR51" s="120"/>
      <c r="GU51" s="120"/>
      <c r="GW51" s="120"/>
      <c r="GX51" s="120"/>
      <c r="GY51" s="120"/>
      <c r="GZ51" s="120"/>
      <c r="HA51" s="120"/>
      <c r="HB51" s="120"/>
      <c r="HC51" s="120"/>
      <c r="HE51" s="120"/>
      <c r="HF51" s="120"/>
      <c r="HG51" s="120"/>
      <c r="HH51" s="120"/>
      <c r="HI51" s="120"/>
      <c r="HJ51" s="120"/>
      <c r="HK51" s="120"/>
      <c r="IC51" s="142"/>
    </row>
    <row r="52" customFormat="false" ht="15.75" hidden="false" customHeight="false" outlineLevel="0" collapsed="false">
      <c r="B52" s="119"/>
      <c r="AS52" s="421"/>
      <c r="AT52" s="421"/>
      <c r="AU52" s="421"/>
      <c r="AV52" s="421"/>
      <c r="AW52" s="422"/>
      <c r="AX52" s="421"/>
      <c r="AY52" s="421"/>
      <c r="AZ52" s="421"/>
      <c r="BA52" s="421"/>
      <c r="BB52" s="422"/>
      <c r="BC52" s="421"/>
      <c r="BD52" s="421"/>
      <c r="BE52" s="421"/>
      <c r="BF52" s="421"/>
      <c r="BG52" s="422"/>
      <c r="BH52" s="423"/>
      <c r="BL52" s="178"/>
      <c r="BM52" s="424"/>
      <c r="CY52" s="120"/>
      <c r="CZ52" s="120"/>
      <c r="DA52" s="120"/>
      <c r="DH52" s="120"/>
      <c r="DI52" s="120"/>
      <c r="DJ52" s="120"/>
      <c r="DK52" s="120"/>
      <c r="DM52" s="120"/>
      <c r="DN52" s="120"/>
      <c r="DO52" s="120"/>
      <c r="DP52" s="120"/>
      <c r="DQ52" s="120"/>
      <c r="DR52" s="120"/>
      <c r="EB52" s="119"/>
      <c r="EC52" s="119"/>
      <c r="ED52" s="119"/>
      <c r="EE52" s="119"/>
      <c r="ER52" s="178"/>
      <c r="ES52" s="178"/>
      <c r="ET52" s="178"/>
      <c r="EV52" s="120"/>
      <c r="EW52" s="120"/>
      <c r="EX52" s="120"/>
      <c r="FK52" s="120"/>
      <c r="FL52" s="120"/>
      <c r="FM52" s="426"/>
      <c r="FZ52" s="120"/>
      <c r="GA52" s="120"/>
      <c r="GB52" s="120"/>
      <c r="GD52" s="120"/>
      <c r="GE52" s="120"/>
      <c r="GF52" s="120"/>
      <c r="GH52" s="427"/>
      <c r="GI52" s="427"/>
      <c r="GJ52" s="427"/>
      <c r="GK52" s="120"/>
      <c r="GO52" s="120"/>
      <c r="GP52" s="120"/>
      <c r="GQ52" s="120"/>
      <c r="GR52" s="120"/>
      <c r="GU52" s="120"/>
      <c r="GW52" s="120"/>
      <c r="GX52" s="120"/>
      <c r="GY52" s="120"/>
      <c r="GZ52" s="120"/>
      <c r="HA52" s="120"/>
      <c r="HB52" s="120"/>
      <c r="HC52" s="120"/>
      <c r="HE52" s="120"/>
      <c r="HF52" s="120"/>
      <c r="HG52" s="120"/>
      <c r="HH52" s="120"/>
      <c r="HI52" s="120"/>
      <c r="HJ52" s="120"/>
      <c r="HK52" s="120"/>
      <c r="IC52" s="142"/>
    </row>
    <row r="53" customFormat="false" ht="15.75" hidden="false" customHeight="false" outlineLevel="0" collapsed="false">
      <c r="B53" s="119"/>
      <c r="AS53" s="421"/>
      <c r="AT53" s="421"/>
      <c r="AU53" s="421"/>
      <c r="AV53" s="421"/>
      <c r="AW53" s="422"/>
      <c r="AX53" s="421"/>
      <c r="AY53" s="421"/>
      <c r="AZ53" s="421"/>
      <c r="BA53" s="421"/>
      <c r="BB53" s="422"/>
      <c r="BC53" s="421"/>
      <c r="BD53" s="421"/>
      <c r="BE53" s="421"/>
      <c r="BF53" s="421"/>
      <c r="BG53" s="422"/>
      <c r="BH53" s="423"/>
      <c r="BL53" s="178"/>
      <c r="BM53" s="424"/>
      <c r="CY53" s="120"/>
      <c r="CZ53" s="120"/>
      <c r="DA53" s="120"/>
      <c r="DH53" s="120"/>
      <c r="DI53" s="120"/>
      <c r="DJ53" s="120"/>
      <c r="DK53" s="120"/>
      <c r="DM53" s="120"/>
      <c r="DN53" s="120"/>
      <c r="DO53" s="120"/>
      <c r="DP53" s="120"/>
      <c r="DQ53" s="120"/>
      <c r="DR53" s="120"/>
      <c r="EB53" s="119"/>
      <c r="EC53" s="119"/>
      <c r="ED53" s="119"/>
      <c r="EE53" s="119"/>
      <c r="ER53" s="178"/>
      <c r="ES53" s="178"/>
      <c r="ET53" s="178"/>
      <c r="EV53" s="120"/>
      <c r="EW53" s="120"/>
      <c r="EX53" s="120"/>
      <c r="FK53" s="120"/>
      <c r="FL53" s="120"/>
      <c r="FM53" s="426"/>
      <c r="FZ53" s="120"/>
      <c r="GA53" s="120"/>
      <c r="GB53" s="120"/>
      <c r="GD53" s="120"/>
      <c r="GE53" s="120"/>
      <c r="GF53" s="120"/>
      <c r="GH53" s="427"/>
      <c r="GI53" s="427"/>
      <c r="GJ53" s="427"/>
      <c r="GK53" s="120"/>
      <c r="GO53" s="120"/>
      <c r="GP53" s="120"/>
      <c r="GQ53" s="120"/>
      <c r="GR53" s="120"/>
      <c r="GU53" s="120"/>
      <c r="GW53" s="120"/>
      <c r="GX53" s="120"/>
      <c r="GY53" s="120"/>
      <c r="GZ53" s="120"/>
      <c r="HA53" s="120"/>
      <c r="HB53" s="120"/>
      <c r="HC53" s="120"/>
      <c r="HE53" s="120"/>
      <c r="HF53" s="120"/>
      <c r="HG53" s="120"/>
      <c r="HH53" s="120"/>
      <c r="HI53" s="120"/>
      <c r="HJ53" s="120"/>
      <c r="HK53" s="120"/>
      <c r="IC53" s="142"/>
    </row>
    <row r="54" customFormat="false" ht="15.75" hidden="false" customHeight="false" outlineLevel="0" collapsed="false">
      <c r="B54" s="119"/>
      <c r="AS54" s="421"/>
      <c r="AT54" s="421"/>
      <c r="AU54" s="421"/>
      <c r="AV54" s="421"/>
      <c r="AW54" s="422"/>
      <c r="AX54" s="421"/>
      <c r="AY54" s="421"/>
      <c r="AZ54" s="421"/>
      <c r="BA54" s="421"/>
      <c r="BB54" s="422"/>
      <c r="BC54" s="421"/>
      <c r="BD54" s="421"/>
      <c r="BE54" s="421"/>
      <c r="BF54" s="421"/>
      <c r="BG54" s="422"/>
      <c r="BH54" s="423"/>
      <c r="BL54" s="178"/>
      <c r="BM54" s="424"/>
      <c r="CY54" s="120"/>
      <c r="CZ54" s="120"/>
      <c r="DA54" s="120"/>
      <c r="DH54" s="120"/>
      <c r="DI54" s="120"/>
      <c r="DJ54" s="120"/>
      <c r="DK54" s="120"/>
      <c r="DM54" s="120"/>
      <c r="DN54" s="120"/>
      <c r="DO54" s="120"/>
      <c r="DP54" s="120"/>
      <c r="DQ54" s="120"/>
      <c r="DR54" s="120"/>
      <c r="EB54" s="119"/>
      <c r="EC54" s="119"/>
      <c r="ED54" s="119"/>
      <c r="EE54" s="119"/>
      <c r="ER54" s="178"/>
      <c r="ES54" s="178"/>
      <c r="ET54" s="178"/>
      <c r="EV54" s="120"/>
      <c r="EW54" s="120"/>
      <c r="EX54" s="120"/>
      <c r="FK54" s="120"/>
      <c r="FL54" s="120"/>
      <c r="FM54" s="426"/>
      <c r="FZ54" s="120"/>
      <c r="GA54" s="120"/>
      <c r="GB54" s="120"/>
      <c r="GD54" s="120"/>
      <c r="GE54" s="120"/>
      <c r="GF54" s="120"/>
      <c r="GH54" s="427"/>
      <c r="GI54" s="427"/>
      <c r="GJ54" s="427"/>
      <c r="GK54" s="120"/>
      <c r="GO54" s="120"/>
      <c r="GP54" s="120"/>
      <c r="GQ54" s="120"/>
      <c r="GR54" s="120"/>
      <c r="GU54" s="120"/>
      <c r="GW54" s="120"/>
      <c r="GX54" s="120"/>
      <c r="GY54" s="120"/>
      <c r="GZ54" s="120"/>
      <c r="HA54" s="120"/>
      <c r="HB54" s="120"/>
      <c r="HC54" s="120"/>
      <c r="HE54" s="120"/>
      <c r="HF54" s="120"/>
      <c r="HG54" s="120"/>
      <c r="HH54" s="120"/>
      <c r="HI54" s="120"/>
      <c r="HJ54" s="120"/>
      <c r="HK54" s="120"/>
      <c r="IC54" s="142"/>
    </row>
  </sheetData>
  <mergeCells count="1">
    <mergeCell ref="BU32:BW3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0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5" defaultRowHeight="15.75" zeroHeight="false" outlineLevelRow="0" outlineLevelCol="0"/>
  <cols>
    <col collapsed="false" customWidth="true" hidden="false" outlineLevel="0" max="1" min="1" style="0" width="27.16"/>
    <col collapsed="false" customWidth="true" hidden="false" outlineLevel="0" max="2" min="2" style="0" width="11.66"/>
    <col collapsed="false" customWidth="true" hidden="false" outlineLevel="0" max="3" min="3" style="0" width="14.5"/>
    <col collapsed="false" customWidth="true" hidden="false" outlineLevel="0" max="4" min="4" style="0" width="17.5"/>
    <col collapsed="false" customWidth="true" hidden="false" outlineLevel="0" max="6" min="5" style="0" width="16.67"/>
    <col collapsed="false" customWidth="true" hidden="false" outlineLevel="0" max="7" min="7" style="0" width="18"/>
    <col collapsed="false" customWidth="true" hidden="false" outlineLevel="0" max="8" min="8" style="0" width="17.5"/>
    <col collapsed="false" customWidth="true" hidden="false" outlineLevel="0" max="9" min="9" style="0" width="13.83"/>
    <col collapsed="false" customWidth="true" hidden="false" outlineLevel="0" max="10" min="10" style="0" width="14"/>
    <col collapsed="false" customWidth="true" hidden="false" outlineLevel="0" max="11" min="11" style="0" width="17.16"/>
    <col collapsed="false" customWidth="true" hidden="false" outlineLevel="0" max="12" min="12" style="0" width="23.17"/>
    <col collapsed="false" customWidth="true" hidden="false" outlineLevel="0" max="13" min="13" style="0" width="17"/>
    <col collapsed="false" customWidth="true" hidden="false" outlineLevel="0" max="14" min="14" style="0" width="19.83"/>
    <col collapsed="false" customWidth="true" hidden="false" outlineLevel="0" max="15" min="15" style="0" width="20.33"/>
    <col collapsed="false" customWidth="true" hidden="false" outlineLevel="0" max="16" min="16" style="0" width="21.16"/>
    <col collapsed="false" customWidth="true" hidden="false" outlineLevel="0" max="17" min="17" style="0" width="16.16"/>
    <col collapsed="false" customWidth="true" hidden="false" outlineLevel="0" max="22" min="18" style="0" width="21.66"/>
    <col collapsed="false" customWidth="true" hidden="false" outlineLevel="0" max="23" min="23" style="0" width="18"/>
    <col collapsed="false" customWidth="true" hidden="false" outlineLevel="0" max="24" min="24" style="0" width="14.66"/>
    <col collapsed="false" customWidth="true" hidden="false" outlineLevel="0" max="25" min="25" style="0" width="17.67"/>
    <col collapsed="false" customWidth="true" hidden="false" outlineLevel="0" max="26" min="26" style="0" width="14.84"/>
    <col collapsed="false" customWidth="true" hidden="false" outlineLevel="0" max="28" min="28" style="142" width="11.83"/>
    <col collapsed="false" customWidth="true" hidden="false" outlineLevel="0" max="31" min="31" style="0" width="3.5"/>
    <col collapsed="false" customWidth="true" hidden="false" outlineLevel="0" max="32" min="32" style="0" width="3.16"/>
    <col collapsed="false" customWidth="true" hidden="false" outlineLevel="0" max="33" min="33" style="0" width="2.16"/>
    <col collapsed="false" customWidth="true" hidden="false" outlineLevel="0" max="34" min="34" style="0" width="7.16"/>
    <col collapsed="false" customWidth="true" hidden="false" outlineLevel="0" max="35" min="35" style="0" width="5.16"/>
    <col collapsed="false" customWidth="true" hidden="false" outlineLevel="0" max="37" min="36" style="0" width="12.33"/>
    <col collapsed="false" customWidth="true" hidden="false" outlineLevel="0" max="38" min="38" style="0" width="8.17"/>
    <col collapsed="false" customWidth="true" hidden="false" outlineLevel="0" max="39" min="39" style="0" width="7.83"/>
    <col collapsed="false" customWidth="true" hidden="false" outlineLevel="0" max="40" min="40" style="0" width="9.17"/>
    <col collapsed="false" customWidth="true" hidden="false" outlineLevel="0" max="43" min="41" style="0" width="12.33"/>
    <col collapsed="false" customWidth="true" hidden="false" outlineLevel="0" max="44" min="44" style="0" width="8.34"/>
  </cols>
  <sheetData>
    <row r="1" customFormat="false" ht="15.75" hidden="false" customHeight="false" outlineLevel="0" collapsed="false">
      <c r="A1" s="529" t="s">
        <v>1877</v>
      </c>
      <c r="B1" s="529" t="s">
        <v>1878</v>
      </c>
      <c r="AE1" s="530"/>
      <c r="AR1" s="142"/>
    </row>
    <row r="2" customFormat="false" ht="15.75" hidden="false" customHeight="false" outlineLevel="0" collapsed="false">
      <c r="A2" s="139" t="s">
        <v>1879</v>
      </c>
      <c r="B2" s="531" t="n">
        <f aca="false">'sureau_ini.txt'!DC36+'sureau_ini.txt'!CU36</f>
        <v>1</v>
      </c>
      <c r="D2" s="0" t="s">
        <v>1880</v>
      </c>
      <c r="F2" s="0" t="s">
        <v>68</v>
      </c>
      <c r="G2" s="0" t="n">
        <f aca="false">J3*LOG(G5)/LOG(B15/B7*10)</f>
        <v>5.85989408287171</v>
      </c>
      <c r="I2" s="0" t="s">
        <v>1881</v>
      </c>
      <c r="J2" s="0" t="n">
        <f aca="false">(G4+2*B10)^2+8*G4*(B3)</f>
        <v>0.052146388221743</v>
      </c>
      <c r="L2" s="0" t="s">
        <v>1882</v>
      </c>
      <c r="M2" s="0" t="n">
        <f aca="false">O3*'sureau_ini.txt'!DE36*1000</f>
        <v>0.0118568183168317</v>
      </c>
      <c r="N2" s="0" t="s">
        <v>1883</v>
      </c>
      <c r="O2" s="0" t="n">
        <f aca="false">MAX(U21:U120)</f>
        <v>0.00013956282536854</v>
      </c>
      <c r="AE2" s="530"/>
      <c r="AR2" s="142"/>
    </row>
    <row r="3" customFormat="false" ht="15.75" hidden="false" customHeight="false" outlineLevel="0" collapsed="false">
      <c r="A3" s="139" t="s">
        <v>1884</v>
      </c>
      <c r="B3" s="531" t="n">
        <f aca="false">'sureau_ini.txt'!CU36</f>
        <v>0.5</v>
      </c>
      <c r="D3" s="0" t="s">
        <v>1885</v>
      </c>
      <c r="F3" s="0" t="s">
        <v>84</v>
      </c>
      <c r="G3" s="0" t="n">
        <f aca="false">J3*LOG(G5)/LOG(B8/B6*10)</f>
        <v>4.64385618977473</v>
      </c>
      <c r="I3" s="0" t="s">
        <v>1886</v>
      </c>
      <c r="J3" s="0" t="n">
        <f aca="false">(-(G4+2*B10)+SQRT(J2))/(2*G4)</f>
        <v>4.20120533017324</v>
      </c>
      <c r="L3" s="0" t="s">
        <v>1887</v>
      </c>
      <c r="M3" s="0" t="n">
        <f aca="false">O3*'sureau_ini.txt'!DF36*1000</f>
        <v>0.00592840915841585</v>
      </c>
      <c r="N3" s="0" t="s">
        <v>1888</v>
      </c>
      <c r="O3" s="0" t="n">
        <f aca="false">T120-O2</f>
        <v>2.96420457920792E-005</v>
      </c>
      <c r="P3" s="0" t="s">
        <v>1889</v>
      </c>
      <c r="AE3" s="530"/>
      <c r="AR3" s="142"/>
    </row>
    <row r="4" customFormat="false" ht="15.75" hidden="false" customHeight="false" outlineLevel="0" collapsed="false">
      <c r="A4" s="139" t="s">
        <v>1890</v>
      </c>
      <c r="B4" s="531" t="n">
        <f aca="false">'sureau_ini.txt'!DZ36</f>
        <v>0.5</v>
      </c>
      <c r="D4" s="0" t="s">
        <v>95</v>
      </c>
      <c r="F4" s="0" t="s">
        <v>96</v>
      </c>
      <c r="G4" s="0" t="n">
        <f aca="false">2*(B2-B10*101)/(101*100)</f>
        <v>-0.0023019801980198</v>
      </c>
      <c r="L4" s="0" t="s">
        <v>1891</v>
      </c>
      <c r="M4" s="0" t="n">
        <f aca="false">O2*'sureau_ini.txt'!CV36*1000</f>
        <v>0.0233875943719788</v>
      </c>
      <c r="N4" s="0" t="s">
        <v>1892</v>
      </c>
      <c r="O4" s="0" t="n">
        <f aca="false">R120</f>
        <v>0.000190111421376368</v>
      </c>
      <c r="P4" s="0" t="n">
        <f aca="false">O4*1000000</f>
        <v>190.111421376368</v>
      </c>
      <c r="AE4" s="530"/>
      <c r="AR4" s="142"/>
    </row>
    <row r="5" customFormat="false" ht="15.75" hidden="false" customHeight="false" outlineLevel="0" collapsed="false">
      <c r="A5" s="139" t="s">
        <v>1893</v>
      </c>
      <c r="B5" s="532" t="n">
        <f aca="false">'sureau_ini.txt'!E22</f>
        <v>200</v>
      </c>
      <c r="D5" s="0" t="s">
        <v>109</v>
      </c>
      <c r="F5" s="0" t="s">
        <v>110</v>
      </c>
      <c r="G5" s="0" t="n">
        <f aca="false">(B16)^(1/J3)</f>
        <v>2.15152980268455</v>
      </c>
      <c r="L5" s="0" t="s">
        <v>1894</v>
      </c>
      <c r="M5" s="0" t="n">
        <f aca="false">O2*'sureau_ini.txt'!CW36*1000</f>
        <v>0.0233875943719788</v>
      </c>
      <c r="AE5" s="530"/>
      <c r="AR5" s="142"/>
    </row>
    <row r="6" customFormat="false" ht="15.75" hidden="false" customHeight="false" outlineLevel="0" collapsed="false">
      <c r="A6" s="139" t="s">
        <v>1895</v>
      </c>
      <c r="B6" s="533" t="n">
        <f aca="false">'sureau_ini.txt'!CX36*1000</f>
        <v>5</v>
      </c>
      <c r="C6" s="6"/>
      <c r="D6" s="0" t="s">
        <v>121</v>
      </c>
      <c r="F6" s="0" t="s">
        <v>122</v>
      </c>
      <c r="G6" s="0" t="n">
        <f aca="false">(-(G4+2*B10)+J2^0.5)/(2*G4)</f>
        <v>4.20120533017324</v>
      </c>
      <c r="L6" s="0" t="s">
        <v>1896</v>
      </c>
      <c r="M6" s="0" t="n">
        <f aca="false">Q120-M7</f>
        <v>0.0158090910891089</v>
      </c>
      <c r="AE6" s="530"/>
      <c r="AR6" s="142"/>
    </row>
    <row r="7" customFormat="false" ht="15.75" hidden="false" customHeight="false" outlineLevel="0" collapsed="false">
      <c r="A7" s="139" t="s">
        <v>1897</v>
      </c>
      <c r="B7" s="531" t="n">
        <f aca="false">B6</f>
        <v>5</v>
      </c>
      <c r="L7" s="0" t="s">
        <v>1898</v>
      </c>
      <c r="M7" s="0" t="n">
        <f aca="false">MAX(V21:V120)</f>
        <v>0.101450059477105</v>
      </c>
      <c r="AE7" s="530"/>
      <c r="AR7" s="142"/>
    </row>
    <row r="8" customFormat="false" ht="15.75" hidden="false" customHeight="false" outlineLevel="0" collapsed="false">
      <c r="A8" s="139" t="s">
        <v>1899</v>
      </c>
      <c r="B8" s="531" t="n">
        <f aca="false">'sureau_ini.txt'!DD36*100</f>
        <v>1</v>
      </c>
      <c r="D8" s="0" t="s">
        <v>1900</v>
      </c>
      <c r="E8" s="142" t="n">
        <f aca="false">AA21</f>
        <v>0.541295503971123</v>
      </c>
      <c r="L8" s="0" t="s">
        <v>1901</v>
      </c>
      <c r="M8" s="0" t="n">
        <f aca="false">Q120</f>
        <v>0.117259150566214</v>
      </c>
      <c r="AE8" s="530"/>
      <c r="AR8" s="142"/>
    </row>
    <row r="9" customFormat="false" ht="15.75" hidden="false" customHeight="false" outlineLevel="0" collapsed="false">
      <c r="A9" s="139" t="s">
        <v>1902</v>
      </c>
      <c r="B9" s="531" t="n">
        <f aca="false">B8*'sureau_ini.txt'!DG36</f>
        <v>0.5</v>
      </c>
      <c r="D9" s="0" t="s">
        <v>1903</v>
      </c>
      <c r="E9" s="142" t="n">
        <f aca="false">MAX(AB21:AB120)</f>
        <v>0.223465623950778</v>
      </c>
      <c r="AE9" s="530"/>
      <c r="AR9" s="142"/>
    </row>
    <row r="10" customFormat="false" ht="15.75" hidden="false" customHeight="false" outlineLevel="0" collapsed="false">
      <c r="A10" s="139" t="s">
        <v>1904</v>
      </c>
      <c r="B10" s="532" t="n">
        <f aca="false">'sureau_ini.txt'!E23/100</f>
        <v>0.125</v>
      </c>
      <c r="D10" s="0" t="s">
        <v>1905</v>
      </c>
      <c r="E10" s="142" t="n">
        <f aca="false">E8-E9</f>
        <v>0.317829880020345</v>
      </c>
      <c r="F10" s="142" t="n">
        <f aca="false">1/E10</f>
        <v>3.14633727935205</v>
      </c>
      <c r="AE10" s="530"/>
      <c r="AR10" s="142"/>
    </row>
    <row r="11" customFormat="false" ht="15.75" hidden="false" customHeight="false" outlineLevel="0" collapsed="false">
      <c r="A11" s="139" t="s">
        <v>1906</v>
      </c>
      <c r="B11" s="534" t="n">
        <f aca="false">'sureau_ini.txt'!GL36</f>
        <v>10000</v>
      </c>
      <c r="D11" s="0" t="s">
        <v>1907</v>
      </c>
      <c r="E11" s="142" t="n">
        <f aca="false">1/E8</f>
        <v>1.84741974146038</v>
      </c>
      <c r="AH11" s="530"/>
      <c r="AU11" s="142"/>
    </row>
    <row r="12" customFormat="false" ht="15.75" hidden="false" customHeight="false" outlineLevel="0" collapsed="false">
      <c r="A12" s="139" t="s">
        <v>1908</v>
      </c>
      <c r="B12" s="532" t="n">
        <f aca="false">'sureau_ini.txt'!E25</f>
        <v>1.8</v>
      </c>
      <c r="D12" s="0" t="s">
        <v>1909</v>
      </c>
      <c r="E12" s="142" t="n">
        <f aca="false">1/E9</f>
        <v>4.47496121470687</v>
      </c>
      <c r="AH12" s="530"/>
      <c r="AU12" s="142"/>
    </row>
    <row r="13" customFormat="false" ht="15.75" hidden="false" customHeight="false" outlineLevel="0" collapsed="false">
      <c r="A13" s="135" t="s">
        <v>228</v>
      </c>
      <c r="B13" s="535" t="n">
        <f aca="false">'sureau_ini.txt'!E20</f>
        <v>0.5</v>
      </c>
      <c r="D13" s="0" t="s">
        <v>1910</v>
      </c>
      <c r="E13" s="142" t="n">
        <f aca="false">1/E10</f>
        <v>3.14633727935205</v>
      </c>
      <c r="AH13" s="530"/>
      <c r="AU13" s="142"/>
    </row>
    <row r="14" customFormat="false" ht="15.75" hidden="false" customHeight="false" outlineLevel="0" collapsed="false">
      <c r="A14" s="72" t="s">
        <v>1911</v>
      </c>
      <c r="B14" s="536" t="n">
        <f aca="false">1/B11</f>
        <v>0.0001</v>
      </c>
      <c r="D14" s="0" t="s">
        <v>524</v>
      </c>
      <c r="E14" s="0" t="n">
        <f aca="false">AC21</f>
        <v>-0.541295503971123</v>
      </c>
      <c r="AH14" s="530"/>
      <c r="AU14" s="142"/>
    </row>
    <row r="15" customFormat="false" ht="15.75" hidden="false" customHeight="false" outlineLevel="0" collapsed="false">
      <c r="A15" s="72" t="s">
        <v>1912</v>
      </c>
      <c r="B15" s="533" t="n">
        <f aca="false">SQRT(B9*(2*B8-B9))</f>
        <v>0.866025403784439</v>
      </c>
      <c r="D15" s="0" t="s">
        <v>1913</v>
      </c>
      <c r="E15" s="0" t="n">
        <f aca="false">R120</f>
        <v>0.000190111421376368</v>
      </c>
      <c r="AH15" s="530"/>
      <c r="AU15" s="142"/>
    </row>
    <row r="16" customFormat="false" ht="15.75" hidden="false" customHeight="false" outlineLevel="0" collapsed="false">
      <c r="A16" s="72" t="s">
        <v>1914</v>
      </c>
      <c r="B16" s="533" t="n">
        <f aca="false">B4/B5*10000</f>
        <v>25</v>
      </c>
      <c r="AH16" s="530"/>
      <c r="AU16" s="142"/>
    </row>
    <row r="17" customFormat="false" ht="15.75" hidden="false" customHeight="false" outlineLevel="0" collapsed="false">
      <c r="A17" s="72" t="s">
        <v>1915</v>
      </c>
      <c r="B17" s="536" t="n">
        <f aca="false">(3.1416/4*(B6/1000)^2)/B5*10000</f>
        <v>0.00098175</v>
      </c>
      <c r="AH17" s="530"/>
      <c r="AU17" s="142"/>
    </row>
    <row r="18" customFormat="false" ht="15.75" hidden="false" customHeight="false" outlineLevel="0" collapsed="false">
      <c r="A18" s="72" t="s">
        <v>1916</v>
      </c>
      <c r="B18" s="536" t="n">
        <f aca="false">G121/B4/10000</f>
        <v>0</v>
      </c>
      <c r="AH18" s="530"/>
      <c r="AU18" s="142"/>
    </row>
    <row r="19" customFormat="false" ht="15.75" hidden="false" customHeight="false" outlineLevel="0" collapsed="false">
      <c r="AD19" s="530"/>
      <c r="AQ19" s="142"/>
    </row>
    <row r="20" customFormat="false" ht="15.75" hidden="false" customHeight="false" outlineLevel="0" collapsed="false">
      <c r="A20" s="0" t="s">
        <v>1917</v>
      </c>
      <c r="B20" s="0" t="s">
        <v>1918</v>
      </c>
      <c r="C20" s="205" t="s">
        <v>1919</v>
      </c>
      <c r="D20" s="0" t="s">
        <v>1920</v>
      </c>
      <c r="E20" s="205" t="s">
        <v>1921</v>
      </c>
      <c r="F20" s="0" t="s">
        <v>1922</v>
      </c>
      <c r="G20" s="205" t="s">
        <v>1923</v>
      </c>
      <c r="H20" s="0" t="s">
        <v>1924</v>
      </c>
      <c r="I20" s="0" t="s">
        <v>1925</v>
      </c>
      <c r="J20" s="0" t="s">
        <v>1926</v>
      </c>
      <c r="K20" s="0" t="s">
        <v>1927</v>
      </c>
      <c r="L20" s="0" t="s">
        <v>1928</v>
      </c>
      <c r="M20" s="0" t="s">
        <v>1929</v>
      </c>
      <c r="N20" s="0" t="s">
        <v>1930</v>
      </c>
      <c r="O20" s="424" t="s">
        <v>1931</v>
      </c>
      <c r="P20" s="0" t="s">
        <v>1932</v>
      </c>
      <c r="Q20" s="424" t="s">
        <v>1933</v>
      </c>
      <c r="R20" s="0" t="s">
        <v>1934</v>
      </c>
      <c r="S20" s="424" t="s">
        <v>1935</v>
      </c>
      <c r="T20" s="424" t="s">
        <v>1936</v>
      </c>
      <c r="U20" s="424" t="s">
        <v>1937</v>
      </c>
      <c r="V20" s="424" t="s">
        <v>1938</v>
      </c>
      <c r="W20" s="537" t="s">
        <v>1939</v>
      </c>
      <c r="X20" s="424" t="s">
        <v>1940</v>
      </c>
      <c r="Y20" s="538" t="s">
        <v>1941</v>
      </c>
      <c r="Z20" s="538" t="s">
        <v>1942</v>
      </c>
      <c r="AA20" s="424" t="s">
        <v>1943</v>
      </c>
      <c r="AB20" s="539" t="s">
        <v>1944</v>
      </c>
      <c r="AC20" s="530" t="s">
        <v>524</v>
      </c>
      <c r="AP20" s="142"/>
    </row>
    <row r="21" customFormat="false" ht="15.75" hidden="false" customHeight="false" outlineLevel="0" collapsed="false">
      <c r="A21" s="0" t="n">
        <v>0</v>
      </c>
      <c r="B21" s="0" t="n">
        <f aca="false">MAX($B$16,1)</f>
        <v>25</v>
      </c>
      <c r="C21" s="0" t="n">
        <f aca="false">$B$10+A21*$G$4</f>
        <v>0.125</v>
      </c>
      <c r="D21" s="0" t="n">
        <f aca="false">(A21+1)*($B$10+$G$4*A21/2)</f>
        <v>0.125</v>
      </c>
      <c r="E21" s="0" t="n">
        <f aca="false">B6/10</f>
        <v>0.5</v>
      </c>
      <c r="F21" s="0" t="n">
        <f aca="false">B7/10</f>
        <v>0.5</v>
      </c>
      <c r="G21" s="0" t="n">
        <f aca="false">F21*F21*3.1416/4</f>
        <v>0.19635</v>
      </c>
      <c r="H21" s="0" t="n">
        <f aca="false">E21*E21*3.1416/4</f>
        <v>0.19635</v>
      </c>
      <c r="I21" s="0" t="n">
        <f aca="false">G21*B21</f>
        <v>4.90875</v>
      </c>
      <c r="J21" s="0" t="n">
        <f aca="false">H21*B21</f>
        <v>4.90875</v>
      </c>
      <c r="K21" s="0" t="n">
        <f aca="false">H21-G21</f>
        <v>0</v>
      </c>
      <c r="L21" s="0" t="n">
        <f aca="false">SQRT(4*K21/3.1416)</f>
        <v>0</v>
      </c>
      <c r="M21" s="0" t="n">
        <f aca="false">(E21-L21)/2</f>
        <v>0.25</v>
      </c>
      <c r="N21" s="0" t="n">
        <f aca="false">E21*3.1416</f>
        <v>1.5708</v>
      </c>
      <c r="O21" s="0" t="n">
        <f aca="false">C21*3.1416*E21*B21/100</f>
        <v>0.0490875</v>
      </c>
      <c r="P21" s="0" t="n">
        <f aca="false">C21*E21/100*E21/100*3.1416/4*B21</f>
        <v>6.1359375E-005</v>
      </c>
      <c r="Q21" s="0" t="n">
        <f aca="false">O21</f>
        <v>0.0490875</v>
      </c>
      <c r="R21" s="0" t="n">
        <f aca="false">P21</f>
        <v>6.1359375E-005</v>
      </c>
      <c r="S21" s="0" t="n">
        <f aca="false">G21/10000*C21*B21</f>
        <v>6.1359375E-005</v>
      </c>
      <c r="T21" s="0" t="n">
        <f aca="false">S21</f>
        <v>6.1359375E-005</v>
      </c>
      <c r="U21" s="0" t="n">
        <f aca="false">S21</f>
        <v>6.1359375E-005</v>
      </c>
      <c r="V21" s="0" t="n">
        <f aca="false">O21</f>
        <v>0.0490875</v>
      </c>
      <c r="W21" s="142" t="n">
        <f aca="false">G21/X21</f>
        <v>0.00098175</v>
      </c>
      <c r="X21" s="142" t="n">
        <f aca="false">B5</f>
        <v>200</v>
      </c>
      <c r="Y21" s="142" t="n">
        <f aca="false">C21/(G21/10000)*$B$14*($F$21/F21)^($B$12)</f>
        <v>0.636618283677107</v>
      </c>
      <c r="Z21" s="142" t="n">
        <f aca="false">Y21/B21</f>
        <v>0.0254647313470843</v>
      </c>
      <c r="AA21" s="142" t="n">
        <f aca="false">AA22+Z21</f>
        <v>0.541295503971123</v>
      </c>
      <c r="AB21" s="142" t="n">
        <f aca="false">Z21</f>
        <v>0.0254647313470843</v>
      </c>
      <c r="AC21" s="540" t="n">
        <f aca="false">-AA21*$B$4*2</f>
        <v>-0.541295503971123</v>
      </c>
      <c r="AP21" s="142"/>
    </row>
    <row r="22" customFormat="false" ht="15.75" hidden="false" customHeight="false" outlineLevel="0" collapsed="false">
      <c r="A22" s="0" t="n">
        <f aca="false">A21+1</f>
        <v>1</v>
      </c>
      <c r="B22" s="0" t="n">
        <f aca="false">MAX(B21/$G$5,1)</f>
        <v>11.6196391836202</v>
      </c>
      <c r="C22" s="0" t="n">
        <f aca="false">$B$10+A22*$G$4</f>
        <v>0.12269801980198</v>
      </c>
      <c r="D22" s="0" t="n">
        <f aca="false">(A22+1)*($B$10+$G$4*A22/2)</f>
        <v>0.24769801980198</v>
      </c>
      <c r="E22" s="0" t="n">
        <f aca="false">IF(A22&lt;$J$3,($B$6/10)*$G$5^(A22/$G$3),($B$6/10)*$G$5^($J$3/$G$3))</f>
        <v>0.589689302750872</v>
      </c>
      <c r="F22" s="0" t="n">
        <f aca="false">IF(A22&lt;$J$3,($B$7/10)*$G$5^(A22/$G$2),($B$7/10)*$G$5^($J$3/$G$2))</f>
        <v>0.569841215468584</v>
      </c>
      <c r="G22" s="0" t="n">
        <f aca="false">F22*F22*3.1416/4</f>
        <v>0.255034311119009</v>
      </c>
      <c r="H22" s="0" t="n">
        <f aca="false">E22*E22*3.1416/4</f>
        <v>0.273109870305877</v>
      </c>
      <c r="I22" s="0" t="n">
        <f aca="false">G22*B22</f>
        <v>2.96340667464601</v>
      </c>
      <c r="J22" s="0" t="n">
        <f aca="false">H22*B22</f>
        <v>3.17343815043959</v>
      </c>
      <c r="K22" s="0" t="n">
        <f aca="false">H22-G22</f>
        <v>0.018075559186868</v>
      </c>
      <c r="L22" s="0" t="n">
        <f aca="false">SQRT(4*K22/3.1416)</f>
        <v>0.151705184262423</v>
      </c>
      <c r="M22" s="0" t="n">
        <f aca="false">(E22-L22)/2</f>
        <v>0.218992059244224</v>
      </c>
      <c r="N22" s="0" t="n">
        <f aca="false">E22*3.1416</f>
        <v>1.85256791352214</v>
      </c>
      <c r="O22" s="0" t="n">
        <f aca="false">C22*3.1416*E22*B22/100</f>
        <v>0.0264121852105224</v>
      </c>
      <c r="P22" s="0" t="n">
        <f aca="false">C22*E22/100*E22/100*3.1416/4*B22</f>
        <v>3.89374577022996E-005</v>
      </c>
      <c r="Q22" s="0" t="n">
        <f aca="false">Q21+O22</f>
        <v>0.0754996852105224</v>
      </c>
      <c r="R22" s="0" t="n">
        <f aca="false">P22+R21</f>
        <v>0.0001002968327023</v>
      </c>
      <c r="S22" s="0" t="n">
        <f aca="false">G22/10000*C22*B22</f>
        <v>3.63604130847037E-005</v>
      </c>
      <c r="T22" s="0" t="n">
        <f aca="false">T21+S22</f>
        <v>9.77197880847037E-005</v>
      </c>
      <c r="U22" s="0" t="n">
        <f aca="false">IF(B22&gt;1,U21+S22,0)</f>
        <v>9.77197880847037E-005</v>
      </c>
      <c r="V22" s="0" t="n">
        <f aca="false">IF(B22&gt;1,V21+O22,0)</f>
        <v>0.0754996852105224</v>
      </c>
      <c r="W22" s="142" t="n">
        <f aca="false">G22/X22</f>
        <v>0.000592681334929203</v>
      </c>
      <c r="X22" s="142" t="n">
        <f aca="false">X21*B21/B22</f>
        <v>430.30596053691</v>
      </c>
      <c r="Y22" s="142" t="n">
        <f aca="false">C22/(G22/10000)*$B$14*($F$21/F22)^($B$12)</f>
        <v>0.380213913606957</v>
      </c>
      <c r="Z22" s="142" t="n">
        <f aca="false">Y22/B22</f>
        <v>0.0327216626608279</v>
      </c>
      <c r="AA22" s="142" t="n">
        <f aca="false">AA23+Z22</f>
        <v>0.515830772624038</v>
      </c>
      <c r="AB22" s="142" t="n">
        <f aca="false">IF(B22&gt;1,AB21+Z22,0)</f>
        <v>0.0581863940079122</v>
      </c>
      <c r="AC22" s="540" t="n">
        <f aca="false">-AA22*$B$4*2</f>
        <v>-0.515830772624038</v>
      </c>
      <c r="AP22" s="142"/>
    </row>
    <row r="23" customFormat="false" ht="15.75" hidden="false" customHeight="false" outlineLevel="0" collapsed="false">
      <c r="A23" s="0" t="n">
        <f aca="false">A22+1</f>
        <v>2</v>
      </c>
      <c r="B23" s="0" t="n">
        <f aca="false">MAX(B22/$G$5,1)</f>
        <v>5.40064059030087</v>
      </c>
      <c r="C23" s="0" t="n">
        <f aca="false">$B$10+A23*$G$4</f>
        <v>0.12039603960396</v>
      </c>
      <c r="D23" s="0" t="n">
        <f aca="false">(A23+1)*($B$10+$G$4*A23/2)</f>
        <v>0.368094059405941</v>
      </c>
      <c r="E23" s="0" t="n">
        <f aca="false">IF(A23&lt;$J$3,($B$6/10)*$G$5^(A23/$G$3),($B$6/10)*$G$5^($J$3/$G$3))</f>
        <v>0.695466947557618</v>
      </c>
      <c r="F23" s="0" t="n">
        <f aca="false">IF(A23&lt;$J$3,($B$7/10)*$G$5^(A23/$G$2),($B$7/10)*$G$5^($J$3/$G$2))</f>
        <v>0.649438021693426</v>
      </c>
      <c r="G23" s="0" t="n">
        <f aca="false">F23*F23*3.1416/4</f>
        <v>0.33125795695415</v>
      </c>
      <c r="H23" s="0" t="n">
        <f aca="false">E23*E23*3.1416/4</f>
        <v>0.37987777569897</v>
      </c>
      <c r="I23" s="0" t="n">
        <f aca="false">G23*B23</f>
        <v>1.78900516818672</v>
      </c>
      <c r="J23" s="0" t="n">
        <f aca="false">H23*B23</f>
        <v>2.05158333479306</v>
      </c>
      <c r="K23" s="0" t="n">
        <f aca="false">H23-G23</f>
        <v>0.0486198187448202</v>
      </c>
      <c r="L23" s="0" t="n">
        <f aca="false">SQRT(4*K23/3.1416)</f>
        <v>0.248806211988445</v>
      </c>
      <c r="M23" s="0" t="n">
        <f aca="false">(E23-L23)/2</f>
        <v>0.223330367784586</v>
      </c>
      <c r="N23" s="0" t="n">
        <f aca="false">E23*3.1416</f>
        <v>2.18487896244701</v>
      </c>
      <c r="O23" s="0" t="n">
        <f aca="false">C23*3.1416*E23*B23/100</f>
        <v>0.0142064268787472</v>
      </c>
      <c r="P23" s="0" t="n">
        <f aca="false">C23*E23/100*E23/100*3.1416/4*B23</f>
        <v>2.47002508426571E-005</v>
      </c>
      <c r="Q23" s="0" t="n">
        <f aca="false">Q22+O23</f>
        <v>0.0897061120892697</v>
      </c>
      <c r="R23" s="0" t="n">
        <f aca="false">P23+R22</f>
        <v>0.000124997083544957</v>
      </c>
      <c r="S23" s="0" t="n">
        <f aca="false">G23/10000*C23*B23</f>
        <v>2.15389137080698E-005</v>
      </c>
      <c r="T23" s="0" t="n">
        <f aca="false">T22+S23</f>
        <v>0.000119258701792773</v>
      </c>
      <c r="U23" s="0" t="n">
        <f aca="false">IF(B23&gt;1,U22+S23,0)</f>
        <v>0.000119258701792773</v>
      </c>
      <c r="V23" s="0" t="n">
        <f aca="false">IF(B23&gt;1,V22+O23,0)</f>
        <v>0.0897061120892697</v>
      </c>
      <c r="W23" s="142" t="n">
        <f aca="false">G23/X23</f>
        <v>0.000357801033637343</v>
      </c>
      <c r="X23" s="142" t="n">
        <f aca="false">X22*B22/B23</f>
        <v>925.816098367963</v>
      </c>
      <c r="Y23" s="142" t="n">
        <f aca="false">C23/(G23/10000)*$B$14*($F$21/F23)^($B$12)</f>
        <v>0.226999034546225</v>
      </c>
      <c r="Z23" s="142" t="n">
        <f aca="false">Y23/B23</f>
        <v>0.0420318720993761</v>
      </c>
      <c r="AA23" s="142" t="n">
        <f aca="false">AA24+Z23</f>
        <v>0.483109109963211</v>
      </c>
      <c r="AB23" s="142" t="n">
        <f aca="false">IF(B23&gt;1,AB22+Z23,0)</f>
        <v>0.100218266107288</v>
      </c>
      <c r="AC23" s="540" t="n">
        <f aca="false">-AA23*$B$4*2</f>
        <v>-0.483109109963211</v>
      </c>
      <c r="AP23" s="142"/>
    </row>
    <row r="24" customFormat="false" ht="15.75" hidden="false" customHeight="false" outlineLevel="0" collapsed="false">
      <c r="A24" s="0" t="n">
        <f aca="false">A23+1</f>
        <v>3</v>
      </c>
      <c r="B24" s="0" t="n">
        <f aca="false">MAX(B23/$G$5,1)</f>
        <v>2.51013980078838</v>
      </c>
      <c r="C24" s="0" t="n">
        <f aca="false">$B$10+A24*$G$4</f>
        <v>0.118094059405941</v>
      </c>
      <c r="D24" s="0" t="n">
        <f aca="false">(A24+1)*($B$10+$G$4*A24/2)</f>
        <v>0.486188118811881</v>
      </c>
      <c r="E24" s="0" t="n">
        <f aca="false">IF(A24&lt;$J$3,($B$6/10)*$G$5^(A24/$G$3),($B$6/10)*$G$5^($J$3/$G$3))</f>
        <v>0.820218838783057</v>
      </c>
      <c r="F24" s="0" t="n">
        <f aca="false">IF(A24&lt;$J$3,($B$7/10)*$G$5^(A24/$G$2),($B$7/10)*$G$5^($J$3/$G$2))</f>
        <v>0.74015310330659</v>
      </c>
      <c r="G24" s="0" t="n">
        <f aca="false">F24*F24*3.1416/4</f>
        <v>0.430263024469018</v>
      </c>
      <c r="H24" s="0" t="n">
        <f aca="false">E24*E24*3.1416/4</f>
        <v>0.52838487422068</v>
      </c>
      <c r="I24" s="0" t="n">
        <f aca="false">G24*B24</f>
        <v>1.08002034252727</v>
      </c>
      <c r="J24" s="0" t="n">
        <f aca="false">H24*B24</f>
        <v>1.32631990291589</v>
      </c>
      <c r="K24" s="0" t="n">
        <f aca="false">H24-G24</f>
        <v>0.0981218497516616</v>
      </c>
      <c r="L24" s="0" t="n">
        <f aca="false">SQRT(4*K24/3.1416)</f>
        <v>0.353457673788887</v>
      </c>
      <c r="M24" s="0" t="n">
        <f aca="false">(E24-L24)/2</f>
        <v>0.233380582497085</v>
      </c>
      <c r="N24" s="0" t="n">
        <f aca="false">E24*3.1416</f>
        <v>2.57679950392085</v>
      </c>
      <c r="O24" s="0" t="n">
        <f aca="false">C24*3.1416*E24*B24/100</f>
        <v>0.00763847373408884</v>
      </c>
      <c r="P24" s="0" t="n">
        <f aca="false">C24*E24/100*E24/100*3.1416/4*B24</f>
        <v>1.56630501406231E-005</v>
      </c>
      <c r="Q24" s="0" t="n">
        <f aca="false">Q23+O24</f>
        <v>0.0973445858233585</v>
      </c>
      <c r="R24" s="0" t="n">
        <f aca="false">P24+R23</f>
        <v>0.00014066013368558</v>
      </c>
      <c r="S24" s="0" t="n">
        <f aca="false">G24/10000*C24*B24</f>
        <v>1.2754398649004E-005</v>
      </c>
      <c r="T24" s="0" t="n">
        <f aca="false">T23+S24</f>
        <v>0.000132013100441777</v>
      </c>
      <c r="U24" s="0" t="n">
        <f aca="false">IF(B24&gt;1,U23+S24,0)</f>
        <v>0.000132013100441777</v>
      </c>
      <c r="V24" s="0" t="n">
        <f aca="false">IF(B24&gt;1,V23+O24,0)</f>
        <v>0.0973445858233585</v>
      </c>
      <c r="W24" s="142" t="n">
        <f aca="false">G24/X24</f>
        <v>0.000216004068505454</v>
      </c>
      <c r="X24" s="142" t="n">
        <f aca="false">X23*B23/B24</f>
        <v>1991.9209274438</v>
      </c>
      <c r="Y24" s="142" t="n">
        <f aca="false">C24/(G24/10000)*$B$14*($F$21/F24)^($B$12)</f>
        <v>0.13547564197114</v>
      </c>
      <c r="Z24" s="142" t="n">
        <f aca="false">Y24/B24</f>
        <v>0.0539713532802397</v>
      </c>
      <c r="AA24" s="142" t="n">
        <f aca="false">AA25+Z24</f>
        <v>0.441077237863834</v>
      </c>
      <c r="AB24" s="142" t="n">
        <f aca="false">IF(B24&gt;1,AB23+Z24,0)</f>
        <v>0.154189619387528</v>
      </c>
      <c r="AC24" s="540" t="n">
        <f aca="false">-AA24*$B$4*2</f>
        <v>-0.441077237863834</v>
      </c>
      <c r="AP24" s="142"/>
    </row>
    <row r="25" customFormat="false" ht="15.75" hidden="false" customHeight="false" outlineLevel="0" collapsed="false">
      <c r="A25" s="0" t="n">
        <f aca="false">A24+1</f>
        <v>4</v>
      </c>
      <c r="B25" s="0" t="n">
        <f aca="false">MAX(B24/$G$5,1)</f>
        <v>1.16667675142421</v>
      </c>
      <c r="C25" s="0" t="n">
        <f aca="false">$B$10+A25*$G$4</f>
        <v>0.115792079207921</v>
      </c>
      <c r="D25" s="0" t="n">
        <f aca="false">(A25+1)*($B$10+$G$4*A25/2)</f>
        <v>0.601980198019802</v>
      </c>
      <c r="E25" s="0" t="n">
        <f aca="false">IF(A25&lt;$J$3,($B$6/10)*$G$5^(A25/$G$3),($B$6/10)*$G$5^($J$3/$G$3))</f>
        <v>0.967348550290221</v>
      </c>
      <c r="F25" s="0" t="n">
        <f aca="false">IF(A25&lt;$J$3,($B$7/10)*$G$5^(A25/$G$2),($B$7/10)*$G$5^($J$3/$G$2))</f>
        <v>0.843539488042143</v>
      </c>
      <c r="G25" s="0" t="n">
        <f aca="false">F25*F25*3.1416/4</f>
        <v>0.558858334837979</v>
      </c>
      <c r="H25" s="0" t="n">
        <f aca="false">E25*E25*3.1416/4</f>
        <v>0.734948431219744</v>
      </c>
      <c r="I25" s="0" t="n">
        <f aca="false">G25*B25</f>
        <v>0.652007026595118</v>
      </c>
      <c r="J25" s="0" t="n">
        <f aca="false">H25*B25</f>
        <v>0.857447248199772</v>
      </c>
      <c r="K25" s="0" t="n">
        <f aca="false">H25-G25</f>
        <v>0.176090096381765</v>
      </c>
      <c r="L25" s="0" t="n">
        <f aca="false">SQRT(4*K25/3.1416)</f>
        <v>0.473502217378326</v>
      </c>
      <c r="M25" s="0" t="n">
        <f aca="false">(E25-L25)/2</f>
        <v>0.246923166455947</v>
      </c>
      <c r="N25" s="0" t="n">
        <f aca="false">E25*3.1416</f>
        <v>3.03902220559176</v>
      </c>
      <c r="O25" s="0" t="n">
        <f aca="false">C25*3.1416*E25*B25/100</f>
        <v>0.0041054736537466</v>
      </c>
      <c r="P25" s="0" t="n">
        <f aca="false">C25*E25/100*E25/100*3.1416/4*B25</f>
        <v>9.92855996801617E-006</v>
      </c>
      <c r="Q25" s="0" t="n">
        <f aca="false">Q24+O25</f>
        <v>0.101450059477105</v>
      </c>
      <c r="R25" s="0" t="n">
        <f aca="false">P25+R24</f>
        <v>0.000150588693653596</v>
      </c>
      <c r="S25" s="0" t="n">
        <f aca="false">G25/10000*C25*B25</f>
        <v>7.54972492676228E-006</v>
      </c>
      <c r="T25" s="0" t="n">
        <f aca="false">T24+S25</f>
        <v>0.00013956282536854</v>
      </c>
      <c r="U25" s="0" t="n">
        <f aca="false">IF(B25&gt;1,U24+S25,0)</f>
        <v>0.00013956282536854</v>
      </c>
      <c r="V25" s="0" t="n">
        <f aca="false">IF(B25&gt;1,V24+O25,0)</f>
        <v>0.101450059477105</v>
      </c>
      <c r="W25" s="142" t="n">
        <f aca="false">G25/X25</f>
        <v>0.000130401405319024</v>
      </c>
      <c r="X25" s="142" t="n">
        <f aca="false">X24*B24/B25</f>
        <v>4285.67723998639</v>
      </c>
      <c r="Y25" s="142" t="n">
        <f aca="false">C25/(G25/10000)*$B$14*($F$21/F25)^($B$12)</f>
        <v>0.0808227039555011</v>
      </c>
      <c r="Z25" s="142" t="n">
        <f aca="false">Y25/B25</f>
        <v>0.0692760045632498</v>
      </c>
      <c r="AA25" s="142" t="n">
        <f aca="false">AA26+Z25</f>
        <v>0.387105884583595</v>
      </c>
      <c r="AB25" s="142" t="n">
        <f aca="false">IF(B25&gt;1,AB24+Z25,0)</f>
        <v>0.223465623950778</v>
      </c>
      <c r="AC25" s="540" t="n">
        <f aca="false">-AA25*$B$4*2</f>
        <v>-0.387105884583595</v>
      </c>
      <c r="AP25" s="142"/>
    </row>
    <row r="26" customFormat="false" ht="15.75" hidden="false" customHeight="false" outlineLevel="0" collapsed="false">
      <c r="A26" s="0" t="n">
        <f aca="false">A25+1</f>
        <v>5</v>
      </c>
      <c r="B26" s="0" t="n">
        <f aca="false">MAX(B25/$G$5,1)</f>
        <v>1</v>
      </c>
      <c r="C26" s="0" t="n">
        <f aca="false">$B$10+A26*$G$4</f>
        <v>0.113490099009901</v>
      </c>
      <c r="D26" s="0" t="n">
        <f aca="false">(A26+1)*($B$10+$G$4*A26/2)</f>
        <v>0.715470297029703</v>
      </c>
      <c r="E26" s="0" t="n">
        <f aca="false">IF(A26&lt;$J$3,($B$6/10)*$G$5^(A26/$G$3),($B$6/10)*$G$5^($J$3/$G$3))</f>
        <v>1</v>
      </c>
      <c r="F26" s="0" t="n">
        <f aca="false">IF(A26&lt;$J$3,($B$7/10)*$G$5^(A26/$G$2),($B$7/10)*$G$5^($J$3/$G$2))</f>
        <v>0.866025403784439</v>
      </c>
      <c r="G26" s="0" t="n">
        <f aca="false">F26*F26*3.1416/4</f>
        <v>0.58905</v>
      </c>
      <c r="H26" s="0" t="n">
        <f aca="false">E26*E26*3.1416/4</f>
        <v>0.7854</v>
      </c>
      <c r="I26" s="0" t="n">
        <f aca="false">G26*B26</f>
        <v>0.58905</v>
      </c>
      <c r="J26" s="0" t="n">
        <f aca="false">H26*B26</f>
        <v>0.7854</v>
      </c>
      <c r="K26" s="0" t="n">
        <f aca="false">H26-G26</f>
        <v>0.19635</v>
      </c>
      <c r="L26" s="0" t="n">
        <f aca="false">SQRT(4*K26/3.1416)</f>
        <v>0.5</v>
      </c>
      <c r="M26" s="0" t="n">
        <f aca="false">(E26-L26)/2</f>
        <v>0.25</v>
      </c>
      <c r="N26" s="0" t="n">
        <f aca="false">E26*3.1416</f>
        <v>3.1416</v>
      </c>
      <c r="O26" s="0" t="n">
        <f aca="false">C26*3.1416*E26*B26/100</f>
        <v>0.00356540495049505</v>
      </c>
      <c r="P26" s="0" t="n">
        <f aca="false">C26*E26/100*E26/100*3.1416/4*B26</f>
        <v>8.91351237623762E-006</v>
      </c>
      <c r="Q26" s="0" t="n">
        <f aca="false">Q25+O26</f>
        <v>0.1050154644276</v>
      </c>
      <c r="R26" s="0" t="n">
        <f aca="false">P26+R25</f>
        <v>0.000159502206029834</v>
      </c>
      <c r="S26" s="0" t="n">
        <f aca="false">G26/10000*C26*B26</f>
        <v>6.68513428217822E-006</v>
      </c>
      <c r="T26" s="0" t="n">
        <f aca="false">T25+S26</f>
        <v>0.000146247959650718</v>
      </c>
      <c r="U26" s="0" t="n">
        <f aca="false">IF(B26&gt;1,U25+S26,0)</f>
        <v>0</v>
      </c>
      <c r="V26" s="0" t="n">
        <f aca="false">IF(B26&gt;1,V25+O26,0)</f>
        <v>0</v>
      </c>
      <c r="W26" s="142" t="n">
        <f aca="false">G26/X26</f>
        <v>0.00011781</v>
      </c>
      <c r="X26" s="142" t="n">
        <f aca="false">X25*B25/B26</f>
        <v>5000</v>
      </c>
      <c r="Y26" s="142" t="n">
        <f aca="false">C26/(G26/10000)*$B$14*($F$21/F26)^($B$12)</f>
        <v>0.0716797835658279</v>
      </c>
      <c r="Z26" s="142" t="n">
        <f aca="false">Y26/B26</f>
        <v>0.0716797835658279</v>
      </c>
      <c r="AA26" s="142" t="n">
        <f aca="false">AA27+Z26</f>
        <v>0.317829880020345</v>
      </c>
      <c r="AB26" s="142" t="n">
        <f aca="false">IF(B26&gt;1,AB25+Z26,0)</f>
        <v>0</v>
      </c>
      <c r="AC26" s="540" t="n">
        <f aca="false">-AA26*$B$4*2</f>
        <v>-0.317829880020345</v>
      </c>
      <c r="AP26" s="142"/>
    </row>
    <row r="27" customFormat="false" ht="15.75" hidden="false" customHeight="false" outlineLevel="0" collapsed="false">
      <c r="A27" s="0" t="n">
        <f aca="false">A26+1</f>
        <v>6</v>
      </c>
      <c r="B27" s="0" t="n">
        <f aca="false">MAX(B26/$G$5,1)</f>
        <v>1</v>
      </c>
      <c r="C27" s="0" t="n">
        <f aca="false">$B$10+A27*$G$4</f>
        <v>0.111188118811881</v>
      </c>
      <c r="D27" s="0" t="n">
        <f aca="false">(A27+1)*($B$10+$G$4*A27/2)</f>
        <v>0.826658415841584</v>
      </c>
      <c r="E27" s="0" t="n">
        <f aca="false">IF(A27&lt;$J$3,($B$6/10)*$G$5^(A27/$G$3),($B$6/10)*$G$5^($J$3/$G$3))</f>
        <v>1</v>
      </c>
      <c r="F27" s="0" t="n">
        <f aca="false">IF(A27&lt;$J$3,($B$7/10)*$G$5^(A27/$G$2),($B$7/10)*$G$5^($J$3/$G$2))</f>
        <v>0.866025403784439</v>
      </c>
      <c r="G27" s="0" t="n">
        <f aca="false">F27*F27*3.1416/4</f>
        <v>0.58905</v>
      </c>
      <c r="H27" s="0" t="n">
        <f aca="false">E27*E27*3.1416/4</f>
        <v>0.7854</v>
      </c>
      <c r="I27" s="0" t="n">
        <f aca="false">G27*B27</f>
        <v>0.58905</v>
      </c>
      <c r="J27" s="0" t="n">
        <f aca="false">H27*B27</f>
        <v>0.7854</v>
      </c>
      <c r="K27" s="0" t="n">
        <f aca="false">H27-G27</f>
        <v>0.19635</v>
      </c>
      <c r="L27" s="0" t="n">
        <f aca="false">SQRT(4*K27/3.1416)</f>
        <v>0.5</v>
      </c>
      <c r="M27" s="0" t="n">
        <f aca="false">(E27-L27)/2</f>
        <v>0.25</v>
      </c>
      <c r="N27" s="0" t="n">
        <f aca="false">E27*3.1416</f>
        <v>3.1416</v>
      </c>
      <c r="O27" s="0" t="n">
        <f aca="false">C27*3.1416*E27*B27/100</f>
        <v>0.00349308594059406</v>
      </c>
      <c r="P27" s="0" t="n">
        <f aca="false">C27*E27/100*E27/100*3.1416/4*B27</f>
        <v>8.73271485148515E-006</v>
      </c>
      <c r="Q27" s="0" t="n">
        <f aca="false">Q26+O27</f>
        <v>0.108508550368194</v>
      </c>
      <c r="R27" s="0" t="n">
        <f aca="false">P27+R26</f>
        <v>0.000168234920881319</v>
      </c>
      <c r="S27" s="0" t="n">
        <f aca="false">G27/10000*C27*B27</f>
        <v>6.54953613861386E-006</v>
      </c>
      <c r="T27" s="0" t="n">
        <f aca="false">T26+S27</f>
        <v>0.000152797495789332</v>
      </c>
      <c r="U27" s="0" t="n">
        <f aca="false">IF(B27&gt;1,U26+S27,0)</f>
        <v>0</v>
      </c>
      <c r="V27" s="0" t="n">
        <f aca="false">IF(B27&gt;1,V26+O27,0)</f>
        <v>0</v>
      </c>
      <c r="W27" s="142" t="n">
        <f aca="false">G27/X27</f>
        <v>0.00011781</v>
      </c>
      <c r="X27" s="142" t="n">
        <f aca="false">X26*B26/B27</f>
        <v>5000</v>
      </c>
      <c r="Y27" s="142" t="n">
        <f aca="false">C27/(G27/10000)*$B$14*($F$21/F27)^($B$12)</f>
        <v>0.0702258642917555</v>
      </c>
      <c r="Z27" s="142" t="n">
        <f aca="false">Y27/B27</f>
        <v>0.0702258642917555</v>
      </c>
      <c r="AA27" s="142" t="n">
        <f aca="false">AA28+Z27</f>
        <v>0.246150096454517</v>
      </c>
      <c r="AB27" s="142" t="n">
        <f aca="false">IF(B27&gt;1,AB26+Z27,0)</f>
        <v>0</v>
      </c>
      <c r="AC27" s="540" t="n">
        <f aca="false">-AA27*$B$4*2</f>
        <v>-0.246150096454517</v>
      </c>
      <c r="AP27" s="142"/>
    </row>
    <row r="28" customFormat="false" ht="15.75" hidden="false" customHeight="false" outlineLevel="0" collapsed="false">
      <c r="A28" s="0" t="n">
        <f aca="false">A27+1</f>
        <v>7</v>
      </c>
      <c r="B28" s="0" t="n">
        <f aca="false">MAX(B27/$G$5,1)</f>
        <v>1</v>
      </c>
      <c r="C28" s="0" t="n">
        <f aca="false">$B$10+A28*$G$4</f>
        <v>0.108886138613861</v>
      </c>
      <c r="D28" s="0" t="n">
        <f aca="false">(A28+1)*($B$10+$G$4*A28/2)</f>
        <v>0.935544554455445</v>
      </c>
      <c r="E28" s="0" t="n">
        <f aca="false">IF(A28&lt;$J$3,($B$6/10)*$G$5^(A28/$G$3),($B$6/10)*$G$5^($J$3/$G$3))</f>
        <v>1</v>
      </c>
      <c r="F28" s="0" t="n">
        <f aca="false">IF(A28&lt;$J$3,($B$7/10)*$G$5^(A28/$G$2),($B$7/10)*$G$5^($J$3/$G$2))</f>
        <v>0.866025403784439</v>
      </c>
      <c r="G28" s="0" t="n">
        <f aca="false">F28*F28*3.1416/4</f>
        <v>0.58905</v>
      </c>
      <c r="H28" s="0" t="n">
        <f aca="false">E28*E28*3.1416/4</f>
        <v>0.7854</v>
      </c>
      <c r="I28" s="0" t="n">
        <f aca="false">G28*B28</f>
        <v>0.58905</v>
      </c>
      <c r="J28" s="0" t="n">
        <f aca="false">H28*B28</f>
        <v>0.7854</v>
      </c>
      <c r="K28" s="0" t="n">
        <f aca="false">H28-G28</f>
        <v>0.19635</v>
      </c>
      <c r="L28" s="0" t="n">
        <f aca="false">SQRT(4*K28/3.1416)</f>
        <v>0.5</v>
      </c>
      <c r="M28" s="0" t="n">
        <f aca="false">(E28-L28)/2</f>
        <v>0.25</v>
      </c>
      <c r="N28" s="0" t="n">
        <f aca="false">E28*3.1416</f>
        <v>3.1416</v>
      </c>
      <c r="O28" s="0" t="n">
        <f aca="false">C28*3.1416*E28*B28/100</f>
        <v>0.00342076693069307</v>
      </c>
      <c r="P28" s="0" t="n">
        <f aca="false">C28*E28/100*E28/100*3.1416/4*B28</f>
        <v>8.55191732673267E-006</v>
      </c>
      <c r="Q28" s="0" t="n">
        <f aca="false">Q27+O28</f>
        <v>0.111929317298887</v>
      </c>
      <c r="R28" s="0" t="n">
        <f aca="false">P28+R27</f>
        <v>0.000176786838208051</v>
      </c>
      <c r="S28" s="0" t="n">
        <f aca="false">G28/10000*C28*B28</f>
        <v>6.4139379950495E-006</v>
      </c>
      <c r="T28" s="0" t="n">
        <f aca="false">T27+S28</f>
        <v>0.000159211433784381</v>
      </c>
      <c r="U28" s="0" t="n">
        <f aca="false">IF(B28&gt;1,U27+S28,0)</f>
        <v>0</v>
      </c>
      <c r="V28" s="0" t="n">
        <f aca="false">IF(B28&gt;1,V27+O28,0)</f>
        <v>0</v>
      </c>
      <c r="W28" s="142" t="n">
        <f aca="false">G28/X28</f>
        <v>0.00011781</v>
      </c>
      <c r="X28" s="142" t="n">
        <f aca="false">X27*B27/B28</f>
        <v>5000</v>
      </c>
      <c r="Y28" s="142" t="n">
        <f aca="false">C28/(G28/10000)*$B$14*($F$21/F28)^($B$12)</f>
        <v>0.0687719450176831</v>
      </c>
      <c r="Z28" s="142" t="n">
        <f aca="false">Y28/B28</f>
        <v>0.0687719450176831</v>
      </c>
      <c r="AA28" s="142" t="n">
        <f aca="false">AA29+Z28</f>
        <v>0.175924232162761</v>
      </c>
      <c r="AB28" s="142" t="n">
        <f aca="false">IF(B28&gt;1,AB27+Z28,0)</f>
        <v>0</v>
      </c>
      <c r="AC28" s="540" t="n">
        <f aca="false">-AA28*$B$4*2</f>
        <v>-0.175924232162761</v>
      </c>
      <c r="AP28" s="142"/>
    </row>
    <row r="29" customFormat="false" ht="15.75" hidden="false" customHeight="false" outlineLevel="0" collapsed="false">
      <c r="A29" s="0" t="n">
        <f aca="false">A28+1</f>
        <v>8</v>
      </c>
      <c r="B29" s="0" t="n">
        <f aca="false">MAX(B28/$G$5,1)</f>
        <v>1</v>
      </c>
      <c r="C29" s="0" t="n">
        <f aca="false">$B$10+A29*$G$4</f>
        <v>0.106584158415842</v>
      </c>
      <c r="D29" s="0" t="n">
        <f aca="false">(A29+1)*($B$10+$G$4*A29/2)</f>
        <v>1.04212871287129</v>
      </c>
      <c r="E29" s="0" t="n">
        <f aca="false">IF(A29&lt;$J$3,($B$6/10)*$G$5^(A29/$G$3),($B$6/10)*$G$5^($J$3/$G$3))</f>
        <v>1</v>
      </c>
      <c r="F29" s="0" t="n">
        <f aca="false">IF(A29&lt;$J$3,($B$7/10)*$G$5^(A29/$G$2),($B$7/10)*$G$5^($J$3/$G$2))</f>
        <v>0.866025403784439</v>
      </c>
      <c r="G29" s="0" t="n">
        <f aca="false">F29*F29*3.1416/4</f>
        <v>0.58905</v>
      </c>
      <c r="H29" s="0" t="n">
        <f aca="false">E29*E29*3.1416/4</f>
        <v>0.7854</v>
      </c>
      <c r="I29" s="0" t="n">
        <f aca="false">G29*B29</f>
        <v>0.58905</v>
      </c>
      <c r="J29" s="0" t="n">
        <f aca="false">H29*B29</f>
        <v>0.7854</v>
      </c>
      <c r="K29" s="0" t="n">
        <f aca="false">H29-G29</f>
        <v>0.19635</v>
      </c>
      <c r="L29" s="0" t="n">
        <f aca="false">SQRT(4*K29/3.1416)</f>
        <v>0.5</v>
      </c>
      <c r="M29" s="0" t="n">
        <f aca="false">(E29-L29)/2</f>
        <v>0.25</v>
      </c>
      <c r="N29" s="0" t="n">
        <f aca="false">E29*3.1416</f>
        <v>3.1416</v>
      </c>
      <c r="O29" s="0" t="n">
        <f aca="false">C29*3.1416*E29*B29/100</f>
        <v>0.00334844792079208</v>
      </c>
      <c r="P29" s="0" t="n">
        <f aca="false">C29*E29/100*E29/100*3.1416/4*B29</f>
        <v>8.3711198019802E-006</v>
      </c>
      <c r="Q29" s="0" t="n">
        <f aca="false">Q28+O29</f>
        <v>0.115277765219679</v>
      </c>
      <c r="R29" s="0" t="n">
        <f aca="false">P29+R28</f>
        <v>0.000185157958010032</v>
      </c>
      <c r="S29" s="0" t="n">
        <f aca="false">G29/10000*C29*B29</f>
        <v>6.27833985148515E-006</v>
      </c>
      <c r="T29" s="0" t="n">
        <f aca="false">T28+S29</f>
        <v>0.000165489773635866</v>
      </c>
      <c r="U29" s="0" t="n">
        <f aca="false">IF(B29&gt;1,U28+S29,0)</f>
        <v>0</v>
      </c>
      <c r="V29" s="0" t="n">
        <f aca="false">IF(B29&gt;1,V28+O29,0)</f>
        <v>0</v>
      </c>
      <c r="W29" s="142" t="n">
        <f aca="false">G29/X29</f>
        <v>0.00011781</v>
      </c>
      <c r="X29" s="142" t="n">
        <f aca="false">X28*B28/B29</f>
        <v>5000</v>
      </c>
      <c r="Y29" s="142" t="n">
        <f aca="false">C29/(G29/10000)*$B$14*($F$21/F29)^($B$12)</f>
        <v>0.0673180257436107</v>
      </c>
      <c r="Z29" s="142" t="n">
        <f aca="false">Y29/B29</f>
        <v>0.0673180257436107</v>
      </c>
      <c r="AA29" s="142" t="n">
        <f aca="false">AA30+Z29</f>
        <v>0.107152287145078</v>
      </c>
      <c r="AB29" s="142" t="n">
        <f aca="false">IF(B29&gt;1,AB28+Z29,0)</f>
        <v>0</v>
      </c>
      <c r="AC29" s="540" t="n">
        <f aca="false">-AA29*$B$4*2</f>
        <v>-0.107152287145078</v>
      </c>
      <c r="AP29" s="142"/>
    </row>
    <row r="30" customFormat="false" ht="15.75" hidden="false" customHeight="false" outlineLevel="0" collapsed="false">
      <c r="A30" s="0" t="n">
        <f aca="false">A29+1</f>
        <v>9</v>
      </c>
      <c r="B30" s="0" t="n">
        <f aca="false">MAX(B29/$G$5,1)</f>
        <v>1</v>
      </c>
      <c r="C30" s="0" t="n">
        <f aca="false">$B$10+A30*$G$4</f>
        <v>0.104282178217822</v>
      </c>
      <c r="D30" s="0" t="n">
        <f aca="false">(A30+1)*($B$10+$G$4*A30/2)</f>
        <v>1.14641089108911</v>
      </c>
      <c r="E30" s="0" t="n">
        <f aca="false">IF(A30&lt;$J$3,($B$6/10)*$G$5^(A30/$G$3),($B$6/10)*$G$5^($J$3/$G$3))</f>
        <v>1</v>
      </c>
      <c r="F30" s="0" t="n">
        <f aca="false">IF(A30&lt;$J$3,($B$7/10)*$G$5^(A30/$G$2),($B$7/10)*$G$5^($J$3/$G$2))</f>
        <v>0.866025403784439</v>
      </c>
      <c r="G30" s="0" t="n">
        <f aca="false">F30*F30*3.1416/4</f>
        <v>0.58905</v>
      </c>
      <c r="H30" s="0" t="n">
        <f aca="false">E30*E30*3.1416/4</f>
        <v>0.7854</v>
      </c>
      <c r="I30" s="0" t="n">
        <f aca="false">G30*B30</f>
        <v>0.58905</v>
      </c>
      <c r="J30" s="0" t="n">
        <f aca="false">H30*B30</f>
        <v>0.7854</v>
      </c>
      <c r="K30" s="0" t="n">
        <f aca="false">H30-G30</f>
        <v>0.19635</v>
      </c>
      <c r="L30" s="0" t="n">
        <f aca="false">SQRT(4*K30/3.1416)</f>
        <v>0.5</v>
      </c>
      <c r="M30" s="0" t="n">
        <f aca="false">(E30-L30)/2</f>
        <v>0.25</v>
      </c>
      <c r="N30" s="0" t="n">
        <f aca="false">E30*3.1416</f>
        <v>3.1416</v>
      </c>
      <c r="O30" s="0" t="n">
        <f aca="false">C30*3.1416*E30*B30/100</f>
        <v>0.00327612891089109</v>
      </c>
      <c r="P30" s="0" t="n">
        <f aca="false">C30*E30/100*E30/100*3.1416/4*B30</f>
        <v>8.19032227722772E-006</v>
      </c>
      <c r="Q30" s="0" t="n">
        <f aca="false">Q29+O30</f>
        <v>0.11855389413057</v>
      </c>
      <c r="R30" s="0" t="n">
        <f aca="false">P30+R29</f>
        <v>0.000193348280287259</v>
      </c>
      <c r="S30" s="0" t="n">
        <f aca="false">G30/10000*C30*B30</f>
        <v>6.14274170792079E-006</v>
      </c>
      <c r="T30" s="0" t="n">
        <f aca="false">T29+S30</f>
        <v>0.000171632515343787</v>
      </c>
      <c r="U30" s="0" t="n">
        <f aca="false">IF(B30&gt;1,U29+S30,0)</f>
        <v>0</v>
      </c>
      <c r="V30" s="0" t="n">
        <f aca="false">IF(B30&gt;1,V29+O30,0)</f>
        <v>0</v>
      </c>
      <c r="W30" s="142" t="n">
        <f aca="false">G30/X30</f>
        <v>0.00011781</v>
      </c>
      <c r="X30" s="142" t="n">
        <f aca="false">X29*B29/B30</f>
        <v>5000</v>
      </c>
      <c r="Y30" s="142" t="n">
        <f aca="false">C30/(G30/10000)*$B$14*($F$21/F30)^($B$12)</f>
        <v>0.0658641064695383</v>
      </c>
      <c r="Z30" s="142" t="n">
        <f aca="false">Y30/B30</f>
        <v>0.0658641064695383</v>
      </c>
      <c r="AA30" s="142" t="n">
        <f aca="false">AA31+Z30</f>
        <v>0.0398342614014676</v>
      </c>
      <c r="AB30" s="142" t="n">
        <f aca="false">IF(B30&gt;1,AB29+Z30,0)</f>
        <v>0</v>
      </c>
      <c r="AC30" s="540" t="n">
        <f aca="false">-AA30*$B$4*2</f>
        <v>-0.0398342614014676</v>
      </c>
      <c r="AP30" s="142"/>
    </row>
    <row r="31" customFormat="false" ht="15.75" hidden="false" customHeight="false" outlineLevel="0" collapsed="false">
      <c r="A31" s="0" t="n">
        <f aca="false">A30+1</f>
        <v>10</v>
      </c>
      <c r="B31" s="0" t="n">
        <f aca="false">MAX(B30/$G$5,1)</f>
        <v>1</v>
      </c>
      <c r="C31" s="0" t="n">
        <f aca="false">$B$10+A31*$G$4</f>
        <v>0.101980198019802</v>
      </c>
      <c r="D31" s="0" t="n">
        <f aca="false">(A31+1)*($B$10+$G$4*A31/2)</f>
        <v>1.24839108910891</v>
      </c>
      <c r="E31" s="0" t="n">
        <f aca="false">IF(A31&lt;$J$3,($B$6/10)*$G$5^(A31/$G$3),($B$6/10)*$G$5^($J$3/$G$3))</f>
        <v>1</v>
      </c>
      <c r="F31" s="0" t="n">
        <f aca="false">IF(A31&lt;$J$3,($B$7/10)*$G$5^(A31/$G$2),($B$7/10)*$G$5^($J$3/$G$2))</f>
        <v>0.866025403784439</v>
      </c>
      <c r="G31" s="0" t="n">
        <f aca="false">F31*F31*3.1416/4</f>
        <v>0.58905</v>
      </c>
      <c r="H31" s="0" t="n">
        <f aca="false">E31*E31*3.1416/4</f>
        <v>0.7854</v>
      </c>
      <c r="I31" s="0" t="n">
        <f aca="false">G31*B31</f>
        <v>0.58905</v>
      </c>
      <c r="J31" s="0" t="n">
        <f aca="false">H31*B31</f>
        <v>0.7854</v>
      </c>
      <c r="K31" s="0" t="n">
        <f aca="false">H31-G31</f>
        <v>0.19635</v>
      </c>
      <c r="L31" s="0" t="n">
        <f aca="false">SQRT(4*K31/3.1416)</f>
        <v>0.5</v>
      </c>
      <c r="M31" s="0" t="n">
        <f aca="false">(E31-L31)/2</f>
        <v>0.25</v>
      </c>
      <c r="N31" s="0" t="n">
        <f aca="false">E31*3.1416</f>
        <v>3.1416</v>
      </c>
      <c r="O31" s="0" t="n">
        <f aca="false">C31*3.1416*E31*B31/100</f>
        <v>0.0032038099009901</v>
      </c>
      <c r="P31" s="0" t="n">
        <f aca="false">C31*E31/100*E31/100*3.1416/4*B31</f>
        <v>8.00952475247525E-006</v>
      </c>
      <c r="Q31" s="0" t="n">
        <f aca="false">Q30+O31</f>
        <v>0.121757704031561</v>
      </c>
      <c r="R31" s="0" t="n">
        <f aca="false">P31+R30</f>
        <v>0.000201357805039735</v>
      </c>
      <c r="S31" s="0" t="n">
        <f aca="false">G31/10000*C31*B31</f>
        <v>6.00714356435643E-006</v>
      </c>
      <c r="T31" s="0" t="n">
        <f aca="false">T30+S31</f>
        <v>0.000177639658908144</v>
      </c>
      <c r="U31" s="0" t="n">
        <f aca="false">IF(B31&gt;1,U30+S31,0)</f>
        <v>0</v>
      </c>
      <c r="V31" s="0" t="n">
        <f aca="false">IF(B31&gt;1,V30+O31,0)</f>
        <v>0</v>
      </c>
      <c r="W31" s="142" t="n">
        <f aca="false">G31/X31</f>
        <v>0.00011781</v>
      </c>
      <c r="X31" s="142" t="n">
        <f aca="false">X30*B30/B31</f>
        <v>5000</v>
      </c>
      <c r="Y31" s="142" t="n">
        <f aca="false">C31/(G31/10000)*$B$14*($F$21/F31)^($B$12)</f>
        <v>0.0644101871954659</v>
      </c>
      <c r="Z31" s="142" t="n">
        <f aca="false">Y31/B31</f>
        <v>0.0644101871954659</v>
      </c>
      <c r="AA31" s="142" t="n">
        <f aca="false">AA32+Z31</f>
        <v>-0.0260298450680707</v>
      </c>
      <c r="AB31" s="142" t="n">
        <f aca="false">IF(B31&gt;1,AB30+Z31,0)</f>
        <v>0</v>
      </c>
      <c r="AC31" s="540" t="n">
        <f aca="false">-AA31*$B$4*2</f>
        <v>0.0260298450680707</v>
      </c>
      <c r="AP31" s="142"/>
    </row>
    <row r="32" customFormat="false" ht="15.75" hidden="false" customHeight="false" outlineLevel="0" collapsed="false">
      <c r="A32" s="0" t="n">
        <f aca="false">A31+1</f>
        <v>11</v>
      </c>
      <c r="B32" s="0" t="n">
        <f aca="false">MAX(B31/$G$5,1)</f>
        <v>1</v>
      </c>
      <c r="C32" s="0" t="n">
        <f aca="false">$B$10+A32*$G$4</f>
        <v>0.0996782178217822</v>
      </c>
      <c r="D32" s="0" t="n">
        <f aca="false">(A32+1)*($B$10+$G$4*A32/2)</f>
        <v>1.34806930693069</v>
      </c>
      <c r="E32" s="0" t="n">
        <f aca="false">IF(A32&lt;$J$3,($B$6/10)*$G$5^(A32/$G$3),($B$6/10)*$G$5^($J$3/$G$3))</f>
        <v>1</v>
      </c>
      <c r="F32" s="0" t="n">
        <f aca="false">IF(A32&lt;$J$3,($B$7/10)*$G$5^(A32/$G$2),($B$7/10)*$G$5^($J$3/$G$2))</f>
        <v>0.866025403784439</v>
      </c>
      <c r="G32" s="0" t="n">
        <f aca="false">F32*F32*3.1416/4</f>
        <v>0.58905</v>
      </c>
      <c r="H32" s="0" t="n">
        <f aca="false">E32*E32*3.1416/4</f>
        <v>0.7854</v>
      </c>
      <c r="I32" s="0" t="n">
        <f aca="false">G32*B32</f>
        <v>0.58905</v>
      </c>
      <c r="J32" s="0" t="n">
        <f aca="false">H32*B32</f>
        <v>0.7854</v>
      </c>
      <c r="K32" s="0" t="n">
        <f aca="false">H32-G32</f>
        <v>0.19635</v>
      </c>
      <c r="L32" s="0" t="n">
        <f aca="false">SQRT(4*K32/3.1416)</f>
        <v>0.5</v>
      </c>
      <c r="M32" s="0" t="n">
        <f aca="false">(E32-L32)/2</f>
        <v>0.25</v>
      </c>
      <c r="N32" s="0" t="n">
        <f aca="false">E32*3.1416</f>
        <v>3.1416</v>
      </c>
      <c r="O32" s="0" t="n">
        <f aca="false">C32*3.1416*E32*B32/100</f>
        <v>0.00313149089108911</v>
      </c>
      <c r="P32" s="0" t="n">
        <f aca="false">C32*E32/100*E32/100*3.1416/4*B32</f>
        <v>7.82872722772277E-006</v>
      </c>
      <c r="Q32" s="0" t="n">
        <f aca="false">Q31+O32</f>
        <v>0.12488919492265</v>
      </c>
      <c r="R32" s="0" t="n">
        <f aca="false">P32+R31</f>
        <v>0.000209186532267457</v>
      </c>
      <c r="S32" s="0" t="n">
        <f aca="false">G32/10000*C32*B32</f>
        <v>5.87154542079208E-006</v>
      </c>
      <c r="T32" s="0" t="n">
        <f aca="false">T31+S32</f>
        <v>0.000183511204328936</v>
      </c>
      <c r="U32" s="0" t="n">
        <f aca="false">IF(B32&gt;1,U31+S32,0)</f>
        <v>0</v>
      </c>
      <c r="V32" s="0" t="n">
        <f aca="false">IF(B32&gt;1,V31+O32,0)</f>
        <v>0</v>
      </c>
      <c r="W32" s="142" t="n">
        <f aca="false">G32/X32</f>
        <v>0.00011781</v>
      </c>
      <c r="X32" s="142" t="n">
        <f aca="false">X31*B31/B32</f>
        <v>5000</v>
      </c>
      <c r="Y32" s="142" t="n">
        <f aca="false">C32/(G32/10000)*$B$14*($F$21/F32)^($B$12)</f>
        <v>0.0629562679213935</v>
      </c>
      <c r="Z32" s="142" t="n">
        <f aca="false">Y32/B32</f>
        <v>0.0629562679213935</v>
      </c>
      <c r="AA32" s="142" t="n">
        <f aca="false">AA33+Z32</f>
        <v>-0.0904400322635366</v>
      </c>
      <c r="AB32" s="142" t="n">
        <f aca="false">IF(B32&gt;1,AB31+Z32,0)</f>
        <v>0</v>
      </c>
      <c r="AC32" s="540" t="n">
        <f aca="false">-AA32*$B$4*2</f>
        <v>0.0904400322635366</v>
      </c>
      <c r="AP32" s="142"/>
    </row>
    <row r="33" customFormat="false" ht="15.75" hidden="false" customHeight="false" outlineLevel="0" collapsed="false">
      <c r="A33" s="0" t="n">
        <f aca="false">A32+1</f>
        <v>12</v>
      </c>
      <c r="B33" s="0" t="n">
        <f aca="false">MAX(B32/$G$5,1)</f>
        <v>1</v>
      </c>
      <c r="C33" s="0" t="n">
        <f aca="false">$B$10+A33*$G$4</f>
        <v>0.0973762376237624</v>
      </c>
      <c r="D33" s="0" t="n">
        <f aca="false">(A33+1)*($B$10+$G$4*A33/2)</f>
        <v>1.44544554455446</v>
      </c>
      <c r="E33" s="0" t="n">
        <f aca="false">IF(A33&lt;$J$3,($B$6/10)*$G$5^(A33/$G$3),($B$6/10)*$G$5^($J$3/$G$3))</f>
        <v>1</v>
      </c>
      <c r="F33" s="0" t="n">
        <f aca="false">IF(A33&lt;$J$3,($B$7/10)*$G$5^(A33/$G$2),($B$7/10)*$G$5^($J$3/$G$2))</f>
        <v>0.866025403784439</v>
      </c>
      <c r="G33" s="0" t="n">
        <f aca="false">F33*F33*3.1416/4</f>
        <v>0.58905</v>
      </c>
      <c r="H33" s="0" t="n">
        <f aca="false">E33*E33*3.1416/4</f>
        <v>0.7854</v>
      </c>
      <c r="I33" s="0" t="n">
        <f aca="false">G33*B33</f>
        <v>0.58905</v>
      </c>
      <c r="J33" s="0" t="n">
        <f aca="false">H33*B33</f>
        <v>0.7854</v>
      </c>
      <c r="K33" s="0" t="n">
        <f aca="false">H33-G33</f>
        <v>0.19635</v>
      </c>
      <c r="L33" s="0" t="n">
        <f aca="false">SQRT(4*K33/3.1416)</f>
        <v>0.5</v>
      </c>
      <c r="M33" s="0" t="n">
        <f aca="false">(E33-L33)/2</f>
        <v>0.25</v>
      </c>
      <c r="N33" s="0" t="n">
        <f aca="false">E33*3.1416</f>
        <v>3.1416</v>
      </c>
      <c r="O33" s="0" t="n">
        <f aca="false">C33*3.1416*E33*B33/100</f>
        <v>0.00305917188118812</v>
      </c>
      <c r="P33" s="0" t="n">
        <f aca="false">C33*E33/100*E33/100*3.1416/4*B33</f>
        <v>7.6479297029703E-006</v>
      </c>
      <c r="Q33" s="0" t="n">
        <f aca="false">Q32+O33</f>
        <v>0.127948366803838</v>
      </c>
      <c r="R33" s="0" t="n">
        <f aca="false">P33+R32</f>
        <v>0.000216834461970428</v>
      </c>
      <c r="S33" s="0" t="n">
        <f aca="false">G33/10000*C33*B33</f>
        <v>5.73594727722772E-006</v>
      </c>
      <c r="T33" s="0" t="n">
        <f aca="false">T32+S33</f>
        <v>0.000189247151606163</v>
      </c>
      <c r="U33" s="0" t="n">
        <f aca="false">IF(B33&gt;1,U32+S33,0)</f>
        <v>0</v>
      </c>
      <c r="V33" s="0" t="n">
        <f aca="false">IF(B33&gt;1,V32+O33,0)</f>
        <v>0</v>
      </c>
      <c r="W33" s="142" t="n">
        <f aca="false">G33/X33</f>
        <v>0.00011781</v>
      </c>
      <c r="X33" s="142" t="n">
        <f aca="false">X32*B32/B33</f>
        <v>5000</v>
      </c>
      <c r="Y33" s="142" t="n">
        <f aca="false">C33/(G33/10000)*$B$14*($F$21/F33)^($B$12)</f>
        <v>0.0615023486473211</v>
      </c>
      <c r="Z33" s="142" t="n">
        <f aca="false">Y33/B33</f>
        <v>0.0615023486473211</v>
      </c>
      <c r="AA33" s="142" t="n">
        <f aca="false">AA34+Z33</f>
        <v>-0.15339630018493</v>
      </c>
      <c r="AB33" s="142" t="n">
        <f aca="false">IF(B33&gt;1,AB32+Z33,0)</f>
        <v>0</v>
      </c>
      <c r="AC33" s="540" t="n">
        <f aca="false">-AA33*$B$4*2</f>
        <v>0.15339630018493</v>
      </c>
      <c r="AP33" s="142"/>
    </row>
    <row r="34" customFormat="false" ht="15.75" hidden="false" customHeight="false" outlineLevel="0" collapsed="false">
      <c r="A34" s="0" t="n">
        <f aca="false">A33+1</f>
        <v>13</v>
      </c>
      <c r="B34" s="0" t="n">
        <f aca="false">MAX(B33/$G$5,1)</f>
        <v>1</v>
      </c>
      <c r="C34" s="0" t="n">
        <f aca="false">$B$10+A34*$G$4</f>
        <v>0.0950742574257426</v>
      </c>
      <c r="D34" s="0" t="n">
        <f aca="false">(A34+1)*($B$10+$G$4*A34/2)</f>
        <v>1.5405198019802</v>
      </c>
      <c r="E34" s="0" t="n">
        <f aca="false">IF(A34&lt;$J$3,($B$6/10)*$G$5^(A34/$G$3),($B$6/10)*$G$5^($J$3/$G$3))</f>
        <v>1</v>
      </c>
      <c r="F34" s="0" t="n">
        <f aca="false">IF(A34&lt;$J$3,($B$7/10)*$G$5^(A34/$G$2),($B$7/10)*$G$5^($J$3/$G$2))</f>
        <v>0.866025403784439</v>
      </c>
      <c r="G34" s="0" t="n">
        <f aca="false">F34*F34*3.1416/4</f>
        <v>0.58905</v>
      </c>
      <c r="H34" s="0" t="n">
        <f aca="false">E34*E34*3.1416/4</f>
        <v>0.7854</v>
      </c>
      <c r="I34" s="0" t="n">
        <f aca="false">G34*B34</f>
        <v>0.58905</v>
      </c>
      <c r="J34" s="0" t="n">
        <f aca="false">H34*B34</f>
        <v>0.7854</v>
      </c>
      <c r="K34" s="0" t="n">
        <f aca="false">H34-G34</f>
        <v>0.19635</v>
      </c>
      <c r="L34" s="0" t="n">
        <f aca="false">SQRT(4*K34/3.1416)</f>
        <v>0.5</v>
      </c>
      <c r="M34" s="0" t="n">
        <f aca="false">(E34-L34)/2</f>
        <v>0.25</v>
      </c>
      <c r="N34" s="0" t="n">
        <f aca="false">E34*3.1416</f>
        <v>3.1416</v>
      </c>
      <c r="O34" s="0" t="n">
        <f aca="false">C34*3.1416*E34*B34/100</f>
        <v>0.00298685287128713</v>
      </c>
      <c r="P34" s="0" t="n">
        <f aca="false">C34*E34/100*E34/100*3.1416/4*B34</f>
        <v>7.46713217821782E-006</v>
      </c>
      <c r="Q34" s="0" t="n">
        <f aca="false">Q33+O34</f>
        <v>0.130935219675125</v>
      </c>
      <c r="R34" s="0" t="n">
        <f aca="false">P34+R33</f>
        <v>0.000224301594148645</v>
      </c>
      <c r="S34" s="0" t="n">
        <f aca="false">G34/10000*C34*B34</f>
        <v>5.60034913366337E-006</v>
      </c>
      <c r="T34" s="0" t="n">
        <f aca="false">T33+S34</f>
        <v>0.000194847500739827</v>
      </c>
      <c r="U34" s="0" t="n">
        <f aca="false">IF(B34&gt;1,U33+S34,0)</f>
        <v>0</v>
      </c>
      <c r="V34" s="0" t="n">
        <f aca="false">IF(B34&gt;1,V33+O34,0)</f>
        <v>0</v>
      </c>
      <c r="W34" s="142" t="n">
        <f aca="false">G34/X34</f>
        <v>0.00011781</v>
      </c>
      <c r="X34" s="142" t="n">
        <f aca="false">X33*B33/B34</f>
        <v>5000</v>
      </c>
      <c r="Y34" s="142" t="n">
        <f aca="false">C34/(G34/10000)*$B$14*($F$21/F34)^($B$12)</f>
        <v>0.0600484293732487</v>
      </c>
      <c r="Z34" s="142" t="n">
        <f aca="false">Y34/B34</f>
        <v>0.0600484293732487</v>
      </c>
      <c r="AA34" s="142" t="n">
        <f aca="false">AA35+Z34</f>
        <v>-0.214898648832251</v>
      </c>
      <c r="AB34" s="142" t="n">
        <f aca="false">IF(B34&gt;1,AB33+Z34,0)</f>
        <v>0</v>
      </c>
      <c r="AC34" s="540" t="n">
        <f aca="false">-AA34*$B$4*2</f>
        <v>0.214898648832251</v>
      </c>
      <c r="AP34" s="142"/>
    </row>
    <row r="35" customFormat="false" ht="15.75" hidden="false" customHeight="false" outlineLevel="0" collapsed="false">
      <c r="A35" s="0" t="n">
        <f aca="false">A34+1</f>
        <v>14</v>
      </c>
      <c r="B35" s="0" t="n">
        <f aca="false">MAX(B34/$G$5,1)</f>
        <v>1</v>
      </c>
      <c r="C35" s="0" t="n">
        <f aca="false">$B$10+A35*$G$4</f>
        <v>0.0927722772277228</v>
      </c>
      <c r="D35" s="0" t="n">
        <f aca="false">(A35+1)*($B$10+$G$4*A35/2)</f>
        <v>1.63329207920792</v>
      </c>
      <c r="E35" s="0" t="n">
        <f aca="false">IF(A35&lt;$J$3,($B$6/10)*$G$5^(A35/$G$3),($B$6/10)*$G$5^($J$3/$G$3))</f>
        <v>1</v>
      </c>
      <c r="F35" s="0" t="n">
        <f aca="false">IF(A35&lt;$J$3,($B$7/10)*$G$5^(A35/$G$2),($B$7/10)*$G$5^($J$3/$G$2))</f>
        <v>0.866025403784439</v>
      </c>
      <c r="G35" s="0" t="n">
        <f aca="false">F35*F35*3.1416/4</f>
        <v>0.58905</v>
      </c>
      <c r="H35" s="0" t="n">
        <f aca="false">E35*E35*3.1416/4</f>
        <v>0.7854</v>
      </c>
      <c r="I35" s="0" t="n">
        <f aca="false">G35*B35</f>
        <v>0.58905</v>
      </c>
      <c r="J35" s="0" t="n">
        <f aca="false">H35*B35</f>
        <v>0.7854</v>
      </c>
      <c r="K35" s="0" t="n">
        <f aca="false">H35-G35</f>
        <v>0.19635</v>
      </c>
      <c r="L35" s="0" t="n">
        <f aca="false">SQRT(4*K35/3.1416)</f>
        <v>0.5</v>
      </c>
      <c r="M35" s="0" t="n">
        <f aca="false">(E35-L35)/2</f>
        <v>0.25</v>
      </c>
      <c r="N35" s="0" t="n">
        <f aca="false">E35*3.1416</f>
        <v>3.1416</v>
      </c>
      <c r="O35" s="0" t="n">
        <f aca="false">C35*3.1416*E35*B35/100</f>
        <v>0.00291453386138614</v>
      </c>
      <c r="P35" s="0" t="n">
        <f aca="false">C35*E35/100*E35/100*3.1416/4*B35</f>
        <v>7.28633465346534E-006</v>
      </c>
      <c r="Q35" s="0" t="n">
        <f aca="false">Q34+O35</f>
        <v>0.133849753536511</v>
      </c>
      <c r="R35" s="0" t="n">
        <f aca="false">P35+R34</f>
        <v>0.000231587928802111</v>
      </c>
      <c r="S35" s="0" t="n">
        <f aca="false">G35/10000*C35*B35</f>
        <v>5.46475099009901E-006</v>
      </c>
      <c r="T35" s="0" t="n">
        <f aca="false">T34+S35</f>
        <v>0.000200312251729926</v>
      </c>
      <c r="U35" s="0" t="n">
        <f aca="false">IF(B35&gt;1,U34+S35,0)</f>
        <v>0</v>
      </c>
      <c r="V35" s="0" t="n">
        <f aca="false">IF(B35&gt;1,V34+O35,0)</f>
        <v>0</v>
      </c>
      <c r="W35" s="142" t="n">
        <f aca="false">G35/X35</f>
        <v>0.00011781</v>
      </c>
      <c r="X35" s="142" t="n">
        <f aca="false">X34*B34/B35</f>
        <v>5000</v>
      </c>
      <c r="Y35" s="142" t="n">
        <f aca="false">C35/(G35/10000)*$B$14*($F$21/F35)^($B$12)</f>
        <v>0.0585945100991763</v>
      </c>
      <c r="Z35" s="142" t="n">
        <f aca="false">Y35/B35</f>
        <v>0.0585945100991763</v>
      </c>
      <c r="AA35" s="142" t="n">
        <f aca="false">AA36+Z35</f>
        <v>-0.2749470782055</v>
      </c>
      <c r="AB35" s="142" t="n">
        <f aca="false">IF(B35&gt;1,AB34+Z35,0)</f>
        <v>0</v>
      </c>
      <c r="AC35" s="540" t="n">
        <f aca="false">-AA35*$B$4*2</f>
        <v>0.2749470782055</v>
      </c>
      <c r="AP35" s="142"/>
    </row>
    <row r="36" customFormat="false" ht="15.75" hidden="false" customHeight="false" outlineLevel="0" collapsed="false">
      <c r="A36" s="0" t="n">
        <f aca="false">A35+1</f>
        <v>15</v>
      </c>
      <c r="B36" s="0" t="n">
        <f aca="false">MAX(B35/$G$5,1)</f>
        <v>1</v>
      </c>
      <c r="C36" s="0" t="n">
        <f aca="false">$B$10+A36*$G$4</f>
        <v>0.090470297029703</v>
      </c>
      <c r="D36" s="0" t="n">
        <f aca="false">(A36+1)*($B$10+$G$4*A36/2)</f>
        <v>1.72376237623762</v>
      </c>
      <c r="E36" s="0" t="n">
        <f aca="false">IF(A36&lt;$J$3,($B$6/10)*$G$5^(A36/$G$3),($B$6/10)*$G$5^($J$3/$G$3))</f>
        <v>1</v>
      </c>
      <c r="F36" s="0" t="n">
        <f aca="false">IF(A36&lt;$J$3,($B$7/10)*$G$5^(A36/$G$2),($B$7/10)*$G$5^($J$3/$G$2))</f>
        <v>0.866025403784439</v>
      </c>
      <c r="G36" s="0" t="n">
        <f aca="false">F36*F36*3.1416/4</f>
        <v>0.58905</v>
      </c>
      <c r="H36" s="0" t="n">
        <f aca="false">E36*E36*3.1416/4</f>
        <v>0.7854</v>
      </c>
      <c r="I36" s="0" t="n">
        <f aca="false">G36*B36</f>
        <v>0.58905</v>
      </c>
      <c r="J36" s="0" t="n">
        <f aca="false">H36*B36</f>
        <v>0.7854</v>
      </c>
      <c r="K36" s="0" t="n">
        <f aca="false">H36-G36</f>
        <v>0.19635</v>
      </c>
      <c r="L36" s="0" t="n">
        <f aca="false">SQRT(4*K36/3.1416)</f>
        <v>0.5</v>
      </c>
      <c r="M36" s="0" t="n">
        <f aca="false">(E36-L36)/2</f>
        <v>0.25</v>
      </c>
      <c r="N36" s="0" t="n">
        <f aca="false">E36*3.1416</f>
        <v>3.1416</v>
      </c>
      <c r="O36" s="0" t="n">
        <f aca="false">C36*3.1416*E36*B36/100</f>
        <v>0.00284221485148515</v>
      </c>
      <c r="P36" s="0" t="n">
        <f aca="false">C36*E36/100*E36/100*3.1416/4*B36</f>
        <v>7.10553712871287E-006</v>
      </c>
      <c r="Q36" s="0" t="n">
        <f aca="false">Q35+O36</f>
        <v>0.136691968387996</v>
      </c>
      <c r="R36" s="0" t="n">
        <f aca="false">P36+R35</f>
        <v>0.000238693465930824</v>
      </c>
      <c r="S36" s="0" t="n">
        <f aca="false">G36/10000*C36*B36</f>
        <v>5.32915284653465E-006</v>
      </c>
      <c r="T36" s="0" t="n">
        <f aca="false">T35+S36</f>
        <v>0.000205641404576461</v>
      </c>
      <c r="U36" s="0" t="n">
        <f aca="false">IF(B36&gt;1,U35+S36,0)</f>
        <v>0</v>
      </c>
      <c r="V36" s="0" t="n">
        <f aca="false">IF(B36&gt;1,V35+O36,0)</f>
        <v>0</v>
      </c>
      <c r="W36" s="142" t="n">
        <f aca="false">G36/X36</f>
        <v>0.00011781</v>
      </c>
      <c r="X36" s="142" t="n">
        <f aca="false">X35*B35/B36</f>
        <v>5000</v>
      </c>
      <c r="Y36" s="142" t="n">
        <f aca="false">C36/(G36/10000)*$B$14*($F$21/F36)^($B$12)</f>
        <v>0.0571405908251038</v>
      </c>
      <c r="Z36" s="142" t="n">
        <f aca="false">Y36/B36</f>
        <v>0.0571405908251038</v>
      </c>
      <c r="AA36" s="142" t="n">
        <f aca="false">AA37+Z36</f>
        <v>-0.333541588304676</v>
      </c>
      <c r="AB36" s="142" t="n">
        <f aca="false">IF(B36&gt;1,AB35+Z36,0)</f>
        <v>0</v>
      </c>
      <c r="AC36" s="540" t="n">
        <f aca="false">-AA36*$B$4*2</f>
        <v>0.333541588304676</v>
      </c>
      <c r="AP36" s="142"/>
    </row>
    <row r="37" customFormat="false" ht="15.75" hidden="false" customHeight="false" outlineLevel="0" collapsed="false">
      <c r="A37" s="0" t="n">
        <f aca="false">A36+1</f>
        <v>16</v>
      </c>
      <c r="B37" s="0" t="n">
        <f aca="false">MAX(B36/$G$5,1)</f>
        <v>1</v>
      </c>
      <c r="C37" s="0" t="n">
        <f aca="false">$B$10+A37*$G$4</f>
        <v>0.0881683168316832</v>
      </c>
      <c r="D37" s="0" t="n">
        <f aca="false">(A37+1)*($B$10+$G$4*A37/2)</f>
        <v>1.81193069306931</v>
      </c>
      <c r="E37" s="0" t="n">
        <f aca="false">IF(A37&lt;$J$3,($B$6/10)*$G$5^(A37/$G$3),($B$6/10)*$G$5^($J$3/$G$3))</f>
        <v>1</v>
      </c>
      <c r="F37" s="0" t="n">
        <f aca="false">IF(A37&lt;$J$3,($B$7/10)*$G$5^(A37/$G$2),($B$7/10)*$G$5^($J$3/$G$2))</f>
        <v>0.866025403784439</v>
      </c>
      <c r="G37" s="0" t="n">
        <f aca="false">F37*F37*3.1416/4</f>
        <v>0.58905</v>
      </c>
      <c r="H37" s="0" t="n">
        <f aca="false">E37*E37*3.1416/4</f>
        <v>0.7854</v>
      </c>
      <c r="I37" s="0" t="n">
        <f aca="false">G37*B37</f>
        <v>0.58905</v>
      </c>
      <c r="J37" s="0" t="n">
        <f aca="false">H37*B37</f>
        <v>0.7854</v>
      </c>
      <c r="K37" s="0" t="n">
        <f aca="false">H37-G37</f>
        <v>0.19635</v>
      </c>
      <c r="L37" s="0" t="n">
        <f aca="false">SQRT(4*K37/3.1416)</f>
        <v>0.5</v>
      </c>
      <c r="M37" s="0" t="n">
        <f aca="false">(E37-L37)/2</f>
        <v>0.25</v>
      </c>
      <c r="N37" s="0" t="n">
        <f aca="false">E37*3.1416</f>
        <v>3.1416</v>
      </c>
      <c r="O37" s="0" t="n">
        <f aca="false">C37*3.1416*E37*B37/100</f>
        <v>0.00276989584158416</v>
      </c>
      <c r="P37" s="0" t="n">
        <f aca="false">C37*E37/100*E37/100*3.1416/4*B37</f>
        <v>6.92473960396039E-006</v>
      </c>
      <c r="Q37" s="0" t="n">
        <f aca="false">Q36+O37</f>
        <v>0.13946186422958</v>
      </c>
      <c r="R37" s="0" t="n">
        <f aca="false">P37+R36</f>
        <v>0.000245618205534784</v>
      </c>
      <c r="S37" s="0" t="n">
        <f aca="false">G37/10000*C37*B37</f>
        <v>5.1935547029703E-006</v>
      </c>
      <c r="T37" s="0" t="n">
        <f aca="false">T36+S37</f>
        <v>0.000210834959279431</v>
      </c>
      <c r="U37" s="0" t="n">
        <f aca="false">IF(B37&gt;1,U36+S37,0)</f>
        <v>0</v>
      </c>
      <c r="V37" s="0" t="n">
        <f aca="false">IF(B37&gt;1,V36+O37,0)</f>
        <v>0</v>
      </c>
      <c r="W37" s="142" t="n">
        <f aca="false">G37/X37</f>
        <v>0.00011781</v>
      </c>
      <c r="X37" s="142" t="n">
        <f aca="false">X36*B36/B37</f>
        <v>5000</v>
      </c>
      <c r="Y37" s="142" t="n">
        <f aca="false">C37/(G37/10000)*$B$14*($F$21/F37)^($B$12)</f>
        <v>0.0556866715510314</v>
      </c>
      <c r="Z37" s="142" t="n">
        <f aca="false">Y37/B37</f>
        <v>0.0556866715510314</v>
      </c>
      <c r="AA37" s="142" t="n">
        <f aca="false">AA38+Z37</f>
        <v>-0.39068217912978</v>
      </c>
      <c r="AB37" s="142" t="n">
        <f aca="false">IF(B37&gt;1,AB36+Z37,0)</f>
        <v>0</v>
      </c>
      <c r="AC37" s="540" t="n">
        <f aca="false">-AA37*$B$4*2</f>
        <v>0.39068217912978</v>
      </c>
      <c r="AP37" s="142"/>
    </row>
    <row r="38" customFormat="false" ht="15.75" hidden="false" customHeight="false" outlineLevel="0" collapsed="false">
      <c r="A38" s="0" t="n">
        <f aca="false">A37+1</f>
        <v>17</v>
      </c>
      <c r="B38" s="0" t="n">
        <f aca="false">MAX(B37/$G$5,1)</f>
        <v>1</v>
      </c>
      <c r="C38" s="0" t="n">
        <f aca="false">$B$10+A38*$G$4</f>
        <v>0.0858663366336634</v>
      </c>
      <c r="D38" s="0" t="n">
        <f aca="false">(A38+1)*($B$10+$G$4*A38/2)</f>
        <v>1.89779702970297</v>
      </c>
      <c r="E38" s="0" t="n">
        <f aca="false">IF(A38&lt;$J$3,($B$6/10)*$G$5^(A38/$G$3),($B$6/10)*$G$5^($J$3/$G$3))</f>
        <v>1</v>
      </c>
      <c r="F38" s="0" t="n">
        <f aca="false">IF(A38&lt;$J$3,($B$7/10)*$G$5^(A38/$G$2),($B$7/10)*$G$5^($J$3/$G$2))</f>
        <v>0.866025403784439</v>
      </c>
      <c r="G38" s="0" t="n">
        <f aca="false">F38*F38*3.1416/4</f>
        <v>0.58905</v>
      </c>
      <c r="H38" s="0" t="n">
        <f aca="false">E38*E38*3.1416/4</f>
        <v>0.7854</v>
      </c>
      <c r="I38" s="0" t="n">
        <f aca="false">G38*B38</f>
        <v>0.58905</v>
      </c>
      <c r="J38" s="0" t="n">
        <f aca="false">H38*B38</f>
        <v>0.7854</v>
      </c>
      <c r="K38" s="0" t="n">
        <f aca="false">H38-G38</f>
        <v>0.19635</v>
      </c>
      <c r="L38" s="0" t="n">
        <f aca="false">SQRT(4*K38/3.1416)</f>
        <v>0.5</v>
      </c>
      <c r="M38" s="0" t="n">
        <f aca="false">(E38-L38)/2</f>
        <v>0.25</v>
      </c>
      <c r="N38" s="0" t="n">
        <f aca="false">E38*3.1416</f>
        <v>3.1416</v>
      </c>
      <c r="O38" s="0" t="n">
        <f aca="false">C38*3.1416*E38*B38/100</f>
        <v>0.00269757683168317</v>
      </c>
      <c r="P38" s="0" t="n">
        <f aca="false">C38*E38/100*E38/100*3.1416/4*B38</f>
        <v>6.74394207920792E-006</v>
      </c>
      <c r="Q38" s="0" t="n">
        <f aca="false">Q37+O38</f>
        <v>0.142159441061263</v>
      </c>
      <c r="R38" s="0" t="n">
        <f aca="false">P38+R37</f>
        <v>0.000252362147613992</v>
      </c>
      <c r="S38" s="0" t="n">
        <f aca="false">G38/10000*C38*B38</f>
        <v>5.05795655940594E-006</v>
      </c>
      <c r="T38" s="0" t="n">
        <f aca="false">T37+S38</f>
        <v>0.000215892915838837</v>
      </c>
      <c r="U38" s="0" t="n">
        <f aca="false">IF(B38&gt;1,U37+S38,0)</f>
        <v>0</v>
      </c>
      <c r="V38" s="0" t="n">
        <f aca="false">IF(B38&gt;1,V37+O38,0)</f>
        <v>0</v>
      </c>
      <c r="W38" s="142" t="n">
        <f aca="false">G38/X38</f>
        <v>0.00011781</v>
      </c>
      <c r="X38" s="142" t="n">
        <f aca="false">X37*B37/B38</f>
        <v>5000</v>
      </c>
      <c r="Y38" s="142" t="n">
        <f aca="false">C38/(G38/10000)*$B$14*($F$21/F38)^($B$12)</f>
        <v>0.054232752276959</v>
      </c>
      <c r="Z38" s="142" t="n">
        <f aca="false">Y38/B38</f>
        <v>0.054232752276959</v>
      </c>
      <c r="AA38" s="142" t="n">
        <f aca="false">AA39+Z38</f>
        <v>-0.446368850680811</v>
      </c>
      <c r="AB38" s="142" t="n">
        <f aca="false">IF(B38&gt;1,AB37+Z38,0)</f>
        <v>0</v>
      </c>
      <c r="AC38" s="540" t="n">
        <f aca="false">-AA38*$B$4*2</f>
        <v>0.446368850680811</v>
      </c>
      <c r="AP38" s="142"/>
    </row>
    <row r="39" customFormat="false" ht="15.75" hidden="false" customHeight="false" outlineLevel="0" collapsed="false">
      <c r="A39" s="0" t="n">
        <f aca="false">A38+1</f>
        <v>18</v>
      </c>
      <c r="B39" s="0" t="n">
        <f aca="false">MAX(B38/$G$5,1)</f>
        <v>1</v>
      </c>
      <c r="C39" s="0" t="n">
        <f aca="false">$B$10+A39*$G$4</f>
        <v>0.0835643564356436</v>
      </c>
      <c r="D39" s="0" t="n">
        <f aca="false">(A39+1)*($B$10+$G$4*A39/2)</f>
        <v>1.98136138613861</v>
      </c>
      <c r="E39" s="0" t="n">
        <f aca="false">IF(A39&lt;$J$3,($B$6/10)*$G$5^(A39/$G$3),($B$6/10)*$G$5^($J$3/$G$3))</f>
        <v>1</v>
      </c>
      <c r="F39" s="0" t="n">
        <f aca="false">IF(A39&lt;$J$3,($B$7/10)*$G$5^(A39/$G$2),($B$7/10)*$G$5^($J$3/$G$2))</f>
        <v>0.866025403784439</v>
      </c>
      <c r="G39" s="0" t="n">
        <f aca="false">F39*F39*3.1416/4</f>
        <v>0.58905</v>
      </c>
      <c r="H39" s="0" t="n">
        <f aca="false">E39*E39*3.1416/4</f>
        <v>0.7854</v>
      </c>
      <c r="I39" s="0" t="n">
        <f aca="false">G39*B39</f>
        <v>0.58905</v>
      </c>
      <c r="J39" s="0" t="n">
        <f aca="false">H39*B39</f>
        <v>0.7854</v>
      </c>
      <c r="K39" s="0" t="n">
        <f aca="false">H39-G39</f>
        <v>0.19635</v>
      </c>
      <c r="L39" s="0" t="n">
        <f aca="false">SQRT(4*K39/3.1416)</f>
        <v>0.5</v>
      </c>
      <c r="M39" s="0" t="n">
        <f aca="false">(E39-L39)/2</f>
        <v>0.25</v>
      </c>
      <c r="N39" s="0" t="n">
        <f aca="false">E39*3.1416</f>
        <v>3.1416</v>
      </c>
      <c r="O39" s="0" t="n">
        <f aca="false">C39*3.1416*E39*B39/100</f>
        <v>0.00262525782178218</v>
      </c>
      <c r="P39" s="0" t="n">
        <f aca="false">C39*E39/100*E39/100*3.1416/4*B39</f>
        <v>6.56314455445544E-006</v>
      </c>
      <c r="Q39" s="0" t="n">
        <f aca="false">Q38+O39</f>
        <v>0.144784698883046</v>
      </c>
      <c r="R39" s="0" t="n">
        <f aca="false">P39+R38</f>
        <v>0.000258925292168447</v>
      </c>
      <c r="S39" s="0" t="n">
        <f aca="false">G39/10000*C39*B39</f>
        <v>4.92235841584158E-006</v>
      </c>
      <c r="T39" s="0" t="n">
        <f aca="false">T38+S39</f>
        <v>0.000220815274254678</v>
      </c>
      <c r="U39" s="0" t="n">
        <f aca="false">IF(B39&gt;1,U38+S39,0)</f>
        <v>0</v>
      </c>
      <c r="V39" s="0" t="n">
        <f aca="false">IF(B39&gt;1,V38+O39,0)</f>
        <v>0</v>
      </c>
      <c r="W39" s="142" t="n">
        <f aca="false">G39/X39</f>
        <v>0.00011781</v>
      </c>
      <c r="X39" s="142" t="n">
        <f aca="false">X38*B38/B39</f>
        <v>5000</v>
      </c>
      <c r="Y39" s="142" t="n">
        <f aca="false">C39/(G39/10000)*$B$14*($F$21/F39)^($B$12)</f>
        <v>0.0527788330028866</v>
      </c>
      <c r="Z39" s="142" t="n">
        <f aca="false">Y39/B39</f>
        <v>0.0527788330028866</v>
      </c>
      <c r="AA39" s="142" t="n">
        <f aca="false">AA40+Z39</f>
        <v>-0.50060160295777</v>
      </c>
      <c r="AB39" s="142" t="n">
        <f aca="false">IF(B39&gt;1,AB38+Z39,0)</f>
        <v>0</v>
      </c>
      <c r="AC39" s="540" t="n">
        <f aca="false">-AA39*$B$4*2</f>
        <v>0.50060160295777</v>
      </c>
      <c r="AP39" s="142"/>
    </row>
    <row r="40" customFormat="false" ht="15.75" hidden="false" customHeight="false" outlineLevel="0" collapsed="false">
      <c r="A40" s="0" t="n">
        <f aca="false">A39+1</f>
        <v>19</v>
      </c>
      <c r="B40" s="0" t="n">
        <f aca="false">MAX(B39/$G$5,1)</f>
        <v>1</v>
      </c>
      <c r="C40" s="0" t="n">
        <f aca="false">$B$10+A40*$G$4</f>
        <v>0.0812623762376238</v>
      </c>
      <c r="D40" s="0" t="n">
        <f aca="false">(A40+1)*($B$10+$G$4*A40/2)</f>
        <v>2.06262376237624</v>
      </c>
      <c r="E40" s="0" t="n">
        <f aca="false">IF(A40&lt;$J$3,($B$6/10)*$G$5^(A40/$G$3),($B$6/10)*$G$5^($J$3/$G$3))</f>
        <v>1</v>
      </c>
      <c r="F40" s="0" t="n">
        <f aca="false">IF(A40&lt;$J$3,($B$7/10)*$G$5^(A40/$G$2),($B$7/10)*$G$5^($J$3/$G$2))</f>
        <v>0.866025403784439</v>
      </c>
      <c r="G40" s="0" t="n">
        <f aca="false">F40*F40*3.1416/4</f>
        <v>0.58905</v>
      </c>
      <c r="H40" s="0" t="n">
        <f aca="false">E40*E40*3.1416/4</f>
        <v>0.7854</v>
      </c>
      <c r="I40" s="0" t="n">
        <f aca="false">G40*B40</f>
        <v>0.58905</v>
      </c>
      <c r="J40" s="0" t="n">
        <f aca="false">H40*B40</f>
        <v>0.7854</v>
      </c>
      <c r="K40" s="0" t="n">
        <f aca="false">H40-G40</f>
        <v>0.19635</v>
      </c>
      <c r="L40" s="0" t="n">
        <f aca="false">SQRT(4*K40/3.1416)</f>
        <v>0.5</v>
      </c>
      <c r="M40" s="0" t="n">
        <f aca="false">(E40-L40)/2</f>
        <v>0.25</v>
      </c>
      <c r="N40" s="0" t="n">
        <f aca="false">E40*3.1416</f>
        <v>3.1416</v>
      </c>
      <c r="O40" s="0" t="n">
        <f aca="false">C40*3.1416*E40*B40/100</f>
        <v>0.00255293881188119</v>
      </c>
      <c r="P40" s="0" t="n">
        <f aca="false">C40*E40/100*E40/100*3.1416/4*B40</f>
        <v>6.38234702970297E-006</v>
      </c>
      <c r="Q40" s="0" t="n">
        <f aca="false">Q39+O40</f>
        <v>0.147337637694927</v>
      </c>
      <c r="R40" s="0" t="n">
        <f aca="false">P40+R39</f>
        <v>0.00026530763919815</v>
      </c>
      <c r="S40" s="0" t="n">
        <f aca="false">G40/10000*C40*B40</f>
        <v>4.78676027227723E-006</v>
      </c>
      <c r="T40" s="0" t="n">
        <f aca="false">T39+S40</f>
        <v>0.000225602034526956</v>
      </c>
      <c r="U40" s="0" t="n">
        <f aca="false">IF(B40&gt;1,U39+S40,0)</f>
        <v>0</v>
      </c>
      <c r="V40" s="0" t="n">
        <f aca="false">IF(B40&gt;1,V39+O40,0)</f>
        <v>0</v>
      </c>
      <c r="W40" s="142" t="n">
        <f aca="false">G40/X40</f>
        <v>0.00011781</v>
      </c>
      <c r="X40" s="142" t="n">
        <f aca="false">X39*B39/B40</f>
        <v>5000</v>
      </c>
      <c r="Y40" s="142" t="n">
        <f aca="false">C40/(G40/10000)*$B$14*($F$21/F40)^($B$12)</f>
        <v>0.0513249137288142</v>
      </c>
      <c r="Z40" s="142" t="n">
        <f aca="false">Y40/B40</f>
        <v>0.0513249137288142</v>
      </c>
      <c r="AA40" s="142" t="n">
        <f aca="false">AA41+Z40</f>
        <v>-0.553380435960657</v>
      </c>
      <c r="AB40" s="142" t="n">
        <f aca="false">IF(B40&gt;1,AB39+Z40,0)</f>
        <v>0</v>
      </c>
      <c r="AC40" s="540" t="n">
        <f aca="false">-AA40*$B$4*2</f>
        <v>0.553380435960657</v>
      </c>
      <c r="AP40" s="142"/>
    </row>
    <row r="41" customFormat="false" ht="15.75" hidden="false" customHeight="false" outlineLevel="0" collapsed="false">
      <c r="A41" s="0" t="n">
        <f aca="false">A40+1</f>
        <v>20</v>
      </c>
      <c r="B41" s="0" t="n">
        <f aca="false">MAX(B40/$G$5,1)</f>
        <v>1</v>
      </c>
      <c r="C41" s="0" t="n">
        <f aca="false">$B$10+A41*$G$4</f>
        <v>0.078960396039604</v>
      </c>
      <c r="D41" s="0" t="n">
        <f aca="false">(A41+1)*($B$10+$G$4*A41/2)</f>
        <v>2.14158415841584</v>
      </c>
      <c r="E41" s="0" t="n">
        <f aca="false">IF(A41&lt;$J$3,($B$6/10)*$G$5^(A41/$G$3),($B$6/10)*$G$5^($J$3/$G$3))</f>
        <v>1</v>
      </c>
      <c r="F41" s="0" t="n">
        <f aca="false">IF(A41&lt;$J$3,($B$7/10)*$G$5^(A41/$G$2),($B$7/10)*$G$5^($J$3/$G$2))</f>
        <v>0.866025403784439</v>
      </c>
      <c r="G41" s="0" t="n">
        <f aca="false">F41*F41*3.1416/4</f>
        <v>0.58905</v>
      </c>
      <c r="H41" s="0" t="n">
        <f aca="false">E41*E41*3.1416/4</f>
        <v>0.7854</v>
      </c>
      <c r="I41" s="0" t="n">
        <f aca="false">G41*B41</f>
        <v>0.58905</v>
      </c>
      <c r="J41" s="0" t="n">
        <f aca="false">H41*B41</f>
        <v>0.7854</v>
      </c>
      <c r="K41" s="0" t="n">
        <f aca="false">H41-G41</f>
        <v>0.19635</v>
      </c>
      <c r="L41" s="0" t="n">
        <f aca="false">SQRT(4*K41/3.1416)</f>
        <v>0.5</v>
      </c>
      <c r="M41" s="0" t="n">
        <f aca="false">(E41-L41)/2</f>
        <v>0.25</v>
      </c>
      <c r="N41" s="0" t="n">
        <f aca="false">E41*3.1416</f>
        <v>3.1416</v>
      </c>
      <c r="O41" s="0" t="n">
        <f aca="false">C41*3.1416*E41*B41/100</f>
        <v>0.0024806198019802</v>
      </c>
      <c r="P41" s="0" t="n">
        <f aca="false">C41*E41/100*E41/100*3.1416/4*B41</f>
        <v>6.20154950495049E-006</v>
      </c>
      <c r="Q41" s="0" t="n">
        <f aca="false">Q40+O41</f>
        <v>0.149818257496907</v>
      </c>
      <c r="R41" s="0" t="n">
        <f aca="false">P41+R40</f>
        <v>0.000271509188703101</v>
      </c>
      <c r="S41" s="0" t="n">
        <f aca="false">G41/10000*C41*B41</f>
        <v>4.65116212871287E-006</v>
      </c>
      <c r="T41" s="0" t="n">
        <f aca="false">T40+S41</f>
        <v>0.000230253196655668</v>
      </c>
      <c r="U41" s="0" t="n">
        <f aca="false">IF(B41&gt;1,U40+S41,0)</f>
        <v>0</v>
      </c>
      <c r="V41" s="0" t="n">
        <f aca="false">IF(B41&gt;1,V40+O41,0)</f>
        <v>0</v>
      </c>
      <c r="W41" s="142" t="n">
        <f aca="false">G41/X41</f>
        <v>0.00011781</v>
      </c>
      <c r="X41" s="142" t="n">
        <f aca="false">X40*B40/B41</f>
        <v>5000</v>
      </c>
      <c r="Y41" s="142" t="n">
        <f aca="false">C41/(G41/10000)*$B$14*($F$21/F41)^($B$12)</f>
        <v>0.0498709944547418</v>
      </c>
      <c r="Z41" s="142" t="n">
        <f aca="false">Y41/B41</f>
        <v>0.0498709944547418</v>
      </c>
      <c r="AA41" s="142" t="n">
        <f aca="false">AA42+Z41</f>
        <v>-0.604705349689471</v>
      </c>
      <c r="AB41" s="142" t="n">
        <f aca="false">IF(B41&gt;1,AB40+Z41,0)</f>
        <v>0</v>
      </c>
      <c r="AC41" s="540" t="n">
        <f aca="false">-AA41*$B$4*2</f>
        <v>0.604705349689471</v>
      </c>
      <c r="AP41" s="142"/>
    </row>
    <row r="42" customFormat="false" ht="15.75" hidden="false" customHeight="false" outlineLevel="0" collapsed="false">
      <c r="A42" s="0" t="n">
        <f aca="false">A41+1</f>
        <v>21</v>
      </c>
      <c r="B42" s="0" t="n">
        <f aca="false">MAX(B41/$G$5,1)</f>
        <v>1</v>
      </c>
      <c r="C42" s="0" t="n">
        <f aca="false">$B$10+A42*$G$4</f>
        <v>0.0766584158415842</v>
      </c>
      <c r="D42" s="0" t="n">
        <f aca="false">(A42+1)*($B$10+$G$4*A42/2)</f>
        <v>2.21824257425743</v>
      </c>
      <c r="E42" s="0" t="n">
        <f aca="false">IF(A42&lt;$J$3,($B$6/10)*$G$5^(A42/$G$3),($B$6/10)*$G$5^($J$3/$G$3))</f>
        <v>1</v>
      </c>
      <c r="F42" s="0" t="n">
        <f aca="false">IF(A42&lt;$J$3,($B$7/10)*$G$5^(A42/$G$2),($B$7/10)*$G$5^($J$3/$G$2))</f>
        <v>0.866025403784439</v>
      </c>
      <c r="G42" s="0" t="n">
        <f aca="false">F42*F42*3.1416/4</f>
        <v>0.58905</v>
      </c>
      <c r="H42" s="0" t="n">
        <f aca="false">E42*E42*3.1416/4</f>
        <v>0.7854</v>
      </c>
      <c r="I42" s="0" t="n">
        <f aca="false">G42*B42</f>
        <v>0.58905</v>
      </c>
      <c r="J42" s="0" t="n">
        <f aca="false">H42*B42</f>
        <v>0.7854</v>
      </c>
      <c r="K42" s="0" t="n">
        <f aca="false">H42-G42</f>
        <v>0.19635</v>
      </c>
      <c r="L42" s="0" t="n">
        <f aca="false">SQRT(4*K42/3.1416)</f>
        <v>0.5</v>
      </c>
      <c r="M42" s="0" t="n">
        <f aca="false">(E42-L42)/2</f>
        <v>0.25</v>
      </c>
      <c r="N42" s="0" t="n">
        <f aca="false">E42*3.1416</f>
        <v>3.1416</v>
      </c>
      <c r="O42" s="0" t="n">
        <f aca="false">C42*3.1416*E42*B42/100</f>
        <v>0.00240830079207921</v>
      </c>
      <c r="P42" s="0" t="n">
        <f aca="false">C42*E42/100*E42/100*3.1416/4*B42</f>
        <v>6.02075198019802E-006</v>
      </c>
      <c r="Q42" s="0" t="n">
        <f aca="false">Q41+O42</f>
        <v>0.152226558288986</v>
      </c>
      <c r="R42" s="0" t="n">
        <f aca="false">P42+R41</f>
        <v>0.000277529940683299</v>
      </c>
      <c r="S42" s="0" t="n">
        <f aca="false">G42/10000*C42*B42</f>
        <v>4.51556398514851E-006</v>
      </c>
      <c r="T42" s="0" t="n">
        <f aca="false">T41+S42</f>
        <v>0.000234768760640817</v>
      </c>
      <c r="U42" s="0" t="n">
        <f aca="false">IF(B42&gt;1,U41+S42,0)</f>
        <v>0</v>
      </c>
      <c r="V42" s="0" t="n">
        <f aca="false">IF(B42&gt;1,V41+O42,0)</f>
        <v>0</v>
      </c>
      <c r="W42" s="142" t="n">
        <f aca="false">G42/X42</f>
        <v>0.00011781</v>
      </c>
      <c r="X42" s="142" t="n">
        <f aca="false">X41*B41/B42</f>
        <v>5000</v>
      </c>
      <c r="Y42" s="142" t="n">
        <f aca="false">C42/(G42/10000)*$B$14*($F$21/F42)^($B$12)</f>
        <v>0.0484170751806694</v>
      </c>
      <c r="Z42" s="142" t="n">
        <f aca="false">Y42/B42</f>
        <v>0.0484170751806694</v>
      </c>
      <c r="AA42" s="142" t="n">
        <f aca="false">AA43+Z42</f>
        <v>-0.654576344144213</v>
      </c>
      <c r="AB42" s="142" t="n">
        <f aca="false">IF(B42&gt;1,AB41+Z42,0)</f>
        <v>0</v>
      </c>
      <c r="AC42" s="540" t="n">
        <f aca="false">-AA42*$B$4*2</f>
        <v>0.654576344144213</v>
      </c>
      <c r="AP42" s="142"/>
    </row>
    <row r="43" customFormat="false" ht="15.75" hidden="false" customHeight="false" outlineLevel="0" collapsed="false">
      <c r="A43" s="0" t="n">
        <f aca="false">A42+1</f>
        <v>22</v>
      </c>
      <c r="B43" s="0" t="n">
        <f aca="false">MAX(B42/$G$5,1)</f>
        <v>1</v>
      </c>
      <c r="C43" s="0" t="n">
        <f aca="false">$B$10+A43*$G$4</f>
        <v>0.0743564356435644</v>
      </c>
      <c r="D43" s="0" t="n">
        <f aca="false">(A43+1)*($B$10+$G$4*A43/2)</f>
        <v>2.29259900990099</v>
      </c>
      <c r="E43" s="0" t="n">
        <f aca="false">IF(A43&lt;$J$3,($B$6/10)*$G$5^(A43/$G$3),($B$6/10)*$G$5^($J$3/$G$3))</f>
        <v>1</v>
      </c>
      <c r="F43" s="0" t="n">
        <f aca="false">IF(A43&lt;$J$3,($B$7/10)*$G$5^(A43/$G$2),($B$7/10)*$G$5^($J$3/$G$2))</f>
        <v>0.866025403784439</v>
      </c>
      <c r="G43" s="0" t="n">
        <f aca="false">F43*F43*3.1416/4</f>
        <v>0.58905</v>
      </c>
      <c r="H43" s="0" t="n">
        <f aca="false">E43*E43*3.1416/4</f>
        <v>0.7854</v>
      </c>
      <c r="I43" s="0" t="n">
        <f aca="false">G43*B43</f>
        <v>0.58905</v>
      </c>
      <c r="J43" s="0" t="n">
        <f aca="false">H43*B43</f>
        <v>0.7854</v>
      </c>
      <c r="K43" s="0" t="n">
        <f aca="false">H43-G43</f>
        <v>0.19635</v>
      </c>
      <c r="L43" s="0" t="n">
        <f aca="false">SQRT(4*K43/3.1416)</f>
        <v>0.5</v>
      </c>
      <c r="M43" s="0" t="n">
        <f aca="false">(E43-L43)/2</f>
        <v>0.25</v>
      </c>
      <c r="N43" s="0" t="n">
        <f aca="false">E43*3.1416</f>
        <v>3.1416</v>
      </c>
      <c r="O43" s="0" t="n">
        <f aca="false">C43*3.1416*E43*B43/100</f>
        <v>0.00233598178217822</v>
      </c>
      <c r="P43" s="0" t="n">
        <f aca="false">C43*E43/100*E43/100*3.1416/4*B43</f>
        <v>5.83995445544554E-006</v>
      </c>
      <c r="Q43" s="0" t="n">
        <f aca="false">Q42+O43</f>
        <v>0.154562540071164</v>
      </c>
      <c r="R43" s="0" t="n">
        <f aca="false">P43+R42</f>
        <v>0.000283369895138744</v>
      </c>
      <c r="S43" s="0" t="n">
        <f aca="false">G43/10000*C43*B43</f>
        <v>4.37996584158416E-006</v>
      </c>
      <c r="T43" s="0" t="n">
        <f aca="false">T42+S43</f>
        <v>0.000239148726482401</v>
      </c>
      <c r="U43" s="0" t="n">
        <f aca="false">IF(B43&gt;1,U42+S43,0)</f>
        <v>0</v>
      </c>
      <c r="V43" s="0" t="n">
        <f aca="false">IF(B43&gt;1,V42+O43,0)</f>
        <v>0</v>
      </c>
      <c r="W43" s="142" t="n">
        <f aca="false">G43/X43</f>
        <v>0.00011781</v>
      </c>
      <c r="X43" s="142" t="n">
        <f aca="false">X42*B42/B43</f>
        <v>5000</v>
      </c>
      <c r="Y43" s="142" t="n">
        <f aca="false">C43/(G43/10000)*$B$14*($F$21/F43)^($B$12)</f>
        <v>0.046963155906597</v>
      </c>
      <c r="Z43" s="142" t="n">
        <f aca="false">Y43/B43</f>
        <v>0.046963155906597</v>
      </c>
      <c r="AA43" s="142" t="n">
        <f aca="false">AA44+Z43</f>
        <v>-0.702993419324882</v>
      </c>
      <c r="AB43" s="142" t="n">
        <f aca="false">IF(B43&gt;1,AB42+Z43,0)</f>
        <v>0</v>
      </c>
      <c r="AC43" s="540" t="n">
        <f aca="false">-AA43*$B$4*2</f>
        <v>0.702993419324882</v>
      </c>
      <c r="AP43" s="142"/>
    </row>
    <row r="44" customFormat="false" ht="15.75" hidden="false" customHeight="false" outlineLevel="0" collapsed="false">
      <c r="A44" s="0" t="n">
        <f aca="false">A43+1</f>
        <v>23</v>
      </c>
      <c r="B44" s="0" t="n">
        <f aca="false">MAX(B43/$G$5,1)</f>
        <v>1</v>
      </c>
      <c r="C44" s="0" t="n">
        <f aca="false">$B$10+A44*$G$4</f>
        <v>0.0720544554455446</v>
      </c>
      <c r="D44" s="0" t="n">
        <f aca="false">(A44+1)*($B$10+$G$4*A44/2)</f>
        <v>2.36465346534653</v>
      </c>
      <c r="E44" s="0" t="n">
        <f aca="false">IF(A44&lt;$J$3,($B$6/10)*$G$5^(A44/$G$3),($B$6/10)*$G$5^($J$3/$G$3))</f>
        <v>1</v>
      </c>
      <c r="F44" s="0" t="n">
        <f aca="false">IF(A44&lt;$J$3,($B$7/10)*$G$5^(A44/$G$2),($B$7/10)*$G$5^($J$3/$G$2))</f>
        <v>0.866025403784439</v>
      </c>
      <c r="G44" s="0" t="n">
        <f aca="false">F44*F44*3.1416/4</f>
        <v>0.58905</v>
      </c>
      <c r="H44" s="0" t="n">
        <f aca="false">E44*E44*3.1416/4</f>
        <v>0.7854</v>
      </c>
      <c r="I44" s="0" t="n">
        <f aca="false">G44*B44</f>
        <v>0.58905</v>
      </c>
      <c r="J44" s="0" t="n">
        <f aca="false">H44*B44</f>
        <v>0.7854</v>
      </c>
      <c r="K44" s="0" t="n">
        <f aca="false">H44-G44</f>
        <v>0.19635</v>
      </c>
      <c r="L44" s="0" t="n">
        <f aca="false">SQRT(4*K44/3.1416)</f>
        <v>0.5</v>
      </c>
      <c r="M44" s="0" t="n">
        <f aca="false">(E44-L44)/2</f>
        <v>0.25</v>
      </c>
      <c r="N44" s="0" t="n">
        <f aca="false">E44*3.1416</f>
        <v>3.1416</v>
      </c>
      <c r="O44" s="0" t="n">
        <f aca="false">C44*3.1416*E44*B44/100</f>
        <v>0.00226366277227723</v>
      </c>
      <c r="P44" s="0" t="n">
        <f aca="false">C44*E44/100*E44/100*3.1416/4*B44</f>
        <v>5.65915693069307E-006</v>
      </c>
      <c r="Q44" s="0" t="n">
        <f aca="false">Q43+O44</f>
        <v>0.156826202843442</v>
      </c>
      <c r="R44" s="0" t="n">
        <f aca="false">P44+R43</f>
        <v>0.000289029052069438</v>
      </c>
      <c r="S44" s="0" t="n">
        <f aca="false">G44/10000*C44*B44</f>
        <v>4.2443676980198E-006</v>
      </c>
      <c r="T44" s="0" t="n">
        <f aca="false">T43+S44</f>
        <v>0.000243393094180421</v>
      </c>
      <c r="U44" s="0" t="n">
        <f aca="false">IF(B44&gt;1,U43+S44,0)</f>
        <v>0</v>
      </c>
      <c r="V44" s="0" t="n">
        <f aca="false">IF(B44&gt;1,V43+O44,0)</f>
        <v>0</v>
      </c>
      <c r="W44" s="142" t="n">
        <f aca="false">G44/X44</f>
        <v>0.00011781</v>
      </c>
      <c r="X44" s="142" t="n">
        <f aca="false">X43*B43/B44</f>
        <v>5000</v>
      </c>
      <c r="Y44" s="142" t="n">
        <f aca="false">C44/(G44/10000)*$B$14*($F$21/F44)^($B$12)</f>
        <v>0.0455092366325246</v>
      </c>
      <c r="Z44" s="142" t="n">
        <f aca="false">Y44/B44</f>
        <v>0.0455092366325246</v>
      </c>
      <c r="AA44" s="142" t="n">
        <f aca="false">AA45+Z44</f>
        <v>-0.749956575231479</v>
      </c>
      <c r="AB44" s="142" t="n">
        <f aca="false">IF(B44&gt;1,AB43+Z44,0)</f>
        <v>0</v>
      </c>
      <c r="AC44" s="540" t="n">
        <f aca="false">-AA44*$B$4*2</f>
        <v>0.749956575231479</v>
      </c>
      <c r="AP44" s="142"/>
    </row>
    <row r="45" customFormat="false" ht="15.75" hidden="false" customHeight="false" outlineLevel="0" collapsed="false">
      <c r="A45" s="0" t="n">
        <f aca="false">A44+1</f>
        <v>24</v>
      </c>
      <c r="B45" s="0" t="n">
        <f aca="false">MAX(B44/$G$5,1)</f>
        <v>1</v>
      </c>
      <c r="C45" s="0" t="n">
        <f aca="false">$B$10+A45*$G$4</f>
        <v>0.0697524752475248</v>
      </c>
      <c r="D45" s="0" t="n">
        <f aca="false">(A45+1)*($B$10+$G$4*A45/2)</f>
        <v>2.43440594059406</v>
      </c>
      <c r="E45" s="0" t="n">
        <f aca="false">IF(A45&lt;$J$3,($B$6/10)*$G$5^(A45/$G$3),($B$6/10)*$G$5^($J$3/$G$3))</f>
        <v>1</v>
      </c>
      <c r="F45" s="0" t="n">
        <f aca="false">IF(A45&lt;$J$3,($B$7/10)*$G$5^(A45/$G$2),($B$7/10)*$G$5^($J$3/$G$2))</f>
        <v>0.866025403784439</v>
      </c>
      <c r="G45" s="0" t="n">
        <f aca="false">F45*F45*3.1416/4</f>
        <v>0.58905</v>
      </c>
      <c r="H45" s="0" t="n">
        <f aca="false">E45*E45*3.1416/4</f>
        <v>0.7854</v>
      </c>
      <c r="I45" s="0" t="n">
        <f aca="false">G45*B45</f>
        <v>0.58905</v>
      </c>
      <c r="J45" s="0" t="n">
        <f aca="false">H45*B45</f>
        <v>0.7854</v>
      </c>
      <c r="K45" s="0" t="n">
        <f aca="false">H45-G45</f>
        <v>0.19635</v>
      </c>
      <c r="L45" s="0" t="n">
        <f aca="false">SQRT(4*K45/3.1416)</f>
        <v>0.5</v>
      </c>
      <c r="M45" s="0" t="n">
        <f aca="false">(E45-L45)/2</f>
        <v>0.25</v>
      </c>
      <c r="N45" s="0" t="n">
        <f aca="false">E45*3.1416</f>
        <v>3.1416</v>
      </c>
      <c r="O45" s="0" t="n">
        <f aca="false">C45*3.1416*E45*B45/100</f>
        <v>0.00219134376237624</v>
      </c>
      <c r="P45" s="0" t="n">
        <f aca="false">C45*E45/100*E45/100*3.1416/4*B45</f>
        <v>5.47835940594059E-006</v>
      </c>
      <c r="Q45" s="0" t="n">
        <f aca="false">Q44+O45</f>
        <v>0.159017546605818</v>
      </c>
      <c r="R45" s="0" t="n">
        <f aca="false">P45+R44</f>
        <v>0.000294507411475378</v>
      </c>
      <c r="S45" s="0" t="n">
        <f aca="false">G45/10000*C45*B45</f>
        <v>4.10876955445545E-006</v>
      </c>
      <c r="T45" s="0" t="n">
        <f aca="false">T44+S45</f>
        <v>0.000247501863734876</v>
      </c>
      <c r="U45" s="0" t="n">
        <f aca="false">IF(B45&gt;1,U44+S45,0)</f>
        <v>0</v>
      </c>
      <c r="V45" s="0" t="n">
        <f aca="false">IF(B45&gt;1,V44+O45,0)</f>
        <v>0</v>
      </c>
      <c r="W45" s="142" t="n">
        <f aca="false">G45/X45</f>
        <v>0.00011781</v>
      </c>
      <c r="X45" s="142" t="n">
        <f aca="false">X44*B44/B45</f>
        <v>5000</v>
      </c>
      <c r="Y45" s="142" t="n">
        <f aca="false">C45/(G45/10000)*$B$14*($F$21/F45)^($B$12)</f>
        <v>0.0440553173584522</v>
      </c>
      <c r="Z45" s="142" t="n">
        <f aca="false">Y45/B45</f>
        <v>0.0440553173584522</v>
      </c>
      <c r="AA45" s="142" t="n">
        <f aca="false">AA46+Z45</f>
        <v>-0.795465811864004</v>
      </c>
      <c r="AB45" s="142" t="n">
        <f aca="false">IF(B45&gt;1,AB44+Z45,0)</f>
        <v>0</v>
      </c>
      <c r="AC45" s="540" t="n">
        <f aca="false">-AA45*$B$4*2</f>
        <v>0.795465811864004</v>
      </c>
      <c r="AP45" s="142"/>
    </row>
    <row r="46" customFormat="false" ht="15.75" hidden="false" customHeight="false" outlineLevel="0" collapsed="false">
      <c r="A46" s="0" t="n">
        <f aca="false">A45+1</f>
        <v>25</v>
      </c>
      <c r="B46" s="0" t="n">
        <f aca="false">MAX(B45/$G$5,1)</f>
        <v>1</v>
      </c>
      <c r="C46" s="0" t="n">
        <f aca="false">$B$10+A46*$G$4</f>
        <v>0.067450495049505</v>
      </c>
      <c r="D46" s="0" t="n">
        <f aca="false">(A46+1)*($B$10+$G$4*A46/2)</f>
        <v>2.50185643564356</v>
      </c>
      <c r="E46" s="0" t="n">
        <f aca="false">IF(A46&lt;$J$3,($B$6/10)*$G$5^(A46/$G$3),($B$6/10)*$G$5^($J$3/$G$3))</f>
        <v>1</v>
      </c>
      <c r="F46" s="0" t="n">
        <f aca="false">IF(A46&lt;$J$3,($B$7/10)*$G$5^(A46/$G$2),($B$7/10)*$G$5^($J$3/$G$2))</f>
        <v>0.866025403784439</v>
      </c>
      <c r="G46" s="0" t="n">
        <f aca="false">F46*F46*3.1416/4</f>
        <v>0.58905</v>
      </c>
      <c r="H46" s="0" t="n">
        <f aca="false">E46*E46*3.1416/4</f>
        <v>0.7854</v>
      </c>
      <c r="I46" s="0" t="n">
        <f aca="false">G46*B46</f>
        <v>0.58905</v>
      </c>
      <c r="J46" s="0" t="n">
        <f aca="false">H46*B46</f>
        <v>0.7854</v>
      </c>
      <c r="K46" s="0" t="n">
        <f aca="false">H46-G46</f>
        <v>0.19635</v>
      </c>
      <c r="L46" s="0" t="n">
        <f aca="false">SQRT(4*K46/3.1416)</f>
        <v>0.5</v>
      </c>
      <c r="M46" s="0" t="n">
        <f aca="false">(E46-L46)/2</f>
        <v>0.25</v>
      </c>
      <c r="N46" s="0" t="n">
        <f aca="false">E46*3.1416</f>
        <v>3.1416</v>
      </c>
      <c r="O46" s="0" t="n">
        <f aca="false">C46*3.1416*E46*B46/100</f>
        <v>0.00211902475247525</v>
      </c>
      <c r="P46" s="0" t="n">
        <f aca="false">C46*E46/100*E46/100*3.1416/4*B46</f>
        <v>5.29756188118812E-006</v>
      </c>
      <c r="Q46" s="0" t="n">
        <f aca="false">Q45+O46</f>
        <v>0.161136571358293</v>
      </c>
      <c r="R46" s="0" t="n">
        <f aca="false">P46+R45</f>
        <v>0.000299804973356566</v>
      </c>
      <c r="S46" s="0" t="n">
        <f aca="false">G46/10000*C46*B46</f>
        <v>3.97317141089109E-006</v>
      </c>
      <c r="T46" s="0" t="n">
        <f aca="false">T45+S46</f>
        <v>0.000251475035145767</v>
      </c>
      <c r="U46" s="0" t="n">
        <f aca="false">IF(B46&gt;1,U45+S46,0)</f>
        <v>0</v>
      </c>
      <c r="V46" s="0" t="n">
        <f aca="false">IF(B46&gt;1,V45+O46,0)</f>
        <v>0</v>
      </c>
      <c r="W46" s="142" t="n">
        <f aca="false">G46/X46</f>
        <v>0.00011781</v>
      </c>
      <c r="X46" s="142" t="n">
        <f aca="false">X45*B45/B46</f>
        <v>5000</v>
      </c>
      <c r="Y46" s="142" t="n">
        <f aca="false">C46/(G46/10000)*$B$14*($F$21/F46)^($B$12)</f>
        <v>0.0426013980843797</v>
      </c>
      <c r="Z46" s="142" t="n">
        <f aca="false">Y46/B46</f>
        <v>0.0426013980843797</v>
      </c>
      <c r="AA46" s="142" t="n">
        <f aca="false">AA47+Z46</f>
        <v>-0.839521129222456</v>
      </c>
      <c r="AB46" s="142" t="n">
        <f aca="false">IF(B46&gt;1,AB45+Z46,0)</f>
        <v>0</v>
      </c>
      <c r="AC46" s="540" t="n">
        <f aca="false">-AA46*$B$4*2</f>
        <v>0.839521129222456</v>
      </c>
      <c r="AP46" s="142"/>
    </row>
    <row r="47" customFormat="false" ht="15.75" hidden="false" customHeight="false" outlineLevel="0" collapsed="false">
      <c r="A47" s="0" t="n">
        <f aca="false">A46+1</f>
        <v>26</v>
      </c>
      <c r="B47" s="0" t="n">
        <f aca="false">MAX(B46/$G$5,1)</f>
        <v>1</v>
      </c>
      <c r="C47" s="0" t="n">
        <f aca="false">$B$10+A47*$G$4</f>
        <v>0.0651485148514852</v>
      </c>
      <c r="D47" s="0" t="n">
        <f aca="false">(A47+1)*($B$10+$G$4*A47/2)</f>
        <v>2.56700495049505</v>
      </c>
      <c r="E47" s="0" t="n">
        <f aca="false">IF(A47&lt;$J$3,($B$6/10)*$G$5^(A47/$G$3),($B$6/10)*$G$5^($J$3/$G$3))</f>
        <v>1</v>
      </c>
      <c r="F47" s="0" t="n">
        <f aca="false">IF(A47&lt;$J$3,($B$7/10)*$G$5^(A47/$G$2),($B$7/10)*$G$5^($J$3/$G$2))</f>
        <v>0.866025403784439</v>
      </c>
      <c r="G47" s="0" t="n">
        <f aca="false">F47*F47*3.1416/4</f>
        <v>0.58905</v>
      </c>
      <c r="H47" s="0" t="n">
        <f aca="false">E47*E47*3.1416/4</f>
        <v>0.7854</v>
      </c>
      <c r="I47" s="0" t="n">
        <f aca="false">G47*B47</f>
        <v>0.58905</v>
      </c>
      <c r="J47" s="0" t="n">
        <f aca="false">H47*B47</f>
        <v>0.7854</v>
      </c>
      <c r="K47" s="0" t="n">
        <f aca="false">H47-G47</f>
        <v>0.19635</v>
      </c>
      <c r="L47" s="0" t="n">
        <f aca="false">SQRT(4*K47/3.1416)</f>
        <v>0.5</v>
      </c>
      <c r="M47" s="0" t="n">
        <f aca="false">(E47-L47)/2</f>
        <v>0.25</v>
      </c>
      <c r="N47" s="0" t="n">
        <f aca="false">E47*3.1416</f>
        <v>3.1416</v>
      </c>
      <c r="O47" s="0" t="n">
        <f aca="false">C47*3.1416*E47*B47/100</f>
        <v>0.00204670574257426</v>
      </c>
      <c r="P47" s="0" t="n">
        <f aca="false">C47*E47/100*E47/100*3.1416/4*B47</f>
        <v>5.11676435643564E-006</v>
      </c>
      <c r="Q47" s="0" t="n">
        <f aca="false">Q46+O47</f>
        <v>0.163183277100867</v>
      </c>
      <c r="R47" s="0" t="n">
        <f aca="false">P47+R46</f>
        <v>0.000304921737713002</v>
      </c>
      <c r="S47" s="0" t="n">
        <f aca="false">G47/10000*C47*B47</f>
        <v>3.83757326732673E-006</v>
      </c>
      <c r="T47" s="0" t="n">
        <f aca="false">T46+S47</f>
        <v>0.000255312608413094</v>
      </c>
      <c r="U47" s="0" t="n">
        <f aca="false">IF(B47&gt;1,U46+S47,0)</f>
        <v>0</v>
      </c>
      <c r="V47" s="0" t="n">
        <f aca="false">IF(B47&gt;1,V46+O47,0)</f>
        <v>0</v>
      </c>
      <c r="W47" s="142" t="n">
        <f aca="false">G47/X47</f>
        <v>0.00011781</v>
      </c>
      <c r="X47" s="142" t="n">
        <f aca="false">X46*B46/B47</f>
        <v>5000</v>
      </c>
      <c r="Y47" s="142" t="n">
        <f aca="false">C47/(G47/10000)*$B$14*($F$21/F47)^($B$12)</f>
        <v>0.0411474788103073</v>
      </c>
      <c r="Z47" s="142" t="n">
        <f aca="false">Y47/B47</f>
        <v>0.0411474788103073</v>
      </c>
      <c r="AA47" s="142" t="n">
        <f aca="false">AA48+Z47</f>
        <v>-0.882122527306836</v>
      </c>
      <c r="AB47" s="142" t="n">
        <f aca="false">IF(B47&gt;1,AB46+Z47,0)</f>
        <v>0</v>
      </c>
      <c r="AC47" s="540" t="n">
        <f aca="false">-AA47*$B$4*2</f>
        <v>0.882122527306836</v>
      </c>
      <c r="AP47" s="142"/>
    </row>
    <row r="48" customFormat="false" ht="15.75" hidden="false" customHeight="false" outlineLevel="0" collapsed="false">
      <c r="A48" s="0" t="n">
        <f aca="false">A47+1</f>
        <v>27</v>
      </c>
      <c r="B48" s="0" t="n">
        <f aca="false">MAX(B47/$G$5,1)</f>
        <v>1</v>
      </c>
      <c r="C48" s="0" t="n">
        <f aca="false">$B$10+A48*$G$4</f>
        <v>0.0628465346534653</v>
      </c>
      <c r="D48" s="0" t="n">
        <f aca="false">(A48+1)*($B$10+$G$4*A48/2)</f>
        <v>2.62985148514851</v>
      </c>
      <c r="E48" s="0" t="n">
        <f aca="false">IF(A48&lt;$J$3,($B$6/10)*$G$5^(A48/$G$3),($B$6/10)*$G$5^($J$3/$G$3))</f>
        <v>1</v>
      </c>
      <c r="F48" s="0" t="n">
        <f aca="false">IF(A48&lt;$J$3,($B$7/10)*$G$5^(A48/$G$2),($B$7/10)*$G$5^($J$3/$G$2))</f>
        <v>0.866025403784439</v>
      </c>
      <c r="G48" s="0" t="n">
        <f aca="false">F48*F48*3.1416/4</f>
        <v>0.58905</v>
      </c>
      <c r="H48" s="0" t="n">
        <f aca="false">E48*E48*3.1416/4</f>
        <v>0.7854</v>
      </c>
      <c r="I48" s="0" t="n">
        <f aca="false">G48*B48</f>
        <v>0.58905</v>
      </c>
      <c r="J48" s="0" t="n">
        <f aca="false">H48*B48</f>
        <v>0.7854</v>
      </c>
      <c r="K48" s="0" t="n">
        <f aca="false">H48-G48</f>
        <v>0.19635</v>
      </c>
      <c r="L48" s="0" t="n">
        <f aca="false">SQRT(4*K48/3.1416)</f>
        <v>0.5</v>
      </c>
      <c r="M48" s="0" t="n">
        <f aca="false">(E48-L48)/2</f>
        <v>0.25</v>
      </c>
      <c r="N48" s="0" t="n">
        <f aca="false">E48*3.1416</f>
        <v>3.1416</v>
      </c>
      <c r="O48" s="0" t="n">
        <f aca="false">C48*3.1416*E48*B48/100</f>
        <v>0.00197438673267327</v>
      </c>
      <c r="P48" s="0" t="n">
        <f aca="false">C48*E48/100*E48/100*3.1416/4*B48</f>
        <v>4.93596683168317E-006</v>
      </c>
      <c r="Q48" s="0" t="n">
        <f aca="false">Q47+O48</f>
        <v>0.165157663833541</v>
      </c>
      <c r="R48" s="0" t="n">
        <f aca="false">P48+R47</f>
        <v>0.000309857704544685</v>
      </c>
      <c r="S48" s="0" t="n">
        <f aca="false">G48/10000*C48*B48</f>
        <v>3.70197512376238E-006</v>
      </c>
      <c r="T48" s="0" t="n">
        <f aca="false">T47+S48</f>
        <v>0.000259014583536857</v>
      </c>
      <c r="U48" s="0" t="n">
        <f aca="false">IF(B48&gt;1,U47+S48,0)</f>
        <v>0</v>
      </c>
      <c r="V48" s="0" t="n">
        <f aca="false">IF(B48&gt;1,V47+O48,0)</f>
        <v>0</v>
      </c>
      <c r="W48" s="142" t="n">
        <f aca="false">G48/X48</f>
        <v>0.00011781</v>
      </c>
      <c r="X48" s="142" t="n">
        <f aca="false">X47*B47/B48</f>
        <v>5000</v>
      </c>
      <c r="Y48" s="142" t="n">
        <f aca="false">C48/(G48/10000)*$B$14*($F$21/F48)^($B$12)</f>
        <v>0.0396935595362349</v>
      </c>
      <c r="Z48" s="142" t="n">
        <f aca="false">Y48/B48</f>
        <v>0.0396935595362349</v>
      </c>
      <c r="AA48" s="142" t="n">
        <f aca="false">AA49+Z48</f>
        <v>-0.923270006117143</v>
      </c>
      <c r="AB48" s="142" t="n">
        <f aca="false">IF(B48&gt;1,AB47+Z48,0)</f>
        <v>0</v>
      </c>
      <c r="AC48" s="540" t="n">
        <f aca="false">-AA48*$B$4*2</f>
        <v>0.923270006117143</v>
      </c>
      <c r="AP48" s="142"/>
    </row>
    <row r="49" customFormat="false" ht="15.75" hidden="false" customHeight="false" outlineLevel="0" collapsed="false">
      <c r="A49" s="0" t="n">
        <f aca="false">A48+1</f>
        <v>28</v>
      </c>
      <c r="B49" s="0" t="n">
        <f aca="false">MAX(B48/$G$5,1)</f>
        <v>1</v>
      </c>
      <c r="C49" s="0" t="n">
        <f aca="false">$B$10+A49*$G$4</f>
        <v>0.0605445544554455</v>
      </c>
      <c r="D49" s="0" t="n">
        <f aca="false">(A49+1)*($B$10+$G$4*A49/2)</f>
        <v>2.69039603960396</v>
      </c>
      <c r="E49" s="0" t="n">
        <f aca="false">IF(A49&lt;$J$3,($B$6/10)*$G$5^(A49/$G$3),($B$6/10)*$G$5^($J$3/$G$3))</f>
        <v>1</v>
      </c>
      <c r="F49" s="0" t="n">
        <f aca="false">IF(A49&lt;$J$3,($B$7/10)*$G$5^(A49/$G$2),($B$7/10)*$G$5^($J$3/$G$2))</f>
        <v>0.866025403784439</v>
      </c>
      <c r="G49" s="0" t="n">
        <f aca="false">F49*F49*3.1416/4</f>
        <v>0.58905</v>
      </c>
      <c r="H49" s="0" t="n">
        <f aca="false">E49*E49*3.1416/4</f>
        <v>0.7854</v>
      </c>
      <c r="I49" s="0" t="n">
        <f aca="false">G49*B49</f>
        <v>0.58905</v>
      </c>
      <c r="J49" s="0" t="n">
        <f aca="false">H49*B49</f>
        <v>0.7854</v>
      </c>
      <c r="K49" s="0" t="n">
        <f aca="false">H49-G49</f>
        <v>0.19635</v>
      </c>
      <c r="L49" s="0" t="n">
        <f aca="false">SQRT(4*K49/3.1416)</f>
        <v>0.5</v>
      </c>
      <c r="M49" s="0" t="n">
        <f aca="false">(E49-L49)/2</f>
        <v>0.25</v>
      </c>
      <c r="N49" s="0" t="n">
        <f aca="false">E49*3.1416</f>
        <v>3.1416</v>
      </c>
      <c r="O49" s="0" t="n">
        <f aca="false">C49*3.1416*E49*B49/100</f>
        <v>0.00190206772277228</v>
      </c>
      <c r="P49" s="0" t="n">
        <f aca="false">C49*E49/100*E49/100*3.1416/4*B49</f>
        <v>4.75516930693069E-006</v>
      </c>
      <c r="Q49" s="0" t="n">
        <f aca="false">Q48+O49</f>
        <v>0.167059731556313</v>
      </c>
      <c r="R49" s="0" t="n">
        <f aca="false">P49+R48</f>
        <v>0.000314612873851616</v>
      </c>
      <c r="S49" s="0" t="n">
        <f aca="false">G49/10000*C49*B49</f>
        <v>3.56637698019802E-006</v>
      </c>
      <c r="T49" s="0" t="n">
        <f aca="false">T48+S49</f>
        <v>0.000262580960517055</v>
      </c>
      <c r="U49" s="0" t="n">
        <f aca="false">IF(B49&gt;1,U48+S49,0)</f>
        <v>0</v>
      </c>
      <c r="V49" s="0" t="n">
        <f aca="false">IF(B49&gt;1,V48+O49,0)</f>
        <v>0</v>
      </c>
      <c r="W49" s="142" t="n">
        <f aca="false">G49/X49</f>
        <v>0.00011781</v>
      </c>
      <c r="X49" s="142" t="n">
        <f aca="false">X48*B48/B49</f>
        <v>5000</v>
      </c>
      <c r="Y49" s="142" t="n">
        <f aca="false">C49/(G49/10000)*$B$14*($F$21/F49)^($B$12)</f>
        <v>0.0382396402621625</v>
      </c>
      <c r="Z49" s="142" t="n">
        <f aca="false">Y49/B49</f>
        <v>0.0382396402621625</v>
      </c>
      <c r="AA49" s="142" t="n">
        <f aca="false">AA50+Z49</f>
        <v>-0.962963565653378</v>
      </c>
      <c r="AB49" s="142" t="n">
        <f aca="false">IF(B49&gt;1,AB48+Z49,0)</f>
        <v>0</v>
      </c>
      <c r="AC49" s="540" t="n">
        <f aca="false">-AA49*$B$4*2</f>
        <v>0.962963565653378</v>
      </c>
      <c r="AM49" s="142"/>
    </row>
    <row r="50" customFormat="false" ht="15.75" hidden="false" customHeight="false" outlineLevel="0" collapsed="false">
      <c r="A50" s="0" t="n">
        <f aca="false">A49+1</f>
        <v>29</v>
      </c>
      <c r="B50" s="0" t="n">
        <f aca="false">MAX(B49/$G$5,1)</f>
        <v>1</v>
      </c>
      <c r="C50" s="0" t="n">
        <f aca="false">$B$10+A50*$G$4</f>
        <v>0.0582425742574258</v>
      </c>
      <c r="D50" s="0" t="n">
        <f aca="false">(A50+1)*($B$10+$G$4*A50/2)</f>
        <v>2.74863861386139</v>
      </c>
      <c r="E50" s="0" t="n">
        <f aca="false">IF(A50&lt;$J$3,($B$6/10)*$G$5^(A50/$G$3),($B$6/10)*$G$5^($J$3/$G$3))</f>
        <v>1</v>
      </c>
      <c r="F50" s="0" t="n">
        <f aca="false">IF(A50&lt;$J$3,($B$7/10)*$G$5^(A50/$G$2),($B$7/10)*$G$5^($J$3/$G$2))</f>
        <v>0.866025403784439</v>
      </c>
      <c r="G50" s="0" t="n">
        <f aca="false">F50*F50*3.1416/4</f>
        <v>0.58905</v>
      </c>
      <c r="H50" s="0" t="n">
        <f aca="false">E50*E50*3.1416/4</f>
        <v>0.7854</v>
      </c>
      <c r="I50" s="0" t="n">
        <f aca="false">G50*B50</f>
        <v>0.58905</v>
      </c>
      <c r="J50" s="0" t="n">
        <f aca="false">H50*B50</f>
        <v>0.7854</v>
      </c>
      <c r="K50" s="0" t="n">
        <f aca="false">H50-G50</f>
        <v>0.19635</v>
      </c>
      <c r="L50" s="0" t="n">
        <f aca="false">SQRT(4*K50/3.1416)</f>
        <v>0.5</v>
      </c>
      <c r="M50" s="0" t="n">
        <f aca="false">(E50-L50)/2</f>
        <v>0.25</v>
      </c>
      <c r="N50" s="0" t="n">
        <f aca="false">E50*3.1416</f>
        <v>3.1416</v>
      </c>
      <c r="O50" s="0" t="n">
        <f aca="false">C50*3.1416*E50*B50/100</f>
        <v>0.00182974871287129</v>
      </c>
      <c r="P50" s="0" t="n">
        <f aca="false">C50*E50/100*E50/100*3.1416/4*B50</f>
        <v>4.57437178217822E-006</v>
      </c>
      <c r="Q50" s="0" t="n">
        <f aca="false">Q49+O50</f>
        <v>0.168889480269184</v>
      </c>
      <c r="R50" s="0" t="n">
        <f aca="false">P50+R49</f>
        <v>0.000319187245633794</v>
      </c>
      <c r="S50" s="0" t="n">
        <f aca="false">G50/10000*C50*B50</f>
        <v>3.43077883663366E-006</v>
      </c>
      <c r="T50" s="0" t="n">
        <f aca="false">T49+S50</f>
        <v>0.000266011739353688</v>
      </c>
      <c r="U50" s="0" t="n">
        <f aca="false">IF(B50&gt;1,U49+S50,0)</f>
        <v>0</v>
      </c>
      <c r="V50" s="0" t="n">
        <f aca="false">IF(B50&gt;1,V49+O50,0)</f>
        <v>0</v>
      </c>
      <c r="W50" s="142" t="n">
        <f aca="false">G50/X50</f>
        <v>0.00011781</v>
      </c>
      <c r="X50" s="142" t="n">
        <f aca="false">X49*B49/B50</f>
        <v>5000</v>
      </c>
      <c r="Y50" s="142" t="n">
        <f aca="false">C50/(G50/10000)*$B$14*($F$21/F50)^($B$12)</f>
        <v>0.0367857209880901</v>
      </c>
      <c r="Z50" s="142" t="n">
        <f aca="false">Y50/B50</f>
        <v>0.0367857209880901</v>
      </c>
      <c r="AA50" s="142" t="n">
        <f aca="false">AA51+Z50</f>
        <v>-1.00120320591554</v>
      </c>
      <c r="AB50" s="142" t="n">
        <f aca="false">IF(B50&gt;1,AB49+Z50,0)</f>
        <v>0</v>
      </c>
      <c r="AC50" s="540" t="n">
        <f aca="false">-AA50*$B$4*2</f>
        <v>1.00120320591554</v>
      </c>
      <c r="AM50" s="142"/>
    </row>
    <row r="51" customFormat="false" ht="15.75" hidden="false" customHeight="false" outlineLevel="0" collapsed="false">
      <c r="A51" s="0" t="n">
        <f aca="false">A50+1</f>
        <v>30</v>
      </c>
      <c r="B51" s="0" t="n">
        <f aca="false">MAX(B50/$G$5,1)</f>
        <v>1</v>
      </c>
      <c r="C51" s="0" t="n">
        <f aca="false">$B$10+A51*$G$4</f>
        <v>0.0559405940594059</v>
      </c>
      <c r="D51" s="0" t="n">
        <f aca="false">(A51+1)*($B$10+$G$4*A51/2)</f>
        <v>2.80457920792079</v>
      </c>
      <c r="E51" s="0" t="n">
        <f aca="false">IF(A51&lt;$J$3,($B$6/10)*$G$5^(A51/$G$3),($B$6/10)*$G$5^($J$3/$G$3))</f>
        <v>1</v>
      </c>
      <c r="F51" s="0" t="n">
        <f aca="false">IF(A51&lt;$J$3,($B$7/10)*$G$5^(A51/$G$2),($B$7/10)*$G$5^($J$3/$G$2))</f>
        <v>0.866025403784439</v>
      </c>
      <c r="G51" s="0" t="n">
        <f aca="false">F51*F51*3.1416/4</f>
        <v>0.58905</v>
      </c>
      <c r="H51" s="0" t="n">
        <f aca="false">E51*E51*3.1416/4</f>
        <v>0.7854</v>
      </c>
      <c r="I51" s="0" t="n">
        <f aca="false">G51*B51</f>
        <v>0.58905</v>
      </c>
      <c r="J51" s="0" t="n">
        <f aca="false">H51*B51</f>
        <v>0.7854</v>
      </c>
      <c r="K51" s="0" t="n">
        <f aca="false">H51-G51</f>
        <v>0.19635</v>
      </c>
      <c r="L51" s="0" t="n">
        <f aca="false">SQRT(4*K51/3.1416)</f>
        <v>0.5</v>
      </c>
      <c r="M51" s="0" t="n">
        <f aca="false">(E51-L51)/2</f>
        <v>0.25</v>
      </c>
      <c r="N51" s="0" t="n">
        <f aca="false">E51*3.1416</f>
        <v>3.1416</v>
      </c>
      <c r="O51" s="0" t="n">
        <f aca="false">C51*3.1416*E51*B51/100</f>
        <v>0.0017574297029703</v>
      </c>
      <c r="P51" s="0" t="n">
        <f aca="false">C51*E51/100*E51/100*3.1416/4*B51</f>
        <v>4.39357425742574E-006</v>
      </c>
      <c r="Q51" s="0" t="n">
        <f aca="false">Q50+O51</f>
        <v>0.170646909972155</v>
      </c>
      <c r="R51" s="0" t="n">
        <f aca="false">P51+R50</f>
        <v>0.00032358081989122</v>
      </c>
      <c r="S51" s="0" t="n">
        <f aca="false">G51/10000*C51*B51</f>
        <v>3.29518069306931E-006</v>
      </c>
      <c r="T51" s="0" t="n">
        <f aca="false">T50+S51</f>
        <v>0.000269306920046757</v>
      </c>
      <c r="U51" s="0" t="n">
        <f aca="false">IF(B51&gt;1,U50+S51,0)</f>
        <v>0</v>
      </c>
      <c r="V51" s="0" t="n">
        <f aca="false">IF(B51&gt;1,V50+O51,0)</f>
        <v>0</v>
      </c>
      <c r="W51" s="142" t="n">
        <f aca="false">G51/X51</f>
        <v>0.00011781</v>
      </c>
      <c r="X51" s="142" t="n">
        <f aca="false">X50*B50/B51</f>
        <v>5000</v>
      </c>
      <c r="Y51" s="142" t="n">
        <f aca="false">C51/(G51/10000)*$B$14*($F$21/F51)^($B$12)</f>
        <v>0.0353318017140177</v>
      </c>
      <c r="Z51" s="142" t="n">
        <f aca="false">Y51/B51</f>
        <v>0.0353318017140177</v>
      </c>
      <c r="AA51" s="142" t="n">
        <f aca="false">AA52+Z51</f>
        <v>-1.03798892690363</v>
      </c>
      <c r="AB51" s="142" t="n">
        <f aca="false">IF(B51&gt;1,AB50+Z51,0)</f>
        <v>0</v>
      </c>
      <c r="AC51" s="540" t="n">
        <f aca="false">-AA51*$B$4*2</f>
        <v>1.03798892690363</v>
      </c>
      <c r="AM51" s="142"/>
    </row>
    <row r="52" customFormat="false" ht="15.75" hidden="false" customHeight="false" outlineLevel="0" collapsed="false">
      <c r="A52" s="0" t="n">
        <f aca="false">A51+1</f>
        <v>31</v>
      </c>
      <c r="B52" s="0" t="n">
        <f aca="false">MAX(B51/$G$5,1)</f>
        <v>1</v>
      </c>
      <c r="C52" s="0" t="n">
        <f aca="false">$B$10+A52*$G$4</f>
        <v>0.0536386138613861</v>
      </c>
      <c r="D52" s="0" t="n">
        <f aca="false">(A52+1)*($B$10+$G$4*A52/2)</f>
        <v>2.85821782178218</v>
      </c>
      <c r="E52" s="0" t="n">
        <f aca="false">IF(A52&lt;$J$3,($B$6/10)*$G$5^(A52/$G$3),($B$6/10)*$G$5^($J$3/$G$3))</f>
        <v>1</v>
      </c>
      <c r="F52" s="0" t="n">
        <f aca="false">IF(A52&lt;$J$3,($B$7/10)*$G$5^(A52/$G$2),($B$7/10)*$G$5^($J$3/$G$2))</f>
        <v>0.866025403784439</v>
      </c>
      <c r="G52" s="0" t="n">
        <f aca="false">F52*F52*3.1416/4</f>
        <v>0.58905</v>
      </c>
      <c r="H52" s="0" t="n">
        <f aca="false">E52*E52*3.1416/4</f>
        <v>0.7854</v>
      </c>
      <c r="I52" s="0" t="n">
        <f aca="false">G52*B52</f>
        <v>0.58905</v>
      </c>
      <c r="J52" s="0" t="n">
        <f aca="false">H52*B52</f>
        <v>0.7854</v>
      </c>
      <c r="K52" s="0" t="n">
        <f aca="false">H52-G52</f>
        <v>0.19635</v>
      </c>
      <c r="L52" s="0" t="n">
        <f aca="false">SQRT(4*K52/3.1416)</f>
        <v>0.5</v>
      </c>
      <c r="M52" s="0" t="n">
        <f aca="false">(E52-L52)/2</f>
        <v>0.25</v>
      </c>
      <c r="N52" s="0" t="n">
        <f aca="false">E52*3.1416</f>
        <v>3.1416</v>
      </c>
      <c r="O52" s="0" t="n">
        <f aca="false">C52*3.1416*E52*B52/100</f>
        <v>0.00168511069306931</v>
      </c>
      <c r="P52" s="0" t="n">
        <f aca="false">C52*E52/100*E52/100*3.1416/4*B52</f>
        <v>4.21277673267327E-006</v>
      </c>
      <c r="Q52" s="0" t="n">
        <f aca="false">Q51+O52</f>
        <v>0.172332020665224</v>
      </c>
      <c r="R52" s="0" t="n">
        <f aca="false">P52+R51</f>
        <v>0.000327793596623893</v>
      </c>
      <c r="S52" s="0" t="n">
        <f aca="false">G52/10000*C52*B52</f>
        <v>3.15958254950495E-006</v>
      </c>
      <c r="T52" s="0" t="n">
        <f aca="false">T51+S52</f>
        <v>0.000272466502596262</v>
      </c>
      <c r="U52" s="0" t="n">
        <f aca="false">IF(B52&gt;1,U51+S52,0)</f>
        <v>0</v>
      </c>
      <c r="V52" s="0" t="n">
        <f aca="false">IF(B52&gt;1,V51+O52,0)</f>
        <v>0</v>
      </c>
      <c r="W52" s="142" t="n">
        <f aca="false">G52/X52</f>
        <v>0.00011781</v>
      </c>
      <c r="X52" s="142" t="n">
        <f aca="false">X51*B51/B52</f>
        <v>5000</v>
      </c>
      <c r="Y52" s="142" t="n">
        <f aca="false">C52/(G52/10000)*$B$14*($F$21/F52)^($B$12)</f>
        <v>0.0338778824399453</v>
      </c>
      <c r="Z52" s="142" t="n">
        <f aca="false">Y52/B52</f>
        <v>0.0338778824399453</v>
      </c>
      <c r="AA52" s="142" t="n">
        <f aca="false">AA53+Z52</f>
        <v>-1.07332072861765</v>
      </c>
      <c r="AB52" s="142" t="n">
        <f aca="false">IF(B52&gt;1,AB51+Z52,0)</f>
        <v>0</v>
      </c>
      <c r="AC52" s="540" t="n">
        <f aca="false">-AA52*$B$4*2</f>
        <v>1.07332072861765</v>
      </c>
      <c r="AM52" s="142"/>
    </row>
    <row r="53" customFormat="false" ht="15.75" hidden="false" customHeight="false" outlineLevel="0" collapsed="false">
      <c r="A53" s="0" t="n">
        <f aca="false">A52+1</f>
        <v>32</v>
      </c>
      <c r="B53" s="0" t="n">
        <f aca="false">MAX(B52/$G$5,1)</f>
        <v>1</v>
      </c>
      <c r="C53" s="0" t="n">
        <f aca="false">$B$10+A53*$G$4</f>
        <v>0.0513366336633663</v>
      </c>
      <c r="D53" s="0" t="n">
        <f aca="false">(A53+1)*($B$10+$G$4*A53/2)</f>
        <v>2.90955445544554</v>
      </c>
      <c r="E53" s="0" t="n">
        <f aca="false">IF(A53&lt;$J$3,($B$6/10)*$G$5^(A53/$G$3),($B$6/10)*$G$5^($J$3/$G$3))</f>
        <v>1</v>
      </c>
      <c r="F53" s="0" t="n">
        <f aca="false">IF(A53&lt;$J$3,($B$7/10)*$G$5^(A53/$G$2),($B$7/10)*$G$5^($J$3/$G$2))</f>
        <v>0.866025403784439</v>
      </c>
      <c r="G53" s="0" t="n">
        <f aca="false">F53*F53*3.1416/4</f>
        <v>0.58905</v>
      </c>
      <c r="H53" s="0" t="n">
        <f aca="false">E53*E53*3.1416/4</f>
        <v>0.7854</v>
      </c>
      <c r="I53" s="0" t="n">
        <f aca="false">G53*B53</f>
        <v>0.58905</v>
      </c>
      <c r="J53" s="0" t="n">
        <f aca="false">H53*B53</f>
        <v>0.7854</v>
      </c>
      <c r="K53" s="0" t="n">
        <f aca="false">H53-G53</f>
        <v>0.19635</v>
      </c>
      <c r="L53" s="0" t="n">
        <f aca="false">SQRT(4*K53/3.1416)</f>
        <v>0.5</v>
      </c>
      <c r="M53" s="0" t="n">
        <f aca="false">(E53-L53)/2</f>
        <v>0.25</v>
      </c>
      <c r="N53" s="0" t="n">
        <f aca="false">E53*3.1416</f>
        <v>3.1416</v>
      </c>
      <c r="O53" s="0" t="n">
        <f aca="false">C53*3.1416*E53*B53/100</f>
        <v>0.00161279168316832</v>
      </c>
      <c r="P53" s="0" t="n">
        <f aca="false">C53*E53/100*E53/100*3.1416/4*B53</f>
        <v>4.03197920792079E-006</v>
      </c>
      <c r="Q53" s="0" t="n">
        <f aca="false">Q52+O53</f>
        <v>0.173944812348392</v>
      </c>
      <c r="R53" s="0" t="n">
        <f aca="false">P53+R52</f>
        <v>0.000331825575831814</v>
      </c>
      <c r="S53" s="0" t="n">
        <f aca="false">G53/10000*C53*B53</f>
        <v>3.02398440594059E-006</v>
      </c>
      <c r="T53" s="0" t="n">
        <f aca="false">T52+S53</f>
        <v>0.000275490487002203</v>
      </c>
      <c r="U53" s="0" t="n">
        <f aca="false">IF(B53&gt;1,U52+S53,0)</f>
        <v>0</v>
      </c>
      <c r="V53" s="0" t="n">
        <f aca="false">IF(B53&gt;1,V52+O53,0)</f>
        <v>0</v>
      </c>
      <c r="W53" s="142" t="n">
        <f aca="false">G53/X53</f>
        <v>0.00011781</v>
      </c>
      <c r="X53" s="142" t="n">
        <f aca="false">X52*B52/B53</f>
        <v>5000</v>
      </c>
      <c r="Y53" s="142" t="n">
        <f aca="false">C53/(G53/10000)*$B$14*($F$21/F53)^($B$12)</f>
        <v>0.0324239631658729</v>
      </c>
      <c r="Z53" s="142" t="n">
        <f aca="false">Y53/B53</f>
        <v>0.0324239631658729</v>
      </c>
      <c r="AA53" s="142" t="n">
        <f aca="false">AA54+Z53</f>
        <v>-1.10719861105759</v>
      </c>
      <c r="AB53" s="142" t="n">
        <f aca="false">IF(B53&gt;1,AB52+Z53,0)</f>
        <v>0</v>
      </c>
      <c r="AC53" s="540" t="n">
        <f aca="false">-AA53*$B$4*2</f>
        <v>1.10719861105759</v>
      </c>
      <c r="AM53" s="142"/>
    </row>
    <row r="54" customFormat="false" ht="15.75" hidden="false" customHeight="false" outlineLevel="0" collapsed="false">
      <c r="A54" s="0" t="n">
        <f aca="false">A53+1</f>
        <v>33</v>
      </c>
      <c r="B54" s="0" t="n">
        <f aca="false">MAX(B53/$G$5,1)</f>
        <v>1</v>
      </c>
      <c r="C54" s="0" t="n">
        <f aca="false">$B$10+A54*$G$4</f>
        <v>0.0490346534653465</v>
      </c>
      <c r="D54" s="0" t="n">
        <f aca="false">(A54+1)*($B$10+$G$4*A54/2)</f>
        <v>2.95858910891089</v>
      </c>
      <c r="E54" s="0" t="n">
        <f aca="false">IF(A54&lt;$J$3,($B$6/10)*$G$5^(A54/$G$3),($B$6/10)*$G$5^($J$3/$G$3))</f>
        <v>1</v>
      </c>
      <c r="F54" s="0" t="n">
        <f aca="false">IF(A54&lt;$J$3,($B$7/10)*$G$5^(A54/$G$2),($B$7/10)*$G$5^($J$3/$G$2))</f>
        <v>0.866025403784439</v>
      </c>
      <c r="G54" s="0" t="n">
        <f aca="false">F54*F54*3.1416/4</f>
        <v>0.58905</v>
      </c>
      <c r="H54" s="0" t="n">
        <f aca="false">E54*E54*3.1416/4</f>
        <v>0.7854</v>
      </c>
      <c r="I54" s="0" t="n">
        <f aca="false">G54*B54</f>
        <v>0.58905</v>
      </c>
      <c r="J54" s="0" t="n">
        <f aca="false">H54*B54</f>
        <v>0.7854</v>
      </c>
      <c r="K54" s="0" t="n">
        <f aca="false">H54-G54</f>
        <v>0.19635</v>
      </c>
      <c r="L54" s="0" t="n">
        <f aca="false">SQRT(4*K54/3.1416)</f>
        <v>0.5</v>
      </c>
      <c r="M54" s="0" t="n">
        <f aca="false">(E54-L54)/2</f>
        <v>0.25</v>
      </c>
      <c r="N54" s="0" t="n">
        <f aca="false">E54*3.1416</f>
        <v>3.1416</v>
      </c>
      <c r="O54" s="0" t="n">
        <f aca="false">C54*3.1416*E54*B54/100</f>
        <v>0.00154047267326733</v>
      </c>
      <c r="P54" s="0" t="n">
        <f aca="false">C54*E54/100*E54/100*3.1416/4*B54</f>
        <v>3.85118168316832E-006</v>
      </c>
      <c r="Q54" s="0" t="n">
        <f aca="false">Q53+O54</f>
        <v>0.17548528502166</v>
      </c>
      <c r="R54" s="0" t="n">
        <f aca="false">P54+R53</f>
        <v>0.000335676757514982</v>
      </c>
      <c r="S54" s="0" t="n">
        <f aca="false">G54/10000*C54*B54</f>
        <v>2.88838626237624E-006</v>
      </c>
      <c r="T54" s="0" t="n">
        <f aca="false">T53+S54</f>
        <v>0.000278378873264579</v>
      </c>
      <c r="U54" s="0" t="n">
        <f aca="false">IF(B54&gt;1,U53+S54,0)</f>
        <v>0</v>
      </c>
      <c r="V54" s="0" t="n">
        <f aca="false">IF(B54&gt;1,V53+O54,0)</f>
        <v>0</v>
      </c>
      <c r="W54" s="142" t="n">
        <f aca="false">G54/X54</f>
        <v>0.00011781</v>
      </c>
      <c r="X54" s="142" t="n">
        <f aca="false">X53*B53/B54</f>
        <v>5000</v>
      </c>
      <c r="Y54" s="142" t="n">
        <f aca="false">C54/(G54/10000)*$B$14*($F$21/F54)^($B$12)</f>
        <v>0.0309700438918005</v>
      </c>
      <c r="Z54" s="142" t="n">
        <f aca="false">Y54/B54</f>
        <v>0.0309700438918005</v>
      </c>
      <c r="AA54" s="142" t="n">
        <f aca="false">AA55+Z54</f>
        <v>-1.13962257422347</v>
      </c>
      <c r="AB54" s="142" t="n">
        <f aca="false">IF(B54&gt;1,AB53+Z54,0)</f>
        <v>0</v>
      </c>
      <c r="AC54" s="540" t="n">
        <f aca="false">-AA54*$B$4*2</f>
        <v>1.13962257422347</v>
      </c>
      <c r="AM54" s="142"/>
    </row>
    <row r="55" customFormat="false" ht="15.75" hidden="false" customHeight="false" outlineLevel="0" collapsed="false">
      <c r="A55" s="0" t="n">
        <f aca="false">A54+1</f>
        <v>34</v>
      </c>
      <c r="B55" s="0" t="n">
        <f aca="false">MAX(B54/$G$5,1)</f>
        <v>1</v>
      </c>
      <c r="C55" s="0" t="n">
        <f aca="false">$B$10+A55*$G$4</f>
        <v>0.0467326732673267</v>
      </c>
      <c r="D55" s="0" t="n">
        <f aca="false">(A55+1)*($B$10+$G$4*A55/2)</f>
        <v>3.00532178217822</v>
      </c>
      <c r="E55" s="0" t="n">
        <f aca="false">IF(A55&lt;$J$3,($B$6/10)*$G$5^(A55/$G$3),($B$6/10)*$G$5^($J$3/$G$3))</f>
        <v>1</v>
      </c>
      <c r="F55" s="0" t="n">
        <f aca="false">IF(A55&lt;$J$3,($B$7/10)*$G$5^(A55/$G$2),($B$7/10)*$G$5^($J$3/$G$2))</f>
        <v>0.866025403784439</v>
      </c>
      <c r="G55" s="0" t="n">
        <f aca="false">F55*F55*3.1416/4</f>
        <v>0.58905</v>
      </c>
      <c r="H55" s="0" t="n">
        <f aca="false">E55*E55*3.1416/4</f>
        <v>0.7854</v>
      </c>
      <c r="I55" s="0" t="n">
        <f aca="false">G55*B55</f>
        <v>0.58905</v>
      </c>
      <c r="J55" s="0" t="n">
        <f aca="false">H55*B55</f>
        <v>0.7854</v>
      </c>
      <c r="K55" s="0" t="n">
        <f aca="false">H55-G55</f>
        <v>0.19635</v>
      </c>
      <c r="L55" s="0" t="n">
        <f aca="false">SQRT(4*K55/3.1416)</f>
        <v>0.5</v>
      </c>
      <c r="M55" s="0" t="n">
        <f aca="false">(E55-L55)/2</f>
        <v>0.25</v>
      </c>
      <c r="N55" s="0" t="n">
        <f aca="false">E55*3.1416</f>
        <v>3.1416</v>
      </c>
      <c r="O55" s="0" t="n">
        <f aca="false">C55*3.1416*E55*B55/100</f>
        <v>0.00146815366336634</v>
      </c>
      <c r="P55" s="0" t="n">
        <f aca="false">C55*E55/100*E55/100*3.1416/4*B55</f>
        <v>3.67038415841584E-006</v>
      </c>
      <c r="Q55" s="0" t="n">
        <f aca="false">Q54+O55</f>
        <v>0.176953438685026</v>
      </c>
      <c r="R55" s="0" t="n">
        <f aca="false">P55+R54</f>
        <v>0.000339347141673398</v>
      </c>
      <c r="S55" s="0" t="n">
        <f aca="false">G55/10000*C55*B55</f>
        <v>2.75278811881188E-006</v>
      </c>
      <c r="T55" s="0" t="n">
        <f aca="false">T54+S55</f>
        <v>0.000281131661383391</v>
      </c>
      <c r="U55" s="0" t="n">
        <f aca="false">IF(B55&gt;1,U54+S55,0)</f>
        <v>0</v>
      </c>
      <c r="V55" s="0" t="n">
        <f aca="false">IF(B55&gt;1,V54+O55,0)</f>
        <v>0</v>
      </c>
      <c r="W55" s="142" t="n">
        <f aca="false">G55/X55</f>
        <v>0.00011781</v>
      </c>
      <c r="X55" s="142" t="n">
        <f aca="false">X54*B54/B55</f>
        <v>5000</v>
      </c>
      <c r="Y55" s="142" t="n">
        <f aca="false">C55/(G55/10000)*$B$14*($F$21/F55)^($B$12)</f>
        <v>0.0295161246177281</v>
      </c>
      <c r="Z55" s="142" t="n">
        <f aca="false">Y55/B55</f>
        <v>0.0295161246177281</v>
      </c>
      <c r="AA55" s="142" t="n">
        <f aca="false">AA56+Z55</f>
        <v>-1.17059261811527</v>
      </c>
      <c r="AB55" s="142" t="n">
        <f aca="false">IF(B55&gt;1,AB54+Z55,0)</f>
        <v>0</v>
      </c>
      <c r="AC55" s="540" t="n">
        <f aca="false">-AA55*$B$4*2</f>
        <v>1.17059261811527</v>
      </c>
      <c r="AM55" s="142"/>
    </row>
    <row r="56" customFormat="false" ht="15.75" hidden="false" customHeight="false" outlineLevel="0" collapsed="false">
      <c r="A56" s="0" t="n">
        <f aca="false">A55+1</f>
        <v>35</v>
      </c>
      <c r="B56" s="0" t="n">
        <f aca="false">MAX(B55/$G$5,1)</f>
        <v>1</v>
      </c>
      <c r="C56" s="0" t="n">
        <f aca="false">$B$10+A56*$G$4</f>
        <v>0.0444306930693069</v>
      </c>
      <c r="D56" s="0" t="n">
        <f aca="false">(A56+1)*($B$10+$G$4*A56/2)</f>
        <v>3.04975247524752</v>
      </c>
      <c r="E56" s="0" t="n">
        <f aca="false">IF(A56&lt;$J$3,($B$6/10)*$G$5^(A56/$G$3),($B$6/10)*$G$5^($J$3/$G$3))</f>
        <v>1</v>
      </c>
      <c r="F56" s="0" t="n">
        <f aca="false">IF(A56&lt;$J$3,($B$7/10)*$G$5^(A56/$G$2),($B$7/10)*$G$5^($J$3/$G$2))</f>
        <v>0.866025403784439</v>
      </c>
      <c r="G56" s="0" t="n">
        <f aca="false">F56*F56*3.1416/4</f>
        <v>0.58905</v>
      </c>
      <c r="H56" s="0" t="n">
        <f aca="false">E56*E56*3.1416/4</f>
        <v>0.7854</v>
      </c>
      <c r="I56" s="0" t="n">
        <f aca="false">G56*B56</f>
        <v>0.58905</v>
      </c>
      <c r="J56" s="0" t="n">
        <f aca="false">H56*B56</f>
        <v>0.7854</v>
      </c>
      <c r="K56" s="0" t="n">
        <f aca="false">H56-G56</f>
        <v>0.19635</v>
      </c>
      <c r="L56" s="0" t="n">
        <f aca="false">SQRT(4*K56/3.1416)</f>
        <v>0.5</v>
      </c>
      <c r="M56" s="0" t="n">
        <f aca="false">(E56-L56)/2</f>
        <v>0.25</v>
      </c>
      <c r="N56" s="0" t="n">
        <f aca="false">E56*3.1416</f>
        <v>3.1416</v>
      </c>
      <c r="O56" s="0" t="n">
        <f aca="false">C56*3.1416*E56*B56/100</f>
        <v>0.00139583465346535</v>
      </c>
      <c r="P56" s="0" t="n">
        <f aca="false">C56*E56/100*E56/100*3.1416/4*B56</f>
        <v>3.48958663366337E-006</v>
      </c>
      <c r="Q56" s="0" t="n">
        <f aca="false">Q55+O56</f>
        <v>0.178349273338491</v>
      </c>
      <c r="R56" s="0" t="n">
        <f aca="false">P56+R55</f>
        <v>0.000342836728307061</v>
      </c>
      <c r="S56" s="0" t="n">
        <f aca="false">G56/10000*C56*B56</f>
        <v>2.61718997524752E-006</v>
      </c>
      <c r="T56" s="0" t="n">
        <f aca="false">T55+S56</f>
        <v>0.000283748851358639</v>
      </c>
      <c r="U56" s="0" t="n">
        <f aca="false">IF(B56&gt;1,U55+S56,0)</f>
        <v>0</v>
      </c>
      <c r="V56" s="0" t="n">
        <f aca="false">IF(B56&gt;1,V55+O56,0)</f>
        <v>0</v>
      </c>
      <c r="W56" s="142" t="n">
        <f aca="false">G56/X56</f>
        <v>0.00011781</v>
      </c>
      <c r="X56" s="142" t="n">
        <f aca="false">X55*B55/B56</f>
        <v>5000</v>
      </c>
      <c r="Y56" s="142" t="n">
        <f aca="false">C56/(G56/10000)*$B$14*($F$21/F56)^($B$12)</f>
        <v>0.0280622053436556</v>
      </c>
      <c r="Z56" s="142" t="n">
        <f aca="false">Y56/B56</f>
        <v>0.0280622053436556</v>
      </c>
      <c r="AA56" s="142" t="n">
        <f aca="false">AA57+Z56</f>
        <v>-1.20010874273299</v>
      </c>
      <c r="AB56" s="142" t="n">
        <f aca="false">IF(B56&gt;1,AB55+Z56,0)</f>
        <v>0</v>
      </c>
      <c r="AC56" s="540" t="n">
        <f aca="false">-AA56*$B$4*2</f>
        <v>1.20010874273299</v>
      </c>
      <c r="AM56" s="142"/>
    </row>
    <row r="57" customFormat="false" ht="15.75" hidden="false" customHeight="false" outlineLevel="0" collapsed="false">
      <c r="A57" s="0" t="n">
        <f aca="false">A56+1</f>
        <v>36</v>
      </c>
      <c r="B57" s="0" t="n">
        <f aca="false">MAX(B56/$G$5,1)</f>
        <v>1</v>
      </c>
      <c r="C57" s="0" t="n">
        <f aca="false">$B$10+A57*$G$4</f>
        <v>0.0421287128712871</v>
      </c>
      <c r="D57" s="0" t="n">
        <f aca="false">(A57+1)*($B$10+$G$4*A57/2)</f>
        <v>3.09188118811881</v>
      </c>
      <c r="E57" s="0" t="n">
        <f aca="false">IF(A57&lt;$J$3,($B$6/10)*$G$5^(A57/$G$3),($B$6/10)*$G$5^($J$3/$G$3))</f>
        <v>1</v>
      </c>
      <c r="F57" s="0" t="n">
        <f aca="false">IF(A57&lt;$J$3,($B$7/10)*$G$5^(A57/$G$2),($B$7/10)*$G$5^($J$3/$G$2))</f>
        <v>0.866025403784439</v>
      </c>
      <c r="G57" s="0" t="n">
        <f aca="false">F57*F57*3.1416/4</f>
        <v>0.58905</v>
      </c>
      <c r="H57" s="0" t="n">
        <f aca="false">E57*E57*3.1416/4</f>
        <v>0.7854</v>
      </c>
      <c r="I57" s="0" t="n">
        <f aca="false">G57*B57</f>
        <v>0.58905</v>
      </c>
      <c r="J57" s="0" t="n">
        <f aca="false">H57*B57</f>
        <v>0.7854</v>
      </c>
      <c r="K57" s="0" t="n">
        <f aca="false">H57-G57</f>
        <v>0.19635</v>
      </c>
      <c r="L57" s="0" t="n">
        <f aca="false">SQRT(4*K57/3.1416)</f>
        <v>0.5</v>
      </c>
      <c r="M57" s="0" t="n">
        <f aca="false">(E57-L57)/2</f>
        <v>0.25</v>
      </c>
      <c r="N57" s="0" t="n">
        <f aca="false">E57*3.1416</f>
        <v>3.1416</v>
      </c>
      <c r="O57" s="0" t="n">
        <f aca="false">C57*3.1416*E57*B57/100</f>
        <v>0.00132351564356436</v>
      </c>
      <c r="P57" s="0" t="n">
        <f aca="false">C57*E57/100*E57/100*3.1416/4*B57</f>
        <v>3.30878910891089E-006</v>
      </c>
      <c r="Q57" s="0" t="n">
        <f aca="false">Q56+O57</f>
        <v>0.179672788982056</v>
      </c>
      <c r="R57" s="0" t="n">
        <f aca="false">P57+R56</f>
        <v>0.000346145517415972</v>
      </c>
      <c r="S57" s="0" t="n">
        <f aca="false">G57/10000*C57*B57</f>
        <v>2.48159183168317E-006</v>
      </c>
      <c r="T57" s="0" t="n">
        <f aca="false">T56+S57</f>
        <v>0.000286230443190322</v>
      </c>
      <c r="U57" s="0" t="n">
        <f aca="false">IF(B57&gt;1,U56+S57,0)</f>
        <v>0</v>
      </c>
      <c r="V57" s="0" t="n">
        <f aca="false">IF(B57&gt;1,V56+O57,0)</f>
        <v>0</v>
      </c>
      <c r="W57" s="142" t="n">
        <f aca="false">G57/X57</f>
        <v>0.00011781</v>
      </c>
      <c r="X57" s="142" t="n">
        <f aca="false">X56*B56/B57</f>
        <v>5000</v>
      </c>
      <c r="Y57" s="142" t="n">
        <f aca="false">C57/(G57/10000)*$B$14*($F$21/F57)^($B$12)</f>
        <v>0.0266082860695832</v>
      </c>
      <c r="Z57" s="142" t="n">
        <f aca="false">Y57/B57</f>
        <v>0.0266082860695832</v>
      </c>
      <c r="AA57" s="142" t="n">
        <f aca="false">AA58+Z57</f>
        <v>-1.22817094807665</v>
      </c>
      <c r="AB57" s="142" t="n">
        <f aca="false">IF(B57&gt;1,AB56+Z57,0)</f>
        <v>0</v>
      </c>
      <c r="AC57" s="540" t="n">
        <f aca="false">-AA57*$B$4*2</f>
        <v>1.22817094807665</v>
      </c>
      <c r="AM57" s="142"/>
    </row>
    <row r="58" customFormat="false" ht="15.75" hidden="false" customHeight="false" outlineLevel="0" collapsed="false">
      <c r="A58" s="0" t="n">
        <f aca="false">A57+1</f>
        <v>37</v>
      </c>
      <c r="B58" s="0" t="n">
        <f aca="false">MAX(B57/$G$5,1)</f>
        <v>1</v>
      </c>
      <c r="C58" s="0" t="n">
        <f aca="false">$B$10+A58*$G$4</f>
        <v>0.0398267326732673</v>
      </c>
      <c r="D58" s="0" t="n">
        <f aca="false">(A58+1)*($B$10+$G$4*A58/2)</f>
        <v>3.13170792079208</v>
      </c>
      <c r="E58" s="0" t="n">
        <f aca="false">IF(A58&lt;$J$3,($B$6/10)*$G$5^(A58/$G$3),($B$6/10)*$G$5^($J$3/$G$3))</f>
        <v>1</v>
      </c>
      <c r="F58" s="0" t="n">
        <f aca="false">IF(A58&lt;$J$3,($B$7/10)*$G$5^(A58/$G$2),($B$7/10)*$G$5^($J$3/$G$2))</f>
        <v>0.866025403784439</v>
      </c>
      <c r="G58" s="0" t="n">
        <f aca="false">F58*F58*3.1416/4</f>
        <v>0.58905</v>
      </c>
      <c r="H58" s="0" t="n">
        <f aca="false">E58*E58*3.1416/4</f>
        <v>0.7854</v>
      </c>
      <c r="I58" s="0" t="n">
        <f aca="false">G58*B58</f>
        <v>0.58905</v>
      </c>
      <c r="J58" s="0" t="n">
        <f aca="false">H58*B58</f>
        <v>0.7854</v>
      </c>
      <c r="K58" s="0" t="n">
        <f aca="false">H58-G58</f>
        <v>0.19635</v>
      </c>
      <c r="L58" s="0" t="n">
        <f aca="false">SQRT(4*K58/3.1416)</f>
        <v>0.5</v>
      </c>
      <c r="M58" s="0" t="n">
        <f aca="false">(E58-L58)/2</f>
        <v>0.25</v>
      </c>
      <c r="N58" s="0" t="n">
        <f aca="false">E58*3.1416</f>
        <v>3.1416</v>
      </c>
      <c r="O58" s="0" t="n">
        <f aca="false">C58*3.1416*E58*B58/100</f>
        <v>0.00125119663366337</v>
      </c>
      <c r="P58" s="0" t="n">
        <f aca="false">C58*E58/100*E58/100*3.1416/4*B58</f>
        <v>3.12799158415842E-006</v>
      </c>
      <c r="Q58" s="0" t="n">
        <f aca="false">Q57+O58</f>
        <v>0.180923985615719</v>
      </c>
      <c r="R58" s="0" t="n">
        <f aca="false">P58+R57</f>
        <v>0.000349273509000131</v>
      </c>
      <c r="S58" s="0" t="n">
        <f aca="false">G58/10000*C58*B58</f>
        <v>2.34599368811881E-006</v>
      </c>
      <c r="T58" s="0" t="n">
        <f aca="false">T57+S58</f>
        <v>0.000288576436878441</v>
      </c>
      <c r="U58" s="0" t="n">
        <f aca="false">IF(B58&gt;1,U57+S58,0)</f>
        <v>0</v>
      </c>
      <c r="V58" s="0" t="n">
        <f aca="false">IF(B58&gt;1,V57+O58,0)</f>
        <v>0</v>
      </c>
      <c r="W58" s="142" t="n">
        <f aca="false">G58/X58</f>
        <v>0.00011781</v>
      </c>
      <c r="X58" s="142" t="n">
        <f aca="false">X57*B57/B58</f>
        <v>5000</v>
      </c>
      <c r="Y58" s="142" t="n">
        <f aca="false">C58/(G58/10000)*$B$14*($F$21/F58)^($B$12)</f>
        <v>0.0251543667955108</v>
      </c>
      <c r="Z58" s="142" t="n">
        <f aca="false">Y58/B58</f>
        <v>0.0251543667955108</v>
      </c>
      <c r="AA58" s="142" t="n">
        <f aca="false">AA59+Z58</f>
        <v>-1.25477923414623</v>
      </c>
      <c r="AB58" s="142" t="n">
        <f aca="false">IF(B58&gt;1,AB57+Z58,0)</f>
        <v>0</v>
      </c>
      <c r="AC58" s="540" t="n">
        <f aca="false">-AA58*$B$4*2</f>
        <v>1.25477923414623</v>
      </c>
      <c r="AM58" s="142"/>
    </row>
    <row r="59" customFormat="false" ht="15.75" hidden="false" customHeight="false" outlineLevel="0" collapsed="false">
      <c r="A59" s="0" t="n">
        <f aca="false">A58+1</f>
        <v>38</v>
      </c>
      <c r="B59" s="0" t="n">
        <f aca="false">MAX(B58/$G$5,1)</f>
        <v>1</v>
      </c>
      <c r="C59" s="0" t="n">
        <f aca="false">$B$10+A59*$G$4</f>
        <v>0.0375247524752475</v>
      </c>
      <c r="D59" s="0" t="n">
        <f aca="false">(A59+1)*($B$10+$G$4*A59/2)</f>
        <v>3.16923267326733</v>
      </c>
      <c r="E59" s="0" t="n">
        <f aca="false">IF(A59&lt;$J$3,($B$6/10)*$G$5^(A59/$G$3),($B$6/10)*$G$5^($J$3/$G$3))</f>
        <v>1</v>
      </c>
      <c r="F59" s="0" t="n">
        <f aca="false">IF(A59&lt;$J$3,($B$7/10)*$G$5^(A59/$G$2),($B$7/10)*$G$5^($J$3/$G$2))</f>
        <v>0.866025403784439</v>
      </c>
      <c r="G59" s="0" t="n">
        <f aca="false">F59*F59*3.1416/4</f>
        <v>0.58905</v>
      </c>
      <c r="H59" s="0" t="n">
        <f aca="false">E59*E59*3.1416/4</f>
        <v>0.7854</v>
      </c>
      <c r="I59" s="0" t="n">
        <f aca="false">G59*B59</f>
        <v>0.58905</v>
      </c>
      <c r="J59" s="0" t="n">
        <f aca="false">H59*B59</f>
        <v>0.7854</v>
      </c>
      <c r="K59" s="0" t="n">
        <f aca="false">H59-G59</f>
        <v>0.19635</v>
      </c>
      <c r="L59" s="0" t="n">
        <f aca="false">SQRT(4*K59/3.1416)</f>
        <v>0.5</v>
      </c>
      <c r="M59" s="0" t="n">
        <f aca="false">(E59-L59)/2</f>
        <v>0.25</v>
      </c>
      <c r="N59" s="0" t="n">
        <f aca="false">E59*3.1416</f>
        <v>3.1416</v>
      </c>
      <c r="O59" s="0" t="n">
        <f aca="false">C59*3.1416*E59*B59/100</f>
        <v>0.00117887762376238</v>
      </c>
      <c r="P59" s="0" t="n">
        <f aca="false">C59*E59/100*E59/100*3.1416/4*B59</f>
        <v>2.94719405940594E-006</v>
      </c>
      <c r="Q59" s="0" t="n">
        <f aca="false">Q58+O59</f>
        <v>0.182102863239481</v>
      </c>
      <c r="R59" s="0" t="n">
        <f aca="false">P59+R58</f>
        <v>0.000352220703059537</v>
      </c>
      <c r="S59" s="0" t="n">
        <f aca="false">G59/10000*C59*B59</f>
        <v>2.21039554455445E-006</v>
      </c>
      <c r="T59" s="0" t="n">
        <f aca="false">T58+S59</f>
        <v>0.000290786832422995</v>
      </c>
      <c r="U59" s="0" t="n">
        <f aca="false">IF(B59&gt;1,U58+S59,0)</f>
        <v>0</v>
      </c>
      <c r="V59" s="0" t="n">
        <f aca="false">IF(B59&gt;1,V58+O59,0)</f>
        <v>0</v>
      </c>
      <c r="W59" s="142" t="n">
        <f aca="false">G59/X59</f>
        <v>0.00011781</v>
      </c>
      <c r="X59" s="142" t="n">
        <f aca="false">X58*B58/B59</f>
        <v>5000</v>
      </c>
      <c r="Y59" s="142" t="n">
        <f aca="false">C59/(G59/10000)*$B$14*($F$21/F59)^($B$12)</f>
        <v>0.0237004475214384</v>
      </c>
      <c r="Z59" s="142" t="n">
        <f aca="false">Y59/B59</f>
        <v>0.0237004475214384</v>
      </c>
      <c r="AA59" s="142" t="n">
        <f aca="false">AA60+Z59</f>
        <v>-1.27993360094174</v>
      </c>
      <c r="AB59" s="142" t="n">
        <f aca="false">IF(B59&gt;1,AB58+Z59,0)</f>
        <v>0</v>
      </c>
      <c r="AC59" s="540" t="n">
        <f aca="false">-AA59*$B$4*2</f>
        <v>1.27993360094174</v>
      </c>
      <c r="AM59" s="142"/>
    </row>
    <row r="60" customFormat="false" ht="15.75" hidden="false" customHeight="false" outlineLevel="0" collapsed="false">
      <c r="A60" s="0" t="n">
        <f aca="false">A59+1</f>
        <v>39</v>
      </c>
      <c r="B60" s="0" t="n">
        <f aca="false">MAX(B59/$G$5,1)</f>
        <v>1</v>
      </c>
      <c r="C60" s="0" t="n">
        <f aca="false">$B$10+A60*$G$4</f>
        <v>0.0352227722772277</v>
      </c>
      <c r="D60" s="0" t="n">
        <f aca="false">(A60+1)*($B$10+$G$4*A60/2)</f>
        <v>3.20445544554455</v>
      </c>
      <c r="E60" s="0" t="n">
        <f aca="false">IF(A60&lt;$J$3,($B$6/10)*$G$5^(A60/$G$3),($B$6/10)*$G$5^($J$3/$G$3))</f>
        <v>1</v>
      </c>
      <c r="F60" s="0" t="n">
        <f aca="false">IF(A60&lt;$J$3,($B$7/10)*$G$5^(A60/$G$2),($B$7/10)*$G$5^($J$3/$G$2))</f>
        <v>0.866025403784439</v>
      </c>
      <c r="G60" s="0" t="n">
        <f aca="false">F60*F60*3.1416/4</f>
        <v>0.58905</v>
      </c>
      <c r="H60" s="0" t="n">
        <f aca="false">E60*E60*3.1416/4</f>
        <v>0.7854</v>
      </c>
      <c r="I60" s="0" t="n">
        <f aca="false">G60*B60</f>
        <v>0.58905</v>
      </c>
      <c r="J60" s="0" t="n">
        <f aca="false">H60*B60</f>
        <v>0.7854</v>
      </c>
      <c r="K60" s="0" t="n">
        <f aca="false">H60-G60</f>
        <v>0.19635</v>
      </c>
      <c r="L60" s="0" t="n">
        <f aca="false">SQRT(4*K60/3.1416)</f>
        <v>0.5</v>
      </c>
      <c r="M60" s="0" t="n">
        <f aca="false">(E60-L60)/2</f>
        <v>0.25</v>
      </c>
      <c r="N60" s="0" t="n">
        <f aca="false">E60*3.1416</f>
        <v>3.1416</v>
      </c>
      <c r="O60" s="0" t="n">
        <f aca="false">C60*3.1416*E60*B60/100</f>
        <v>0.00110655861386139</v>
      </c>
      <c r="P60" s="0" t="n">
        <f aca="false">C60*E60/100*E60/100*3.1416/4*B60</f>
        <v>2.76639653465346E-006</v>
      </c>
      <c r="Q60" s="0" t="n">
        <f aca="false">Q59+O60</f>
        <v>0.183209421853343</v>
      </c>
      <c r="R60" s="0" t="n">
        <f aca="false">P60+R59</f>
        <v>0.00035498709959419</v>
      </c>
      <c r="S60" s="0" t="n">
        <f aca="false">G60/10000*C60*B60</f>
        <v>2.0747974009901E-006</v>
      </c>
      <c r="T60" s="0" t="n">
        <f aca="false">T59+S60</f>
        <v>0.000292861629823985</v>
      </c>
      <c r="U60" s="0" t="n">
        <f aca="false">IF(B60&gt;1,U59+S60,0)</f>
        <v>0</v>
      </c>
      <c r="V60" s="0" t="n">
        <f aca="false">IF(B60&gt;1,V59+O60,0)</f>
        <v>0</v>
      </c>
      <c r="W60" s="142" t="n">
        <f aca="false">G60/X60</f>
        <v>0.00011781</v>
      </c>
      <c r="X60" s="142" t="n">
        <f aca="false">X59*B59/B60</f>
        <v>5000</v>
      </c>
      <c r="Y60" s="142" t="n">
        <f aca="false">C60/(G60/10000)*$B$14*($F$21/F60)^($B$12)</f>
        <v>0.022246528247366</v>
      </c>
      <c r="Z60" s="142" t="n">
        <f aca="false">Y60/B60</f>
        <v>0.022246528247366</v>
      </c>
      <c r="AA60" s="142" t="n">
        <f aca="false">AA61+Z60</f>
        <v>-1.30363404846318</v>
      </c>
      <c r="AB60" s="142" t="n">
        <f aca="false">IF(B60&gt;1,AB59+Z60,0)</f>
        <v>0</v>
      </c>
      <c r="AC60" s="540" t="n">
        <f aca="false">-AA60*$B$4*2</f>
        <v>1.30363404846318</v>
      </c>
      <c r="AM60" s="142"/>
    </row>
    <row r="61" customFormat="false" ht="15.75" hidden="false" customHeight="false" outlineLevel="0" collapsed="false">
      <c r="A61" s="0" t="n">
        <f aca="false">A60+1</f>
        <v>40</v>
      </c>
      <c r="B61" s="0" t="n">
        <f aca="false">MAX(B60/$G$5,1)</f>
        <v>1</v>
      </c>
      <c r="C61" s="0" t="n">
        <f aca="false">$B$10+A61*$G$4</f>
        <v>0.0329207920792079</v>
      </c>
      <c r="D61" s="0" t="n">
        <f aca="false">(A61+1)*($B$10+$G$4*A61/2)</f>
        <v>3.23737623762376</v>
      </c>
      <c r="E61" s="0" t="n">
        <f aca="false">IF(A61&lt;$J$3,($B$6/10)*$G$5^(A61/$G$3),($B$6/10)*$G$5^($J$3/$G$3))</f>
        <v>1</v>
      </c>
      <c r="F61" s="0" t="n">
        <f aca="false">IF(A61&lt;$J$3,($B$7/10)*$G$5^(A61/$G$2),($B$7/10)*$G$5^($J$3/$G$2))</f>
        <v>0.866025403784439</v>
      </c>
      <c r="G61" s="0" t="n">
        <f aca="false">F61*F61*3.1416/4</f>
        <v>0.58905</v>
      </c>
      <c r="H61" s="0" t="n">
        <f aca="false">E61*E61*3.1416/4</f>
        <v>0.7854</v>
      </c>
      <c r="I61" s="0" t="n">
        <f aca="false">G61*B61</f>
        <v>0.58905</v>
      </c>
      <c r="J61" s="0" t="n">
        <f aca="false">H61*B61</f>
        <v>0.7854</v>
      </c>
      <c r="K61" s="0" t="n">
        <f aca="false">H61-G61</f>
        <v>0.19635</v>
      </c>
      <c r="L61" s="0" t="n">
        <f aca="false">SQRT(4*K61/3.1416)</f>
        <v>0.5</v>
      </c>
      <c r="M61" s="0" t="n">
        <f aca="false">(E61-L61)/2</f>
        <v>0.25</v>
      </c>
      <c r="N61" s="0" t="n">
        <f aca="false">E61*3.1416</f>
        <v>3.1416</v>
      </c>
      <c r="O61" s="0" t="n">
        <f aca="false">C61*3.1416*E61*B61/100</f>
        <v>0.0010342396039604</v>
      </c>
      <c r="P61" s="0" t="n">
        <f aca="false">C61*E61/100*E61/100*3.1416/4*B61</f>
        <v>2.58559900990099E-006</v>
      </c>
      <c r="Q61" s="0" t="n">
        <f aca="false">Q60+O61</f>
        <v>0.184243661457303</v>
      </c>
      <c r="R61" s="0" t="n">
        <f aca="false">P61+R60</f>
        <v>0.000357572698604091</v>
      </c>
      <c r="S61" s="0" t="n">
        <f aca="false">G61/10000*C61*B61</f>
        <v>1.93919925742574E-006</v>
      </c>
      <c r="T61" s="0" t="n">
        <f aca="false">T60+S61</f>
        <v>0.000294800829081411</v>
      </c>
      <c r="U61" s="0" t="n">
        <f aca="false">IF(B61&gt;1,U60+S61,0)</f>
        <v>0</v>
      </c>
      <c r="V61" s="0" t="n">
        <f aca="false">IF(B61&gt;1,V60+O61,0)</f>
        <v>0</v>
      </c>
      <c r="W61" s="142" t="n">
        <f aca="false">G61/X61</f>
        <v>0.00011781</v>
      </c>
      <c r="X61" s="142" t="n">
        <f aca="false">X60*B60/B61</f>
        <v>5000</v>
      </c>
      <c r="Y61" s="142" t="n">
        <f aca="false">C61/(G61/10000)*$B$14*($F$21/F61)^($B$12)</f>
        <v>0.0207926089732936</v>
      </c>
      <c r="Z61" s="142" t="n">
        <f aca="false">Y61/B61</f>
        <v>0.0207926089732936</v>
      </c>
      <c r="AA61" s="142" t="n">
        <f aca="false">AA62+Z61</f>
        <v>-1.32588057671055</v>
      </c>
      <c r="AB61" s="142" t="n">
        <f aca="false">IF(B61&gt;1,AB60+Z61,0)</f>
        <v>0</v>
      </c>
      <c r="AC61" s="540" t="n">
        <f aca="false">-AA61*$B$4*2</f>
        <v>1.32588057671055</v>
      </c>
      <c r="AM61" s="142"/>
    </row>
    <row r="62" customFormat="false" ht="15.75" hidden="false" customHeight="false" outlineLevel="0" collapsed="false">
      <c r="A62" s="0" t="n">
        <f aca="false">A61+1</f>
        <v>41</v>
      </c>
      <c r="B62" s="0" t="n">
        <f aca="false">MAX(B61/$G$5,1)</f>
        <v>1</v>
      </c>
      <c r="C62" s="0" t="n">
        <f aca="false">$B$10+A62*$G$4</f>
        <v>0.0306188118811881</v>
      </c>
      <c r="D62" s="0" t="n">
        <f aca="false">(A62+1)*($B$10+$G$4*A62/2)</f>
        <v>3.26799504950495</v>
      </c>
      <c r="E62" s="0" t="n">
        <f aca="false">IF(A62&lt;$J$3,($B$6/10)*$G$5^(A62/$G$3),($B$6/10)*$G$5^($J$3/$G$3))</f>
        <v>1</v>
      </c>
      <c r="F62" s="0" t="n">
        <f aca="false">IF(A62&lt;$J$3,($B$7/10)*$G$5^(A62/$G$2),($B$7/10)*$G$5^($J$3/$G$2))</f>
        <v>0.866025403784439</v>
      </c>
      <c r="G62" s="0" t="n">
        <f aca="false">F62*F62*3.1416/4</f>
        <v>0.58905</v>
      </c>
      <c r="H62" s="0" t="n">
        <f aca="false">E62*E62*3.1416/4</f>
        <v>0.7854</v>
      </c>
      <c r="I62" s="0" t="n">
        <f aca="false">G62*B62</f>
        <v>0.58905</v>
      </c>
      <c r="J62" s="0" t="n">
        <f aca="false">H62*B62</f>
        <v>0.7854</v>
      </c>
      <c r="K62" s="0" t="n">
        <f aca="false">H62-G62</f>
        <v>0.19635</v>
      </c>
      <c r="L62" s="0" t="n">
        <f aca="false">SQRT(4*K62/3.1416)</f>
        <v>0.5</v>
      </c>
      <c r="M62" s="0" t="n">
        <f aca="false">(E62-L62)/2</f>
        <v>0.25</v>
      </c>
      <c r="N62" s="0" t="n">
        <f aca="false">E62*3.1416</f>
        <v>3.1416</v>
      </c>
      <c r="O62" s="0" t="n">
        <f aca="false">C62*3.1416*E62*B62/100</f>
        <v>0.000961920594059406</v>
      </c>
      <c r="P62" s="0" t="n">
        <f aca="false">C62*E62/100*E62/100*3.1416/4*B62</f>
        <v>2.40480148514851E-006</v>
      </c>
      <c r="Q62" s="0" t="n">
        <f aca="false">Q61+O62</f>
        <v>0.185205582051363</v>
      </c>
      <c r="R62" s="0" t="n">
        <f aca="false">P62+R61</f>
        <v>0.00035997750008924</v>
      </c>
      <c r="S62" s="0" t="n">
        <f aca="false">G62/10000*C62*B62</f>
        <v>1.80360111386139E-006</v>
      </c>
      <c r="T62" s="0" t="n">
        <f aca="false">T61+S62</f>
        <v>0.000296604430195272</v>
      </c>
      <c r="U62" s="0" t="n">
        <f aca="false">IF(B62&gt;1,U61+S62,0)</f>
        <v>0</v>
      </c>
      <c r="V62" s="0" t="n">
        <f aca="false">IF(B62&gt;1,V61+O62,0)</f>
        <v>0</v>
      </c>
      <c r="W62" s="142" t="n">
        <f aca="false">G62/X62</f>
        <v>0.00011781</v>
      </c>
      <c r="X62" s="142" t="n">
        <f aca="false">X61*B61/B62</f>
        <v>5000</v>
      </c>
      <c r="Y62" s="142" t="n">
        <f aca="false">C62/(G62/10000)*$B$14*($F$21/F62)^($B$12)</f>
        <v>0.0193386896992212</v>
      </c>
      <c r="Z62" s="142" t="n">
        <f aca="false">Y62/B62</f>
        <v>0.0193386896992212</v>
      </c>
      <c r="AA62" s="142" t="n">
        <f aca="false">AA63+Z62</f>
        <v>-1.34667318568384</v>
      </c>
      <c r="AB62" s="142" t="n">
        <f aca="false">IF(B62&gt;1,AB61+Z62,0)</f>
        <v>0</v>
      </c>
      <c r="AC62" s="540" t="n">
        <f aca="false">-AA62*$B$4*2</f>
        <v>1.34667318568384</v>
      </c>
      <c r="AM62" s="142"/>
    </row>
    <row r="63" customFormat="false" ht="15.75" hidden="false" customHeight="false" outlineLevel="0" collapsed="false">
      <c r="A63" s="0" t="n">
        <f aca="false">A62+1</f>
        <v>42</v>
      </c>
      <c r="B63" s="0" t="n">
        <f aca="false">MAX(B62/$G$5,1)</f>
        <v>1</v>
      </c>
      <c r="C63" s="0" t="n">
        <f aca="false">$B$10+A63*$G$4</f>
        <v>0.0283168316831683</v>
      </c>
      <c r="D63" s="0" t="n">
        <f aca="false">(A63+1)*($B$10+$G$4*A63/2)</f>
        <v>3.29631188118812</v>
      </c>
      <c r="E63" s="0" t="n">
        <f aca="false">IF(A63&lt;$J$3,($B$6/10)*$G$5^(A63/$G$3),($B$6/10)*$G$5^($J$3/$G$3))</f>
        <v>1</v>
      </c>
      <c r="F63" s="0" t="n">
        <f aca="false">IF(A63&lt;$J$3,($B$7/10)*$G$5^(A63/$G$2),($B$7/10)*$G$5^($J$3/$G$2))</f>
        <v>0.866025403784439</v>
      </c>
      <c r="G63" s="0" t="n">
        <f aca="false">F63*F63*3.1416/4</f>
        <v>0.58905</v>
      </c>
      <c r="H63" s="0" t="n">
        <f aca="false">E63*E63*3.1416/4</f>
        <v>0.7854</v>
      </c>
      <c r="I63" s="0" t="n">
        <f aca="false">G63*B63</f>
        <v>0.58905</v>
      </c>
      <c r="J63" s="0" t="n">
        <f aca="false">H63*B63</f>
        <v>0.7854</v>
      </c>
      <c r="K63" s="0" t="n">
        <f aca="false">H63-G63</f>
        <v>0.19635</v>
      </c>
      <c r="L63" s="0" t="n">
        <f aca="false">SQRT(4*K63/3.1416)</f>
        <v>0.5</v>
      </c>
      <c r="M63" s="0" t="n">
        <f aca="false">(E63-L63)/2</f>
        <v>0.25</v>
      </c>
      <c r="N63" s="0" t="n">
        <f aca="false">E63*3.1416</f>
        <v>3.1416</v>
      </c>
      <c r="O63" s="0" t="n">
        <f aca="false">C63*3.1416*E63*B63/100</f>
        <v>0.000889601584158416</v>
      </c>
      <c r="P63" s="0" t="n">
        <f aca="false">C63*E63/100*E63/100*3.1416/4*B63</f>
        <v>2.22400396039604E-006</v>
      </c>
      <c r="Q63" s="0" t="n">
        <f aca="false">Q62+O63</f>
        <v>0.186095183635521</v>
      </c>
      <c r="R63" s="0" t="n">
        <f aca="false">P63+R62</f>
        <v>0.000362201504049636</v>
      </c>
      <c r="S63" s="0" t="n">
        <f aca="false">G63/10000*C63*B63</f>
        <v>1.66800297029703E-006</v>
      </c>
      <c r="T63" s="0" t="n">
        <f aca="false">T62+S63</f>
        <v>0.000298272433165569</v>
      </c>
      <c r="U63" s="0" t="n">
        <f aca="false">IF(B63&gt;1,U62+S63,0)</f>
        <v>0</v>
      </c>
      <c r="V63" s="0" t="n">
        <f aca="false">IF(B63&gt;1,V62+O63,0)</f>
        <v>0</v>
      </c>
      <c r="W63" s="142" t="n">
        <f aca="false">G63/X63</f>
        <v>0.00011781</v>
      </c>
      <c r="X63" s="142" t="n">
        <f aca="false">X62*B62/B63</f>
        <v>5000</v>
      </c>
      <c r="Y63" s="142" t="n">
        <f aca="false">C63/(G63/10000)*$B$14*($F$21/F63)^($B$12)</f>
        <v>0.0178847704251488</v>
      </c>
      <c r="Z63" s="142" t="n">
        <f aca="false">Y63/B63</f>
        <v>0.0178847704251488</v>
      </c>
      <c r="AA63" s="142" t="n">
        <f aca="false">AA64+Z63</f>
        <v>-1.36601187538306</v>
      </c>
      <c r="AB63" s="142" t="n">
        <f aca="false">IF(B63&gt;1,AB62+Z63,0)</f>
        <v>0</v>
      </c>
      <c r="AC63" s="540" t="n">
        <f aca="false">-AA63*$B$4*2</f>
        <v>1.36601187538306</v>
      </c>
      <c r="AM63" s="142"/>
    </row>
    <row r="64" customFormat="false" ht="15.75" hidden="false" customHeight="false" outlineLevel="0" collapsed="false">
      <c r="A64" s="0" t="n">
        <f aca="false">A63+1</f>
        <v>43</v>
      </c>
      <c r="B64" s="0" t="n">
        <f aca="false">MAX(B63/$G$5,1)</f>
        <v>1</v>
      </c>
      <c r="C64" s="0" t="n">
        <f aca="false">$B$10+A64*$G$4</f>
        <v>0.0260148514851485</v>
      </c>
      <c r="D64" s="0" t="n">
        <f aca="false">(A64+1)*($B$10+$G$4*A64/2)</f>
        <v>3.32232673267327</v>
      </c>
      <c r="E64" s="0" t="n">
        <f aca="false">IF(A64&lt;$J$3,($B$6/10)*$G$5^(A64/$G$3),($B$6/10)*$G$5^($J$3/$G$3))</f>
        <v>1</v>
      </c>
      <c r="F64" s="0" t="n">
        <f aca="false">IF(A64&lt;$J$3,($B$7/10)*$G$5^(A64/$G$2),($B$7/10)*$G$5^($J$3/$G$2))</f>
        <v>0.866025403784439</v>
      </c>
      <c r="G64" s="0" t="n">
        <f aca="false">F64*F64*3.1416/4</f>
        <v>0.58905</v>
      </c>
      <c r="H64" s="0" t="n">
        <f aca="false">E64*E64*3.1416/4</f>
        <v>0.7854</v>
      </c>
      <c r="I64" s="0" t="n">
        <f aca="false">G64*B64</f>
        <v>0.58905</v>
      </c>
      <c r="J64" s="0" t="n">
        <f aca="false">H64*B64</f>
        <v>0.7854</v>
      </c>
      <c r="K64" s="0" t="n">
        <f aca="false">H64-G64</f>
        <v>0.19635</v>
      </c>
      <c r="L64" s="0" t="n">
        <f aca="false">SQRT(4*K64/3.1416)</f>
        <v>0.5</v>
      </c>
      <c r="M64" s="0" t="n">
        <f aca="false">(E64-L64)/2</f>
        <v>0.25</v>
      </c>
      <c r="N64" s="0" t="n">
        <f aca="false">E64*3.1416</f>
        <v>3.1416</v>
      </c>
      <c r="O64" s="0" t="n">
        <f aca="false">C64*3.1416*E64*B64/100</f>
        <v>0.000817282574257426</v>
      </c>
      <c r="P64" s="0" t="n">
        <f aca="false">C64*E64/100*E64/100*3.1416/4*B64</f>
        <v>2.04320643564356E-006</v>
      </c>
      <c r="Q64" s="0" t="n">
        <f aca="false">Q63+O64</f>
        <v>0.186912466209778</v>
      </c>
      <c r="R64" s="0" t="n">
        <f aca="false">P64+R63</f>
        <v>0.000364244710485279</v>
      </c>
      <c r="S64" s="0" t="n">
        <f aca="false">G64/10000*C64*B64</f>
        <v>1.53240482673267E-006</v>
      </c>
      <c r="T64" s="0" t="n">
        <f aca="false">T63+S64</f>
        <v>0.000299804837992302</v>
      </c>
      <c r="U64" s="0" t="n">
        <f aca="false">IF(B64&gt;1,U63+S64,0)</f>
        <v>0</v>
      </c>
      <c r="V64" s="0" t="n">
        <f aca="false">IF(B64&gt;1,V63+O64,0)</f>
        <v>0</v>
      </c>
      <c r="W64" s="142" t="n">
        <f aca="false">G64/X64</f>
        <v>0.00011781</v>
      </c>
      <c r="X64" s="142" t="n">
        <f aca="false">X63*B63/B64</f>
        <v>5000</v>
      </c>
      <c r="Y64" s="142" t="n">
        <f aca="false">C64/(G64/10000)*$B$14*($F$21/F64)^($B$12)</f>
        <v>0.0164308511510764</v>
      </c>
      <c r="Z64" s="142" t="n">
        <f aca="false">Y64/B64</f>
        <v>0.0164308511510764</v>
      </c>
      <c r="AA64" s="142" t="n">
        <f aca="false">AA65+Z64</f>
        <v>-1.38389664580821</v>
      </c>
      <c r="AB64" s="142" t="n">
        <f aca="false">IF(B64&gt;1,AB63+Z64,0)</f>
        <v>0</v>
      </c>
      <c r="AC64" s="540" t="n">
        <f aca="false">-AA64*$B$4*2</f>
        <v>1.38389664580821</v>
      </c>
      <c r="AM64" s="142"/>
    </row>
    <row r="65" customFormat="false" ht="15.75" hidden="false" customHeight="false" outlineLevel="0" collapsed="false">
      <c r="A65" s="0" t="n">
        <f aca="false">A64+1</f>
        <v>44</v>
      </c>
      <c r="B65" s="0" t="n">
        <f aca="false">MAX(B64/$G$5,1)</f>
        <v>1</v>
      </c>
      <c r="C65" s="0" t="n">
        <f aca="false">$B$10+A65*$G$4</f>
        <v>0.0237128712871287</v>
      </c>
      <c r="D65" s="0" t="n">
        <f aca="false">(A65+1)*($B$10+$G$4*A65/2)</f>
        <v>3.3460396039604</v>
      </c>
      <c r="E65" s="0" t="n">
        <f aca="false">IF(A65&lt;$J$3,($B$6/10)*$G$5^(A65/$G$3),($B$6/10)*$G$5^($J$3/$G$3))</f>
        <v>1</v>
      </c>
      <c r="F65" s="0" t="n">
        <f aca="false">IF(A65&lt;$J$3,($B$7/10)*$G$5^(A65/$G$2),($B$7/10)*$G$5^($J$3/$G$2))</f>
        <v>0.866025403784439</v>
      </c>
      <c r="G65" s="0" t="n">
        <f aca="false">F65*F65*3.1416/4</f>
        <v>0.58905</v>
      </c>
      <c r="H65" s="0" t="n">
        <f aca="false">E65*E65*3.1416/4</f>
        <v>0.7854</v>
      </c>
      <c r="I65" s="0" t="n">
        <f aca="false">G65*B65</f>
        <v>0.58905</v>
      </c>
      <c r="J65" s="0" t="n">
        <f aca="false">H65*B65</f>
        <v>0.7854</v>
      </c>
      <c r="K65" s="0" t="n">
        <f aca="false">H65-G65</f>
        <v>0.19635</v>
      </c>
      <c r="L65" s="0" t="n">
        <f aca="false">SQRT(4*K65/3.1416)</f>
        <v>0.5</v>
      </c>
      <c r="M65" s="0" t="n">
        <f aca="false">(E65-L65)/2</f>
        <v>0.25</v>
      </c>
      <c r="N65" s="0" t="n">
        <f aca="false">E65*3.1416</f>
        <v>3.1416</v>
      </c>
      <c r="O65" s="0" t="n">
        <f aca="false">C65*3.1416*E65*B65/100</f>
        <v>0.000744963564356436</v>
      </c>
      <c r="P65" s="0" t="n">
        <f aca="false">C65*E65/100*E65/100*3.1416/4*B65</f>
        <v>1.86240891089109E-006</v>
      </c>
      <c r="Q65" s="0" t="n">
        <f aca="false">Q64+O65</f>
        <v>0.187657429774135</v>
      </c>
      <c r="R65" s="0" t="n">
        <f aca="false">P65+R64</f>
        <v>0.00036610711939617</v>
      </c>
      <c r="S65" s="0" t="n">
        <f aca="false">G65/10000*C65*B65</f>
        <v>1.39680668316832E-006</v>
      </c>
      <c r="T65" s="0" t="n">
        <f aca="false">T64+S65</f>
        <v>0.00030120164467547</v>
      </c>
      <c r="U65" s="0" t="n">
        <f aca="false">IF(B65&gt;1,U64+S65,0)</f>
        <v>0</v>
      </c>
      <c r="V65" s="0" t="n">
        <f aca="false">IF(B65&gt;1,V64+O65,0)</f>
        <v>0</v>
      </c>
      <c r="W65" s="142" t="n">
        <f aca="false">G65/X65</f>
        <v>0.00011781</v>
      </c>
      <c r="X65" s="142" t="n">
        <f aca="false">X64*B64/B65</f>
        <v>5000</v>
      </c>
      <c r="Y65" s="142" t="n">
        <f aca="false">C65/(G65/10000)*$B$14*($F$21/F65)^($B$12)</f>
        <v>0.014976931877004</v>
      </c>
      <c r="Z65" s="142" t="n">
        <f aca="false">Y65/B65</f>
        <v>0.014976931877004</v>
      </c>
      <c r="AA65" s="142" t="n">
        <f aca="false">AA66+Z65</f>
        <v>-1.40032749695929</v>
      </c>
      <c r="AB65" s="142" t="n">
        <f aca="false">IF(B65&gt;1,AB64+Z65,0)</f>
        <v>0</v>
      </c>
      <c r="AC65" s="540" t="n">
        <f aca="false">-AA65*$B$4*2</f>
        <v>1.40032749695929</v>
      </c>
      <c r="AM65" s="142"/>
    </row>
    <row r="66" customFormat="false" ht="15.75" hidden="false" customHeight="false" outlineLevel="0" collapsed="false">
      <c r="A66" s="0" t="n">
        <f aca="false">A65+1</f>
        <v>45</v>
      </c>
      <c r="B66" s="0" t="n">
        <f aca="false">MAX(B65/$G$5,1)</f>
        <v>1</v>
      </c>
      <c r="C66" s="0" t="n">
        <f aca="false">$B$10+A66*$G$4</f>
        <v>0.0214108910891089</v>
      </c>
      <c r="D66" s="0" t="n">
        <f aca="false">(A66+1)*($B$10+$G$4*A66/2)</f>
        <v>3.36745049504951</v>
      </c>
      <c r="E66" s="0" t="n">
        <f aca="false">IF(A66&lt;$J$3,($B$6/10)*$G$5^(A66/$G$3),($B$6/10)*$G$5^($J$3/$G$3))</f>
        <v>1</v>
      </c>
      <c r="F66" s="0" t="n">
        <f aca="false">IF(A66&lt;$J$3,($B$7/10)*$G$5^(A66/$G$2),($B$7/10)*$G$5^($J$3/$G$2))</f>
        <v>0.866025403784439</v>
      </c>
      <c r="G66" s="0" t="n">
        <f aca="false">F66*F66*3.1416/4</f>
        <v>0.58905</v>
      </c>
      <c r="H66" s="0" t="n">
        <f aca="false">E66*E66*3.1416/4</f>
        <v>0.7854</v>
      </c>
      <c r="I66" s="0" t="n">
        <f aca="false">G66*B66</f>
        <v>0.58905</v>
      </c>
      <c r="J66" s="0" t="n">
        <f aca="false">H66*B66</f>
        <v>0.7854</v>
      </c>
      <c r="K66" s="0" t="n">
        <f aca="false">H66-G66</f>
        <v>0.19635</v>
      </c>
      <c r="L66" s="0" t="n">
        <f aca="false">SQRT(4*K66/3.1416)</f>
        <v>0.5</v>
      </c>
      <c r="M66" s="0" t="n">
        <f aca="false">(E66-L66)/2</f>
        <v>0.25</v>
      </c>
      <c r="N66" s="0" t="n">
        <f aca="false">E66*3.1416</f>
        <v>3.1416</v>
      </c>
      <c r="O66" s="0" t="n">
        <f aca="false">C66*3.1416*E66*B66/100</f>
        <v>0.000672644554455446</v>
      </c>
      <c r="P66" s="0" t="n">
        <f aca="false">C66*E66/100*E66/100*3.1416/4*B66</f>
        <v>1.68161138613861E-006</v>
      </c>
      <c r="Q66" s="0" t="n">
        <f aca="false">Q65+O66</f>
        <v>0.18833007432859</v>
      </c>
      <c r="R66" s="0" t="n">
        <f aca="false">P66+R65</f>
        <v>0.000367788730782309</v>
      </c>
      <c r="S66" s="0" t="n">
        <f aca="false">G66/10000*C66*B66</f>
        <v>1.26120853960396E-006</v>
      </c>
      <c r="T66" s="0" t="n">
        <f aca="false">T65+S66</f>
        <v>0.000302462853215074</v>
      </c>
      <c r="U66" s="0" t="n">
        <f aca="false">IF(B66&gt;1,U65+S66,0)</f>
        <v>0</v>
      </c>
      <c r="V66" s="0" t="n">
        <f aca="false">IF(B66&gt;1,V65+O66,0)</f>
        <v>0</v>
      </c>
      <c r="W66" s="142" t="n">
        <f aca="false">G66/X66</f>
        <v>0.00011781</v>
      </c>
      <c r="X66" s="142" t="n">
        <f aca="false">X65*B65/B66</f>
        <v>5000</v>
      </c>
      <c r="Y66" s="142" t="n">
        <f aca="false">C66/(G66/10000)*$B$14*($F$21/F66)^($B$12)</f>
        <v>0.0135230126029316</v>
      </c>
      <c r="Z66" s="142" t="n">
        <f aca="false">Y66/B66</f>
        <v>0.0135230126029316</v>
      </c>
      <c r="AA66" s="142" t="n">
        <f aca="false">AA67+Z66</f>
        <v>-1.41530442883629</v>
      </c>
      <c r="AB66" s="142" t="n">
        <f aca="false">IF(B66&gt;1,AB65+Z66,0)</f>
        <v>0</v>
      </c>
      <c r="AC66" s="540" t="n">
        <f aca="false">-AA66*$B$4*2</f>
        <v>1.41530442883629</v>
      </c>
      <c r="AM66" s="142"/>
    </row>
    <row r="67" customFormat="false" ht="15.75" hidden="false" customHeight="false" outlineLevel="0" collapsed="false">
      <c r="A67" s="0" t="n">
        <f aca="false">A66+1</f>
        <v>46</v>
      </c>
      <c r="B67" s="0" t="n">
        <f aca="false">MAX(B66/$G$5,1)</f>
        <v>1</v>
      </c>
      <c r="C67" s="0" t="n">
        <f aca="false">$B$10+A67*$G$4</f>
        <v>0.0191089108910891</v>
      </c>
      <c r="D67" s="0" t="n">
        <f aca="false">(A67+1)*($B$10+$G$4*A67/2)</f>
        <v>3.38655940594059</v>
      </c>
      <c r="E67" s="0" t="n">
        <f aca="false">IF(A67&lt;$J$3,($B$6/10)*$G$5^(A67/$G$3),($B$6/10)*$G$5^($J$3/$G$3))</f>
        <v>1</v>
      </c>
      <c r="F67" s="0" t="n">
        <f aca="false">IF(A67&lt;$J$3,($B$7/10)*$G$5^(A67/$G$2),($B$7/10)*$G$5^($J$3/$G$2))</f>
        <v>0.866025403784439</v>
      </c>
      <c r="G67" s="0" t="n">
        <f aca="false">F67*F67*3.1416/4</f>
        <v>0.58905</v>
      </c>
      <c r="H67" s="0" t="n">
        <f aca="false">E67*E67*3.1416/4</f>
        <v>0.7854</v>
      </c>
      <c r="I67" s="0" t="n">
        <f aca="false">G67*B67</f>
        <v>0.58905</v>
      </c>
      <c r="J67" s="0" t="n">
        <f aca="false">H67*B67</f>
        <v>0.7854</v>
      </c>
      <c r="K67" s="0" t="n">
        <f aca="false">H67-G67</f>
        <v>0.19635</v>
      </c>
      <c r="L67" s="0" t="n">
        <f aca="false">SQRT(4*K67/3.1416)</f>
        <v>0.5</v>
      </c>
      <c r="M67" s="0" t="n">
        <f aca="false">(E67-L67)/2</f>
        <v>0.25</v>
      </c>
      <c r="N67" s="0" t="n">
        <f aca="false">E67*3.1416</f>
        <v>3.1416</v>
      </c>
      <c r="O67" s="0" t="n">
        <f aca="false">C67*3.1416*E67*B67/100</f>
        <v>0.000600325544554455</v>
      </c>
      <c r="P67" s="0" t="n">
        <f aca="false">C67*E67/100*E67/100*3.1416/4*B67</f>
        <v>1.50081386138614E-006</v>
      </c>
      <c r="Q67" s="0" t="n">
        <f aca="false">Q66+O67</f>
        <v>0.188930399873145</v>
      </c>
      <c r="R67" s="0" t="n">
        <f aca="false">P67+R66</f>
        <v>0.000369289544643695</v>
      </c>
      <c r="S67" s="0" t="n">
        <f aca="false">G67/10000*C67*B67</f>
        <v>1.1256103960396E-006</v>
      </c>
      <c r="T67" s="0" t="n">
        <f aca="false">T66+S67</f>
        <v>0.000303588463611114</v>
      </c>
      <c r="U67" s="0" t="n">
        <f aca="false">IF(B67&gt;1,U66+S67,0)</f>
        <v>0</v>
      </c>
      <c r="V67" s="0" t="n">
        <f aca="false">IF(B67&gt;1,V66+O67,0)</f>
        <v>0</v>
      </c>
      <c r="W67" s="142" t="n">
        <f aca="false">G67/X67</f>
        <v>0.00011781</v>
      </c>
      <c r="X67" s="142" t="n">
        <f aca="false">X66*B66/B67</f>
        <v>5000</v>
      </c>
      <c r="Y67" s="142" t="n">
        <f aca="false">C67/(G67/10000)*$B$14*($F$21/F67)^($B$12)</f>
        <v>0.0120690933288591</v>
      </c>
      <c r="Z67" s="142" t="n">
        <f aca="false">Y67/B67</f>
        <v>0.0120690933288591</v>
      </c>
      <c r="AA67" s="142" t="n">
        <f aca="false">AA68+Z67</f>
        <v>-1.42882744143922</v>
      </c>
      <c r="AB67" s="142" t="n">
        <f aca="false">IF(B67&gt;1,AB66+Z67,0)</f>
        <v>0</v>
      </c>
      <c r="AC67" s="540" t="n">
        <f aca="false">-AA67*$B$4*2</f>
        <v>1.42882744143922</v>
      </c>
      <c r="AM67" s="142"/>
    </row>
    <row r="68" customFormat="false" ht="15.75" hidden="false" customHeight="false" outlineLevel="0" collapsed="false">
      <c r="A68" s="0" t="n">
        <f aca="false">A67+1</f>
        <v>47</v>
      </c>
      <c r="B68" s="0" t="n">
        <f aca="false">MAX(B67/$G$5,1)</f>
        <v>1</v>
      </c>
      <c r="C68" s="0" t="n">
        <f aca="false">$B$10+A68*$G$4</f>
        <v>0.0168069306930693</v>
      </c>
      <c r="D68" s="0" t="n">
        <f aca="false">(A68+1)*($B$10+$G$4*A68/2)</f>
        <v>3.40336633663366</v>
      </c>
      <c r="E68" s="0" t="n">
        <f aca="false">IF(A68&lt;$J$3,($B$6/10)*$G$5^(A68/$G$3),($B$6/10)*$G$5^($J$3/$G$3))</f>
        <v>1</v>
      </c>
      <c r="F68" s="0" t="n">
        <f aca="false">IF(A68&lt;$J$3,($B$7/10)*$G$5^(A68/$G$2),($B$7/10)*$G$5^($J$3/$G$2))</f>
        <v>0.866025403784439</v>
      </c>
      <c r="G68" s="0" t="n">
        <f aca="false">F68*F68*3.1416/4</f>
        <v>0.58905</v>
      </c>
      <c r="H68" s="0" t="n">
        <f aca="false">E68*E68*3.1416/4</f>
        <v>0.7854</v>
      </c>
      <c r="I68" s="0" t="n">
        <f aca="false">G68*B68</f>
        <v>0.58905</v>
      </c>
      <c r="J68" s="0" t="n">
        <f aca="false">H68*B68</f>
        <v>0.7854</v>
      </c>
      <c r="K68" s="0" t="n">
        <f aca="false">H68-G68</f>
        <v>0.19635</v>
      </c>
      <c r="L68" s="0" t="n">
        <f aca="false">SQRT(4*K68/3.1416)</f>
        <v>0.5</v>
      </c>
      <c r="M68" s="0" t="n">
        <f aca="false">(E68-L68)/2</f>
        <v>0.25</v>
      </c>
      <c r="N68" s="0" t="n">
        <f aca="false">E68*3.1416</f>
        <v>3.1416</v>
      </c>
      <c r="O68" s="0" t="n">
        <f aca="false">C68*3.1416*E68*B68/100</f>
        <v>0.000528006534653465</v>
      </c>
      <c r="P68" s="0" t="n">
        <f aca="false">C68*E68/100*E68/100*3.1416/4*B68</f>
        <v>1.32001633663366E-006</v>
      </c>
      <c r="Q68" s="0" t="n">
        <f aca="false">Q67+O68</f>
        <v>0.189458406407798</v>
      </c>
      <c r="R68" s="0" t="n">
        <f aca="false">P68+R67</f>
        <v>0.000370609560980329</v>
      </c>
      <c r="S68" s="0" t="n">
        <f aca="false">G68/10000*C68*B68</f>
        <v>9.90012252475247E-007</v>
      </c>
      <c r="T68" s="0" t="n">
        <f aca="false">T67+S68</f>
        <v>0.000304578475863589</v>
      </c>
      <c r="U68" s="0" t="n">
        <f aca="false">IF(B68&gt;1,U67+S68,0)</f>
        <v>0</v>
      </c>
      <c r="V68" s="0" t="n">
        <f aca="false">IF(B68&gt;1,V67+O68,0)</f>
        <v>0</v>
      </c>
      <c r="W68" s="142" t="n">
        <f aca="false">G68/X68</f>
        <v>0.00011781</v>
      </c>
      <c r="X68" s="142" t="n">
        <f aca="false">X67*B67/B68</f>
        <v>5000</v>
      </c>
      <c r="Y68" s="142" t="n">
        <f aca="false">C68/(G68/10000)*$B$14*($F$21/F68)^($B$12)</f>
        <v>0.0106151740547867</v>
      </c>
      <c r="Z68" s="142" t="n">
        <f aca="false">Y68/B68</f>
        <v>0.0106151740547867</v>
      </c>
      <c r="AA68" s="142" t="n">
        <f aca="false">AA69+Z68</f>
        <v>-1.44089653476808</v>
      </c>
      <c r="AB68" s="142" t="n">
        <f aca="false">IF(B68&gt;1,AB67+Z68,0)</f>
        <v>0</v>
      </c>
      <c r="AC68" s="540" t="n">
        <f aca="false">-AA68*$B$4*2</f>
        <v>1.44089653476808</v>
      </c>
      <c r="AM68" s="142"/>
    </row>
    <row r="69" customFormat="false" ht="15.75" hidden="false" customHeight="false" outlineLevel="0" collapsed="false">
      <c r="A69" s="0" t="n">
        <f aca="false">A68+1</f>
        <v>48</v>
      </c>
      <c r="B69" s="0" t="n">
        <f aca="false">MAX(B68/$G$5,1)</f>
        <v>1</v>
      </c>
      <c r="C69" s="0" t="n">
        <f aca="false">$B$10+A69*$G$4</f>
        <v>0.0145049504950495</v>
      </c>
      <c r="D69" s="0" t="n">
        <f aca="false">(A69+1)*($B$10+$G$4*A69/2)</f>
        <v>3.41787128712871</v>
      </c>
      <c r="E69" s="0" t="n">
        <f aca="false">IF(A69&lt;$J$3,($B$6/10)*$G$5^(A69/$G$3),($B$6/10)*$G$5^($J$3/$G$3))</f>
        <v>1</v>
      </c>
      <c r="F69" s="0" t="n">
        <f aca="false">IF(A69&lt;$J$3,($B$7/10)*$G$5^(A69/$G$2),($B$7/10)*$G$5^($J$3/$G$2))</f>
        <v>0.866025403784439</v>
      </c>
      <c r="G69" s="0" t="n">
        <f aca="false">F69*F69*3.1416/4</f>
        <v>0.58905</v>
      </c>
      <c r="H69" s="0" t="n">
        <f aca="false">E69*E69*3.1416/4</f>
        <v>0.7854</v>
      </c>
      <c r="I69" s="0" t="n">
        <f aca="false">G69*B69</f>
        <v>0.58905</v>
      </c>
      <c r="J69" s="0" t="n">
        <f aca="false">H69*B69</f>
        <v>0.7854</v>
      </c>
      <c r="K69" s="0" t="n">
        <f aca="false">H69-G69</f>
        <v>0.19635</v>
      </c>
      <c r="L69" s="0" t="n">
        <f aca="false">SQRT(4*K69/3.1416)</f>
        <v>0.5</v>
      </c>
      <c r="M69" s="0" t="n">
        <f aca="false">(E69-L69)/2</f>
        <v>0.25</v>
      </c>
      <c r="N69" s="0" t="n">
        <f aca="false">E69*3.1416</f>
        <v>3.1416</v>
      </c>
      <c r="O69" s="0" t="n">
        <f aca="false">C69*3.1416*E69*B69/100</f>
        <v>0.000455687524752476</v>
      </c>
      <c r="P69" s="0" t="n">
        <f aca="false">C69*E69/100*E69/100*3.1416/4*B69</f>
        <v>1.13921881188119E-006</v>
      </c>
      <c r="Q69" s="0" t="n">
        <f aca="false">Q68+O69</f>
        <v>0.189914093932551</v>
      </c>
      <c r="R69" s="0" t="n">
        <f aca="false">P69+R68</f>
        <v>0.00037174877979221</v>
      </c>
      <c r="S69" s="0" t="n">
        <f aca="false">G69/10000*C69*B69</f>
        <v>8.54414108910892E-007</v>
      </c>
      <c r="T69" s="0" t="n">
        <f aca="false">T68+S69</f>
        <v>0.0003054328899725</v>
      </c>
      <c r="U69" s="0" t="n">
        <f aca="false">IF(B69&gt;1,U68+S69,0)</f>
        <v>0</v>
      </c>
      <c r="V69" s="0" t="n">
        <f aca="false">IF(B69&gt;1,V68+O69,0)</f>
        <v>0</v>
      </c>
      <c r="W69" s="142" t="n">
        <f aca="false">G69/X69</f>
        <v>0.00011781</v>
      </c>
      <c r="X69" s="142" t="n">
        <f aca="false">X68*B68/B69</f>
        <v>5000</v>
      </c>
      <c r="Y69" s="142" t="n">
        <f aca="false">C69/(G69/10000)*$B$14*($F$21/F69)^($B$12)</f>
        <v>0.00916125478071433</v>
      </c>
      <c r="Z69" s="142" t="n">
        <f aca="false">Y69/B69</f>
        <v>0.00916125478071433</v>
      </c>
      <c r="AA69" s="142" t="n">
        <f aca="false">AA70+Z69</f>
        <v>-1.45151170882287</v>
      </c>
      <c r="AB69" s="142" t="n">
        <f aca="false">IF(B69&gt;1,AB68+Z69,0)</f>
        <v>0</v>
      </c>
      <c r="AC69" s="540" t="n">
        <f aca="false">-AA69*$B$4*2</f>
        <v>1.45151170882287</v>
      </c>
      <c r="AM69" s="142"/>
    </row>
    <row r="70" customFormat="false" ht="15.75" hidden="false" customHeight="false" outlineLevel="0" collapsed="false">
      <c r="A70" s="0" t="n">
        <f aca="false">A69+1</f>
        <v>49</v>
      </c>
      <c r="B70" s="0" t="n">
        <f aca="false">MAX(B69/$G$5,1)</f>
        <v>1</v>
      </c>
      <c r="C70" s="0" t="n">
        <f aca="false">$B$10+A70*$G$4</f>
        <v>0.0122029702970297</v>
      </c>
      <c r="D70" s="0" t="n">
        <f aca="false">(A70+1)*($B$10+$G$4*A70/2)</f>
        <v>3.43007425742574</v>
      </c>
      <c r="E70" s="0" t="n">
        <f aca="false">IF(A70&lt;$J$3,($B$6/10)*$G$5^(A70/$G$3),($B$6/10)*$G$5^($J$3/$G$3))</f>
        <v>1</v>
      </c>
      <c r="F70" s="0" t="n">
        <f aca="false">IF(A70&lt;$J$3,($B$7/10)*$G$5^(A70/$G$2),($B$7/10)*$G$5^($J$3/$G$2))</f>
        <v>0.866025403784439</v>
      </c>
      <c r="G70" s="0" t="n">
        <f aca="false">F70*F70*3.1416/4</f>
        <v>0.58905</v>
      </c>
      <c r="H70" s="0" t="n">
        <f aca="false">E70*E70*3.1416/4</f>
        <v>0.7854</v>
      </c>
      <c r="I70" s="0" t="n">
        <f aca="false">G70*B70</f>
        <v>0.58905</v>
      </c>
      <c r="J70" s="0" t="n">
        <f aca="false">H70*B70</f>
        <v>0.7854</v>
      </c>
      <c r="K70" s="0" t="n">
        <f aca="false">H70-G70</f>
        <v>0.19635</v>
      </c>
      <c r="L70" s="0" t="n">
        <f aca="false">SQRT(4*K70/3.1416)</f>
        <v>0.5</v>
      </c>
      <c r="M70" s="0" t="n">
        <f aca="false">(E70-L70)/2</f>
        <v>0.25</v>
      </c>
      <c r="N70" s="0" t="n">
        <f aca="false">E70*3.1416</f>
        <v>3.1416</v>
      </c>
      <c r="O70" s="0" t="n">
        <f aca="false">C70*3.1416*E70*B70/100</f>
        <v>0.000383368514851485</v>
      </c>
      <c r="P70" s="0" t="n">
        <f aca="false">C70*E70/100*E70/100*3.1416/4*B70</f>
        <v>9.58421287128714E-007</v>
      </c>
      <c r="Q70" s="0" t="n">
        <f aca="false">Q69+O70</f>
        <v>0.190297462447402</v>
      </c>
      <c r="R70" s="0" t="n">
        <f aca="false">P70+R69</f>
        <v>0.000372707201079339</v>
      </c>
      <c r="S70" s="0" t="n">
        <f aca="false">G70/10000*C70*B70</f>
        <v>7.18815965346535E-007</v>
      </c>
      <c r="T70" s="0" t="n">
        <f aca="false">T69+S70</f>
        <v>0.000306151705937847</v>
      </c>
      <c r="U70" s="0" t="n">
        <f aca="false">IF(B70&gt;1,U69+S70,0)</f>
        <v>0</v>
      </c>
      <c r="V70" s="0" t="n">
        <f aca="false">IF(B70&gt;1,V69+O70,0)</f>
        <v>0</v>
      </c>
      <c r="W70" s="142" t="n">
        <f aca="false">G70/X70</f>
        <v>0.00011781</v>
      </c>
      <c r="X70" s="142" t="n">
        <f aca="false">X69*B69/B70</f>
        <v>5000</v>
      </c>
      <c r="Y70" s="142" t="n">
        <f aca="false">C70/(G70/10000)*$B$14*($F$21/F70)^($B$12)</f>
        <v>0.00770733550664192</v>
      </c>
      <c r="Z70" s="142" t="n">
        <f aca="false">Y70/B70</f>
        <v>0.00770733550664192</v>
      </c>
      <c r="AA70" s="142" t="n">
        <f aca="false">AA71+Z70</f>
        <v>-1.46067296360358</v>
      </c>
      <c r="AB70" s="142" t="n">
        <f aca="false">IF(B70&gt;1,AB69+Z70,0)</f>
        <v>0</v>
      </c>
      <c r="AC70" s="540" t="n">
        <f aca="false">-AA70*$B$4*2</f>
        <v>1.46067296360358</v>
      </c>
      <c r="AM70" s="142"/>
    </row>
    <row r="71" customFormat="false" ht="15.75" hidden="false" customHeight="false" outlineLevel="0" collapsed="false">
      <c r="A71" s="0" t="n">
        <f aca="false">A70+1</f>
        <v>50</v>
      </c>
      <c r="B71" s="0" t="n">
        <f aca="false">MAX(B70/$G$5,1)</f>
        <v>1</v>
      </c>
      <c r="C71" s="0" t="n">
        <f aca="false">$B$10+A71*$G$4</f>
        <v>0.00990099009900991</v>
      </c>
      <c r="D71" s="0" t="n">
        <f aca="false">(A71+1)*($B$10+$G$4*A71/2)</f>
        <v>3.43997524752475</v>
      </c>
      <c r="E71" s="0" t="n">
        <f aca="false">IF(A71&lt;$J$3,($B$6/10)*$G$5^(A71/$G$3),($B$6/10)*$G$5^($J$3/$G$3))</f>
        <v>1</v>
      </c>
      <c r="F71" s="0" t="n">
        <f aca="false">IF(A71&lt;$J$3,($B$7/10)*$G$5^(A71/$G$2),($B$7/10)*$G$5^($J$3/$G$2))</f>
        <v>0.866025403784439</v>
      </c>
      <c r="G71" s="0" t="n">
        <f aca="false">F71*F71*3.1416/4</f>
        <v>0.58905</v>
      </c>
      <c r="H71" s="0" t="n">
        <f aca="false">E71*E71*3.1416/4</f>
        <v>0.7854</v>
      </c>
      <c r="I71" s="0" t="n">
        <f aca="false">G71*B71</f>
        <v>0.58905</v>
      </c>
      <c r="J71" s="0" t="n">
        <f aca="false">H71*B71</f>
        <v>0.7854</v>
      </c>
      <c r="K71" s="0" t="n">
        <f aca="false">H71-G71</f>
        <v>0.19635</v>
      </c>
      <c r="L71" s="0" t="n">
        <f aca="false">SQRT(4*K71/3.1416)</f>
        <v>0.5</v>
      </c>
      <c r="M71" s="0" t="n">
        <f aca="false">(E71-L71)/2</f>
        <v>0.25</v>
      </c>
      <c r="N71" s="0" t="n">
        <f aca="false">E71*3.1416</f>
        <v>3.1416</v>
      </c>
      <c r="O71" s="0" t="n">
        <f aca="false">C71*3.1416*E71*B71/100</f>
        <v>0.000311049504950495</v>
      </c>
      <c r="P71" s="0" t="n">
        <f aca="false">C71*E71/100*E71/100*3.1416/4*B71</f>
        <v>7.77623762376238E-007</v>
      </c>
      <c r="Q71" s="0" t="n">
        <f aca="false">Q70+O71</f>
        <v>0.190608511952353</v>
      </c>
      <c r="R71" s="0" t="n">
        <f aca="false">P71+R70</f>
        <v>0.000373484824841715</v>
      </c>
      <c r="S71" s="0" t="n">
        <f aca="false">G71/10000*C71*B71</f>
        <v>5.83217821782179E-007</v>
      </c>
      <c r="T71" s="0" t="n">
        <f aca="false">T70+S71</f>
        <v>0.000306734923759629</v>
      </c>
      <c r="U71" s="0" t="n">
        <f aca="false">IF(B71&gt;1,U70+S71,0)</f>
        <v>0</v>
      </c>
      <c r="V71" s="0" t="n">
        <f aca="false">IF(B71&gt;1,V70+O71,0)</f>
        <v>0</v>
      </c>
      <c r="W71" s="142" t="n">
        <f aca="false">G71/X71</f>
        <v>0.00011781</v>
      </c>
      <c r="X71" s="142" t="n">
        <f aca="false">X70*B70/B71</f>
        <v>5000</v>
      </c>
      <c r="Y71" s="142" t="n">
        <f aca="false">C71/(G71/10000)*$B$14*($F$21/F71)^($B$12)</f>
        <v>0.00625341623256951</v>
      </c>
      <c r="Z71" s="142" t="n">
        <f aca="false">Y71/B71</f>
        <v>0.00625341623256951</v>
      </c>
      <c r="AA71" s="142" t="n">
        <f aca="false">AA72+Z71</f>
        <v>-1.46838029911023</v>
      </c>
      <c r="AB71" s="142" t="n">
        <f aca="false">IF(B71&gt;1,AB70+Z71,0)</f>
        <v>0</v>
      </c>
      <c r="AC71" s="540" t="n">
        <f aca="false">-AA71*$B$4*2</f>
        <v>1.46838029911023</v>
      </c>
      <c r="AM71" s="142"/>
    </row>
    <row r="72" customFormat="false" ht="15.75" hidden="false" customHeight="false" outlineLevel="0" collapsed="false">
      <c r="A72" s="0" t="n">
        <f aca="false">A71+1</f>
        <v>51</v>
      </c>
      <c r="B72" s="0" t="n">
        <f aca="false">MAX(B71/$G$5,1)</f>
        <v>1</v>
      </c>
      <c r="C72" s="0" t="n">
        <f aca="false">$B$10+A72*$G$4</f>
        <v>0.00759900990099011</v>
      </c>
      <c r="D72" s="0" t="n">
        <f aca="false">(A72+1)*($B$10+$G$4*A72/2)</f>
        <v>3.44757425742574</v>
      </c>
      <c r="E72" s="0" t="n">
        <f aca="false">IF(A72&lt;$J$3,($B$6/10)*$G$5^(A72/$G$3),($B$6/10)*$G$5^($J$3/$G$3))</f>
        <v>1</v>
      </c>
      <c r="F72" s="0" t="n">
        <f aca="false">IF(A72&lt;$J$3,($B$7/10)*$G$5^(A72/$G$2),($B$7/10)*$G$5^($J$3/$G$2))</f>
        <v>0.866025403784439</v>
      </c>
      <c r="G72" s="0" t="n">
        <f aca="false">F72*F72*3.1416/4</f>
        <v>0.58905</v>
      </c>
      <c r="H72" s="0" t="n">
        <f aca="false">E72*E72*3.1416/4</f>
        <v>0.7854</v>
      </c>
      <c r="I72" s="0" t="n">
        <f aca="false">G72*B72</f>
        <v>0.58905</v>
      </c>
      <c r="J72" s="0" t="n">
        <f aca="false">H72*B72</f>
        <v>0.7854</v>
      </c>
      <c r="K72" s="0" t="n">
        <f aca="false">H72-G72</f>
        <v>0.19635</v>
      </c>
      <c r="L72" s="0" t="n">
        <f aca="false">SQRT(4*K72/3.1416)</f>
        <v>0.5</v>
      </c>
      <c r="M72" s="0" t="n">
        <f aca="false">(E72-L72)/2</f>
        <v>0.25</v>
      </c>
      <c r="N72" s="0" t="n">
        <f aca="false">E72*3.1416</f>
        <v>3.1416</v>
      </c>
      <c r="O72" s="0" t="n">
        <f aca="false">C72*3.1416*E72*B72/100</f>
        <v>0.000238730495049505</v>
      </c>
      <c r="P72" s="0" t="n">
        <f aca="false">C72*E72/100*E72/100*3.1416/4*B72</f>
        <v>5.96826237623763E-007</v>
      </c>
      <c r="Q72" s="0" t="n">
        <f aca="false">Q71+O72</f>
        <v>0.190847242447402</v>
      </c>
      <c r="R72" s="0" t="n">
        <f aca="false">P72+R71</f>
        <v>0.000374081651079339</v>
      </c>
      <c r="S72" s="0" t="n">
        <f aca="false">G72/10000*C72*B72</f>
        <v>4.47619678217822E-007</v>
      </c>
      <c r="T72" s="0" t="n">
        <f aca="false">T71+S72</f>
        <v>0.000307182543437847</v>
      </c>
      <c r="U72" s="0" t="n">
        <f aca="false">IF(B72&gt;1,U71+S72,0)</f>
        <v>0</v>
      </c>
      <c r="V72" s="0" t="n">
        <f aca="false">IF(B72&gt;1,V71+O72,0)</f>
        <v>0</v>
      </c>
      <c r="W72" s="142" t="n">
        <f aca="false">G72/X72</f>
        <v>0.00011781</v>
      </c>
      <c r="X72" s="142" t="n">
        <f aca="false">X71*B71/B72</f>
        <v>5000</v>
      </c>
      <c r="Y72" s="142" t="n">
        <f aca="false">C72/(G72/10000)*$B$14*($F$21/F72)^($B$12)</f>
        <v>0.0047994969584971</v>
      </c>
      <c r="Z72" s="142" t="n">
        <f aca="false">Y72/B72</f>
        <v>0.0047994969584971</v>
      </c>
      <c r="AA72" s="142" t="n">
        <f aca="false">AA73+Z72</f>
        <v>-1.4746337153428</v>
      </c>
      <c r="AB72" s="142" t="n">
        <f aca="false">IF(B72&gt;1,AB71+Z72,0)</f>
        <v>0</v>
      </c>
      <c r="AC72" s="540" t="n">
        <f aca="false">-AA72*$B$4*2</f>
        <v>1.4746337153428</v>
      </c>
      <c r="AM72" s="142"/>
    </row>
    <row r="73" customFormat="false" ht="15.75" hidden="false" customHeight="false" outlineLevel="0" collapsed="false">
      <c r="A73" s="0" t="n">
        <f aca="false">A72+1</f>
        <v>52</v>
      </c>
      <c r="B73" s="0" t="n">
        <f aca="false">MAX(B72/$G$5,1)</f>
        <v>1</v>
      </c>
      <c r="C73" s="0" t="n">
        <f aca="false">$B$10+A73*$G$4</f>
        <v>0.0052970297029703</v>
      </c>
      <c r="D73" s="0" t="n">
        <f aca="false">(A73+1)*($B$10+$G$4*A73/2)</f>
        <v>3.45287128712871</v>
      </c>
      <c r="E73" s="0" t="n">
        <f aca="false">IF(A73&lt;$J$3,($B$6/10)*$G$5^(A73/$G$3),($B$6/10)*$G$5^($J$3/$G$3))</f>
        <v>1</v>
      </c>
      <c r="F73" s="0" t="n">
        <f aca="false">IF(A73&lt;$J$3,($B$7/10)*$G$5^(A73/$G$2),($B$7/10)*$G$5^($J$3/$G$2))</f>
        <v>0.866025403784439</v>
      </c>
      <c r="G73" s="0" t="n">
        <f aca="false">F73*F73*3.1416/4</f>
        <v>0.58905</v>
      </c>
      <c r="H73" s="0" t="n">
        <f aca="false">E73*E73*3.1416/4</f>
        <v>0.7854</v>
      </c>
      <c r="I73" s="0" t="n">
        <f aca="false">G73*B73</f>
        <v>0.58905</v>
      </c>
      <c r="J73" s="0" t="n">
        <f aca="false">H73*B73</f>
        <v>0.7854</v>
      </c>
      <c r="K73" s="0" t="n">
        <f aca="false">H73-G73</f>
        <v>0.19635</v>
      </c>
      <c r="L73" s="0" t="n">
        <f aca="false">SQRT(4*K73/3.1416)</f>
        <v>0.5</v>
      </c>
      <c r="M73" s="0" t="n">
        <f aca="false">(E73-L73)/2</f>
        <v>0.25</v>
      </c>
      <c r="N73" s="0" t="n">
        <f aca="false">E73*3.1416</f>
        <v>3.1416</v>
      </c>
      <c r="O73" s="0" t="n">
        <f aca="false">C73*3.1416*E73*B73/100</f>
        <v>0.000166411485148515</v>
      </c>
      <c r="P73" s="0" t="n">
        <f aca="false">C73*E73/100*E73/100*3.1416/4*B73</f>
        <v>4.16028712871287E-007</v>
      </c>
      <c r="Q73" s="0" t="n">
        <f aca="false">Q72+O73</f>
        <v>0.191013653932551</v>
      </c>
      <c r="R73" s="0" t="n">
        <f aca="false">P73+R72</f>
        <v>0.00037449767979221</v>
      </c>
      <c r="S73" s="0" t="n">
        <f aca="false">G73/10000*C73*B73</f>
        <v>3.12021534653466E-007</v>
      </c>
      <c r="T73" s="0" t="n">
        <f aca="false">T72+S73</f>
        <v>0.0003074945649725</v>
      </c>
      <c r="U73" s="0" t="n">
        <f aca="false">IF(B73&gt;1,U72+S73,0)</f>
        <v>0</v>
      </c>
      <c r="V73" s="0" t="n">
        <f aca="false">IF(B73&gt;1,V72+O73,0)</f>
        <v>0</v>
      </c>
      <c r="W73" s="142" t="n">
        <f aca="false">G73/X73</f>
        <v>0.00011781</v>
      </c>
      <c r="X73" s="142" t="n">
        <f aca="false">X72*B72/B73</f>
        <v>5000</v>
      </c>
      <c r="Y73" s="142" t="n">
        <f aca="false">C73/(G73/10000)*$B$14*($F$21/F73)^($B$12)</f>
        <v>0.00334557768442469</v>
      </c>
      <c r="Z73" s="142" t="n">
        <f aca="false">Y73/B73</f>
        <v>0.00334557768442469</v>
      </c>
      <c r="AA73" s="142" t="n">
        <f aca="false">AA74+Z73</f>
        <v>-1.47943321230129</v>
      </c>
      <c r="AB73" s="142" t="n">
        <f aca="false">IF(B73&gt;1,AB72+Z73,0)</f>
        <v>0</v>
      </c>
      <c r="AC73" s="540" t="n">
        <f aca="false">-AA73*$B$4*2</f>
        <v>1.47943321230129</v>
      </c>
      <c r="AM73" s="142"/>
    </row>
    <row r="74" customFormat="false" ht="15.75" hidden="false" customHeight="false" outlineLevel="0" collapsed="false">
      <c r="A74" s="0" t="n">
        <f aca="false">A73+1</f>
        <v>53</v>
      </c>
      <c r="B74" s="0" t="n">
        <f aca="false">MAX(B73/$G$5,1)</f>
        <v>1</v>
      </c>
      <c r="C74" s="0" t="n">
        <f aca="false">$B$10+A74*$G$4</f>
        <v>0.0029950495049505</v>
      </c>
      <c r="D74" s="0" t="n">
        <f aca="false">(A74+1)*($B$10+$G$4*A74/2)</f>
        <v>3.45586633663366</v>
      </c>
      <c r="E74" s="0" t="n">
        <f aca="false">IF(A74&lt;$J$3,($B$6/10)*$G$5^(A74/$G$3),($B$6/10)*$G$5^($J$3/$G$3))</f>
        <v>1</v>
      </c>
      <c r="F74" s="0" t="n">
        <f aca="false">IF(A74&lt;$J$3,($B$7/10)*$G$5^(A74/$G$2),($B$7/10)*$G$5^($J$3/$G$2))</f>
        <v>0.866025403784439</v>
      </c>
      <c r="G74" s="0" t="n">
        <f aca="false">F74*F74*3.1416/4</f>
        <v>0.58905</v>
      </c>
      <c r="H74" s="0" t="n">
        <f aca="false">E74*E74*3.1416/4</f>
        <v>0.7854</v>
      </c>
      <c r="I74" s="0" t="n">
        <f aca="false">G74*B74</f>
        <v>0.58905</v>
      </c>
      <c r="J74" s="0" t="n">
        <f aca="false">H74*B74</f>
        <v>0.7854</v>
      </c>
      <c r="K74" s="0" t="n">
        <f aca="false">H74-G74</f>
        <v>0.19635</v>
      </c>
      <c r="L74" s="0" t="n">
        <f aca="false">SQRT(4*K74/3.1416)</f>
        <v>0.5</v>
      </c>
      <c r="M74" s="0" t="n">
        <f aca="false">(E74-L74)/2</f>
        <v>0.25</v>
      </c>
      <c r="N74" s="0" t="n">
        <f aca="false">E74*3.1416</f>
        <v>3.1416</v>
      </c>
      <c r="O74" s="0" t="n">
        <f aca="false">C74*3.1416*E74*B74/100</f>
        <v>9.40924752475248E-005</v>
      </c>
      <c r="P74" s="0" t="n">
        <f aca="false">C74*E74/100*E74/100*3.1416/4*B74</f>
        <v>2.35231188118812E-007</v>
      </c>
      <c r="Q74" s="0" t="n">
        <f aca="false">Q73+O74</f>
        <v>0.191107746407798</v>
      </c>
      <c r="R74" s="0" t="n">
        <f aca="false">P74+R73</f>
        <v>0.000374732910980329</v>
      </c>
      <c r="S74" s="0" t="n">
        <f aca="false">G74/10000*C74*B74</f>
        <v>1.76423391089109E-007</v>
      </c>
      <c r="T74" s="0" t="n">
        <f aca="false">T73+S74</f>
        <v>0.000307670988363589</v>
      </c>
      <c r="U74" s="0" t="n">
        <f aca="false">IF(B74&gt;1,U73+S74,0)</f>
        <v>0</v>
      </c>
      <c r="V74" s="0" t="n">
        <f aca="false">IF(B74&gt;1,V73+O74,0)</f>
        <v>0</v>
      </c>
      <c r="W74" s="142" t="n">
        <f aca="false">G74/X74</f>
        <v>0.00011781</v>
      </c>
      <c r="X74" s="142" t="n">
        <f aca="false">X73*B73/B74</f>
        <v>5000</v>
      </c>
      <c r="Y74" s="142" t="n">
        <f aca="false">C74/(G74/10000)*$B$14*($F$21/F74)^($B$12)</f>
        <v>0.00189165841035228</v>
      </c>
      <c r="Z74" s="142" t="n">
        <f aca="false">Y74/B74</f>
        <v>0.00189165841035228</v>
      </c>
      <c r="AA74" s="142" t="n">
        <f aca="false">AA75+Z74</f>
        <v>-1.48277878998572</v>
      </c>
      <c r="AB74" s="142" t="n">
        <f aca="false">IF(B74&gt;1,AB73+Z74,0)</f>
        <v>0</v>
      </c>
      <c r="AC74" s="540" t="n">
        <f aca="false">-AA74*$B$4*2</f>
        <v>1.48277878998572</v>
      </c>
      <c r="AM74" s="142"/>
    </row>
    <row r="75" customFormat="false" ht="15.75" hidden="false" customHeight="false" outlineLevel="0" collapsed="false">
      <c r="A75" s="0" t="n">
        <f aca="false">A74+1</f>
        <v>54</v>
      </c>
      <c r="B75" s="0" t="n">
        <f aca="false">MAX(B74/$G$5,1)</f>
        <v>1</v>
      </c>
      <c r="C75" s="0" t="n">
        <f aca="false">$B$10+A75*$G$4</f>
        <v>0.000693069306930694</v>
      </c>
      <c r="D75" s="0" t="n">
        <f aca="false">(A75+1)*($B$10+$G$4*A75/2)</f>
        <v>3.45655940594059</v>
      </c>
      <c r="E75" s="0" t="n">
        <f aca="false">IF(A75&lt;$J$3,($B$6/10)*$G$5^(A75/$G$3),($B$6/10)*$G$5^($J$3/$G$3))</f>
        <v>1</v>
      </c>
      <c r="F75" s="0" t="n">
        <f aca="false">IF(A75&lt;$J$3,($B$7/10)*$G$5^(A75/$G$2),($B$7/10)*$G$5^($J$3/$G$2))</f>
        <v>0.866025403784439</v>
      </c>
      <c r="G75" s="0" t="n">
        <f aca="false">F75*F75*3.1416/4</f>
        <v>0.58905</v>
      </c>
      <c r="H75" s="0" t="n">
        <f aca="false">E75*E75*3.1416/4</f>
        <v>0.7854</v>
      </c>
      <c r="I75" s="0" t="n">
        <f aca="false">G75*B75</f>
        <v>0.58905</v>
      </c>
      <c r="J75" s="0" t="n">
        <f aca="false">H75*B75</f>
        <v>0.7854</v>
      </c>
      <c r="K75" s="0" t="n">
        <f aca="false">H75-G75</f>
        <v>0.19635</v>
      </c>
      <c r="L75" s="0" t="n">
        <f aca="false">SQRT(4*K75/3.1416)</f>
        <v>0.5</v>
      </c>
      <c r="M75" s="0" t="n">
        <f aca="false">(E75-L75)/2</f>
        <v>0.25</v>
      </c>
      <c r="N75" s="0" t="n">
        <f aca="false">E75*3.1416</f>
        <v>3.1416</v>
      </c>
      <c r="O75" s="0" t="n">
        <f aca="false">C75*3.1416*E75*B75/100</f>
        <v>2.17734653465347E-005</v>
      </c>
      <c r="P75" s="0" t="n">
        <f aca="false">C75*E75/100*E75/100*3.1416/4*B75</f>
        <v>5.44336633663367E-008</v>
      </c>
      <c r="Q75" s="0" t="n">
        <f aca="false">Q74+O75</f>
        <v>0.191129519873145</v>
      </c>
      <c r="R75" s="0" t="n">
        <f aca="false">P75+R74</f>
        <v>0.000374787344643695</v>
      </c>
      <c r="S75" s="0" t="n">
        <f aca="false">G75/10000*C75*B75</f>
        <v>4.08252475247525E-008</v>
      </c>
      <c r="T75" s="0" t="n">
        <f aca="false">T74+S75</f>
        <v>0.000307711813611114</v>
      </c>
      <c r="U75" s="0" t="n">
        <f aca="false">IF(B75&gt;1,U74+S75,0)</f>
        <v>0</v>
      </c>
      <c r="V75" s="0" t="n">
        <f aca="false">IF(B75&gt;1,V74+O75,0)</f>
        <v>0</v>
      </c>
      <c r="W75" s="142" t="n">
        <f aca="false">G75/X75</f>
        <v>0.00011781</v>
      </c>
      <c r="X75" s="142" t="n">
        <f aca="false">X74*B74/B75</f>
        <v>5000</v>
      </c>
      <c r="Y75" s="142" t="n">
        <f aca="false">C75/(G75/10000)*$B$14*($F$21/F75)^($B$12)</f>
        <v>0.000437739136279866</v>
      </c>
      <c r="Z75" s="142" t="n">
        <f aca="false">Y75/B75</f>
        <v>0.000437739136279866</v>
      </c>
      <c r="AA75" s="142" t="n">
        <f aca="false">AA76+Z75</f>
        <v>-1.48467044839607</v>
      </c>
      <c r="AB75" s="142" t="n">
        <f aca="false">IF(B75&gt;1,AB74+Z75,0)</f>
        <v>0</v>
      </c>
      <c r="AC75" s="540" t="n">
        <f aca="false">-AA75*$B$4*2</f>
        <v>1.48467044839607</v>
      </c>
      <c r="AM75" s="142"/>
    </row>
    <row r="76" customFormat="false" ht="15.75" hidden="false" customHeight="false" outlineLevel="0" collapsed="false">
      <c r="A76" s="0" t="n">
        <f aca="false">A75+1</f>
        <v>55</v>
      </c>
      <c r="B76" s="0" t="n">
        <f aca="false">MAX(B75/$G$5,1)</f>
        <v>1</v>
      </c>
      <c r="C76" s="0" t="n">
        <f aca="false">$B$10+A76*$G$4</f>
        <v>-0.00160891089108911</v>
      </c>
      <c r="D76" s="0" t="n">
        <f aca="false">(A76+1)*($B$10+$G$4*A76/2)</f>
        <v>3.4549504950495</v>
      </c>
      <c r="E76" s="0" t="n">
        <f aca="false">IF(A76&lt;$J$3,($B$6/10)*$G$5^(A76/$G$3),($B$6/10)*$G$5^($J$3/$G$3))</f>
        <v>1</v>
      </c>
      <c r="F76" s="0" t="n">
        <f aca="false">IF(A76&lt;$J$3,($B$7/10)*$G$5^(A76/$G$2),($B$7/10)*$G$5^($J$3/$G$2))</f>
        <v>0.866025403784439</v>
      </c>
      <c r="G76" s="0" t="n">
        <f aca="false">F76*F76*3.1416/4</f>
        <v>0.58905</v>
      </c>
      <c r="H76" s="0" t="n">
        <f aca="false">E76*E76*3.1416/4</f>
        <v>0.7854</v>
      </c>
      <c r="I76" s="0" t="n">
        <f aca="false">G76*B76</f>
        <v>0.58905</v>
      </c>
      <c r="J76" s="0" t="n">
        <f aca="false">H76*B76</f>
        <v>0.7854</v>
      </c>
      <c r="K76" s="0" t="n">
        <f aca="false">H76-G76</f>
        <v>0.19635</v>
      </c>
      <c r="L76" s="0" t="n">
        <f aca="false">SQRT(4*K76/3.1416)</f>
        <v>0.5</v>
      </c>
      <c r="M76" s="0" t="n">
        <f aca="false">(E76-L76)/2</f>
        <v>0.25</v>
      </c>
      <c r="N76" s="0" t="n">
        <f aca="false">E76*3.1416</f>
        <v>3.1416</v>
      </c>
      <c r="O76" s="0" t="n">
        <f aca="false">C76*3.1416*E76*B76/100</f>
        <v>-5.05455445544555E-005</v>
      </c>
      <c r="P76" s="0" t="n">
        <f aca="false">C76*E76/100*E76/100*3.1416/4*B76</f>
        <v>-1.26363861386139E-007</v>
      </c>
      <c r="Q76" s="0" t="n">
        <f aca="false">Q75+O76</f>
        <v>0.19107897432859</v>
      </c>
      <c r="R76" s="0" t="n">
        <f aca="false">P76+R75</f>
        <v>0.000374660980782309</v>
      </c>
      <c r="S76" s="0" t="n">
        <f aca="false">G76/10000*C76*B76</f>
        <v>-9.4772896039604E-008</v>
      </c>
      <c r="T76" s="0" t="n">
        <f aca="false">T75+S76</f>
        <v>0.000307617040715074</v>
      </c>
      <c r="U76" s="0" t="n">
        <f aca="false">IF(B76&gt;1,U75+S76,0)</f>
        <v>0</v>
      </c>
      <c r="V76" s="0" t="n">
        <f aca="false">IF(B76&gt;1,V75+O76,0)</f>
        <v>0</v>
      </c>
      <c r="W76" s="142" t="n">
        <f aca="false">G76/X76</f>
        <v>0.00011781</v>
      </c>
      <c r="X76" s="142" t="n">
        <f aca="false">X75*B75/B76</f>
        <v>5000</v>
      </c>
      <c r="Y76" s="142" t="n">
        <f aca="false">C76/(G76/10000)*$B$14*($F$21/F76)^($B$12)</f>
        <v>-0.00101618013779255</v>
      </c>
      <c r="Z76" s="142" t="n">
        <f aca="false">Y76/B76</f>
        <v>-0.00101618013779255</v>
      </c>
      <c r="AA76" s="142" t="n">
        <f aca="false">AA77+Z76</f>
        <v>-1.48510818753235</v>
      </c>
      <c r="AB76" s="142" t="n">
        <f aca="false">IF(B76&gt;1,AB75+Z76,0)</f>
        <v>0</v>
      </c>
      <c r="AC76" s="540" t="n">
        <f aca="false">-AA76*$B$4*2</f>
        <v>1.48510818753235</v>
      </c>
      <c r="AM76" s="142"/>
    </row>
    <row r="77" customFormat="false" ht="15.75" hidden="false" customHeight="false" outlineLevel="0" collapsed="false">
      <c r="A77" s="0" t="n">
        <f aca="false">A76+1</f>
        <v>56</v>
      </c>
      <c r="B77" s="0" t="n">
        <f aca="false">MAX(B76/$G$5,1)</f>
        <v>1</v>
      </c>
      <c r="C77" s="0" t="n">
        <f aca="false">$B$10+A77*$G$4</f>
        <v>-0.00391089108910891</v>
      </c>
      <c r="D77" s="0" t="n">
        <f aca="false">(A77+1)*($B$10+$G$4*A77/2)</f>
        <v>3.4510396039604</v>
      </c>
      <c r="E77" s="0" t="n">
        <f aca="false">IF(A77&lt;$J$3,($B$6/10)*$G$5^(A77/$G$3),($B$6/10)*$G$5^($J$3/$G$3))</f>
        <v>1</v>
      </c>
      <c r="F77" s="0" t="n">
        <f aca="false">IF(A77&lt;$J$3,($B$7/10)*$G$5^(A77/$G$2),($B$7/10)*$G$5^($J$3/$G$2))</f>
        <v>0.866025403784439</v>
      </c>
      <c r="G77" s="0" t="n">
        <f aca="false">F77*F77*3.1416/4</f>
        <v>0.58905</v>
      </c>
      <c r="H77" s="0" t="n">
        <f aca="false">E77*E77*3.1416/4</f>
        <v>0.7854</v>
      </c>
      <c r="I77" s="0" t="n">
        <f aca="false">G77*B77</f>
        <v>0.58905</v>
      </c>
      <c r="J77" s="0" t="n">
        <f aca="false">H77*B77</f>
        <v>0.7854</v>
      </c>
      <c r="K77" s="0" t="n">
        <f aca="false">H77-G77</f>
        <v>0.19635</v>
      </c>
      <c r="L77" s="0" t="n">
        <f aca="false">SQRT(4*K77/3.1416)</f>
        <v>0.5</v>
      </c>
      <c r="M77" s="0" t="n">
        <f aca="false">(E77-L77)/2</f>
        <v>0.25</v>
      </c>
      <c r="N77" s="0" t="n">
        <f aca="false">E77*3.1416</f>
        <v>3.1416</v>
      </c>
      <c r="O77" s="0" t="n">
        <f aca="false">C77*3.1416*E77*B77/100</f>
        <v>-0.000122864554455446</v>
      </c>
      <c r="P77" s="0" t="n">
        <f aca="false">C77*E77/100*E77/100*3.1416/4*B77</f>
        <v>-3.07161386138614E-007</v>
      </c>
      <c r="Q77" s="0" t="n">
        <f aca="false">Q76+O77</f>
        <v>0.190956109774135</v>
      </c>
      <c r="R77" s="0" t="n">
        <f aca="false">P77+R76</f>
        <v>0.00037435381939617</v>
      </c>
      <c r="S77" s="0" t="n">
        <f aca="false">G77/10000*C77*B77</f>
        <v>-2.30371039603961E-007</v>
      </c>
      <c r="T77" s="0" t="n">
        <f aca="false">T76+S77</f>
        <v>0.00030738666967547</v>
      </c>
      <c r="U77" s="0" t="n">
        <f aca="false">IF(B77&gt;1,U76+S77,0)</f>
        <v>0</v>
      </c>
      <c r="V77" s="0" t="n">
        <f aca="false">IF(B77&gt;1,V76+O77,0)</f>
        <v>0</v>
      </c>
      <c r="W77" s="142" t="n">
        <f aca="false">G77/X77</f>
        <v>0.00011781</v>
      </c>
      <c r="X77" s="142" t="n">
        <f aca="false">X76*B76/B77</f>
        <v>5000</v>
      </c>
      <c r="Y77" s="142" t="n">
        <f aca="false">C77/(G77/10000)*$B$14*($F$21/F77)^($B$12)</f>
        <v>-0.00247009941186496</v>
      </c>
      <c r="Z77" s="142" t="n">
        <f aca="false">Y77/B77</f>
        <v>-0.00247009941186496</v>
      </c>
      <c r="AA77" s="142" t="n">
        <f aca="false">AA78+Z77</f>
        <v>-1.48409200739456</v>
      </c>
      <c r="AB77" s="142" t="n">
        <f aca="false">IF(B77&gt;1,AB76+Z77,0)</f>
        <v>0</v>
      </c>
      <c r="AC77" s="540" t="n">
        <f aca="false">-AA77*$B$4*2</f>
        <v>1.48409200739456</v>
      </c>
      <c r="AM77" s="142"/>
    </row>
    <row r="78" customFormat="false" ht="15.75" hidden="false" customHeight="false" outlineLevel="0" collapsed="false">
      <c r="A78" s="0" t="n">
        <f aca="false">A77+1</f>
        <v>57</v>
      </c>
      <c r="B78" s="0" t="n">
        <f aca="false">MAX(B77/$G$5,1)</f>
        <v>1</v>
      </c>
      <c r="C78" s="0" t="n">
        <f aca="false">$B$10+A78*$G$4</f>
        <v>-0.00621287128712872</v>
      </c>
      <c r="D78" s="0" t="n">
        <f aca="false">(A78+1)*($B$10+$G$4*A78/2)</f>
        <v>3.44482673267327</v>
      </c>
      <c r="E78" s="0" t="n">
        <f aca="false">IF(A78&lt;$J$3,($B$6/10)*$G$5^(A78/$G$3),($B$6/10)*$G$5^($J$3/$G$3))</f>
        <v>1</v>
      </c>
      <c r="F78" s="0" t="n">
        <f aca="false">IF(A78&lt;$J$3,($B$7/10)*$G$5^(A78/$G$2),($B$7/10)*$G$5^($J$3/$G$2))</f>
        <v>0.866025403784439</v>
      </c>
      <c r="G78" s="0" t="n">
        <f aca="false">F78*F78*3.1416/4</f>
        <v>0.58905</v>
      </c>
      <c r="H78" s="0" t="n">
        <f aca="false">E78*E78*3.1416/4</f>
        <v>0.7854</v>
      </c>
      <c r="I78" s="0" t="n">
        <f aca="false">G78*B78</f>
        <v>0.58905</v>
      </c>
      <c r="J78" s="0" t="n">
        <f aca="false">H78*B78</f>
        <v>0.7854</v>
      </c>
      <c r="K78" s="0" t="n">
        <f aca="false">H78-G78</f>
        <v>0.19635</v>
      </c>
      <c r="L78" s="0" t="n">
        <f aca="false">SQRT(4*K78/3.1416)</f>
        <v>0.5</v>
      </c>
      <c r="M78" s="0" t="n">
        <f aca="false">(E78-L78)/2</f>
        <v>0.25</v>
      </c>
      <c r="N78" s="0" t="n">
        <f aca="false">E78*3.1416</f>
        <v>3.1416</v>
      </c>
      <c r="O78" s="0" t="n">
        <f aca="false">C78*3.1416*E78*B78/100</f>
        <v>-0.000195183564356436</v>
      </c>
      <c r="P78" s="0" t="n">
        <f aca="false">C78*E78/100*E78/100*3.1416/4*B78</f>
        <v>-4.87958910891089E-007</v>
      </c>
      <c r="Q78" s="0" t="n">
        <f aca="false">Q77+O78</f>
        <v>0.190760926209778</v>
      </c>
      <c r="R78" s="0" t="n">
        <f aca="false">P78+R77</f>
        <v>0.000373865860485279</v>
      </c>
      <c r="S78" s="0" t="n">
        <f aca="false">G78/10000*C78*B78</f>
        <v>-3.65969183168317E-007</v>
      </c>
      <c r="T78" s="0" t="n">
        <f aca="false">T77+S78</f>
        <v>0.000307020700492302</v>
      </c>
      <c r="U78" s="0" t="n">
        <f aca="false">IF(B78&gt;1,U77+S78,0)</f>
        <v>0</v>
      </c>
      <c r="V78" s="0" t="n">
        <f aca="false">IF(B78&gt;1,V77+O78,0)</f>
        <v>0</v>
      </c>
      <c r="W78" s="142" t="n">
        <f aca="false">G78/X78</f>
        <v>0.00011781</v>
      </c>
      <c r="X78" s="142" t="n">
        <f aca="false">X77*B77/B78</f>
        <v>5000</v>
      </c>
      <c r="Y78" s="142" t="n">
        <f aca="false">C78/(G78/10000)*$B$14*($F$21/F78)^($B$12)</f>
        <v>-0.00392401868593737</v>
      </c>
      <c r="Z78" s="142" t="n">
        <f aca="false">Y78/B78</f>
        <v>-0.00392401868593737</v>
      </c>
      <c r="AA78" s="142" t="n">
        <f aca="false">AA79+Z78</f>
        <v>-1.48162190798269</v>
      </c>
      <c r="AB78" s="142" t="n">
        <f aca="false">IF(B78&gt;1,AB77+Z78,0)</f>
        <v>0</v>
      </c>
      <c r="AC78" s="540" t="n">
        <f aca="false">-AA78*$B$4*2</f>
        <v>1.48162190798269</v>
      </c>
      <c r="AM78" s="142"/>
    </row>
    <row r="79" customFormat="false" ht="15.75" hidden="false" customHeight="false" outlineLevel="0" collapsed="false">
      <c r="A79" s="0" t="n">
        <f aca="false">A78+1</f>
        <v>58</v>
      </c>
      <c r="B79" s="0" t="n">
        <f aca="false">MAX(B78/$G$5,1)</f>
        <v>1</v>
      </c>
      <c r="C79" s="0" t="n">
        <f aca="false">$B$10+A79*$G$4</f>
        <v>-0.00851485148514849</v>
      </c>
      <c r="D79" s="0" t="n">
        <f aca="false">(A79+1)*($B$10+$G$4*A79/2)</f>
        <v>3.43631188118812</v>
      </c>
      <c r="E79" s="0" t="n">
        <f aca="false">IF(A79&lt;$J$3,($B$6/10)*$G$5^(A79/$G$3),($B$6/10)*$G$5^($J$3/$G$3))</f>
        <v>1</v>
      </c>
      <c r="F79" s="0" t="n">
        <f aca="false">IF(A79&lt;$J$3,($B$7/10)*$G$5^(A79/$G$2),($B$7/10)*$G$5^($J$3/$G$2))</f>
        <v>0.866025403784439</v>
      </c>
      <c r="G79" s="0" t="n">
        <f aca="false">F79*F79*3.1416/4</f>
        <v>0.58905</v>
      </c>
      <c r="H79" s="0" t="n">
        <f aca="false">E79*E79*3.1416/4</f>
        <v>0.7854</v>
      </c>
      <c r="I79" s="0" t="n">
        <f aca="false">G79*B79</f>
        <v>0.58905</v>
      </c>
      <c r="J79" s="0" t="n">
        <f aca="false">H79*B79</f>
        <v>0.7854</v>
      </c>
      <c r="K79" s="0" t="n">
        <f aca="false">H79-G79</f>
        <v>0.19635</v>
      </c>
      <c r="L79" s="0" t="n">
        <f aca="false">SQRT(4*K79/3.1416)</f>
        <v>0.5</v>
      </c>
      <c r="M79" s="0" t="n">
        <f aca="false">(E79-L79)/2</f>
        <v>0.25</v>
      </c>
      <c r="N79" s="0" t="n">
        <f aca="false">E79*3.1416</f>
        <v>3.1416</v>
      </c>
      <c r="O79" s="0" t="n">
        <f aca="false">C79*3.1416*E79*B79/100</f>
        <v>-0.000267502574257425</v>
      </c>
      <c r="P79" s="0" t="n">
        <f aca="false">C79*E79/100*E79/100*3.1416/4*B79</f>
        <v>-6.68756435643563E-007</v>
      </c>
      <c r="Q79" s="0" t="n">
        <f aca="false">Q78+O79</f>
        <v>0.190493423635521</v>
      </c>
      <c r="R79" s="0" t="n">
        <f aca="false">P79+R78</f>
        <v>0.000373197104049636</v>
      </c>
      <c r="S79" s="0" t="n">
        <f aca="false">G79/10000*C79*B79</f>
        <v>-5.01567326732672E-007</v>
      </c>
      <c r="T79" s="0" t="n">
        <f aca="false">T78+S79</f>
        <v>0.000306519133165569</v>
      </c>
      <c r="U79" s="0" t="n">
        <f aca="false">IF(B79&gt;1,U78+S79,0)</f>
        <v>0</v>
      </c>
      <c r="V79" s="0" t="n">
        <f aca="false">IF(B79&gt;1,V78+O79,0)</f>
        <v>0</v>
      </c>
      <c r="W79" s="142" t="n">
        <f aca="false">G79/X79</f>
        <v>0.00011781</v>
      </c>
      <c r="X79" s="142" t="n">
        <f aca="false">X78*B78/B79</f>
        <v>5000</v>
      </c>
      <c r="Y79" s="142" t="n">
        <f aca="false">C79/(G79/10000)*$B$14*($F$21/F79)^($B$12)</f>
        <v>-0.00537793796000976</v>
      </c>
      <c r="Z79" s="142" t="n">
        <f aca="false">Y79/B79</f>
        <v>-0.00537793796000976</v>
      </c>
      <c r="AA79" s="142" t="n">
        <f aca="false">AA80+Z79</f>
        <v>-1.47769788929676</v>
      </c>
      <c r="AB79" s="142" t="n">
        <f aca="false">IF(B79&gt;1,AB78+Z79,0)</f>
        <v>0</v>
      </c>
      <c r="AC79" s="540" t="n">
        <f aca="false">-AA79*$B$4*2</f>
        <v>1.47769788929676</v>
      </c>
      <c r="AM79" s="142"/>
    </row>
    <row r="80" customFormat="false" ht="15.75" hidden="false" customHeight="false" outlineLevel="0" collapsed="false">
      <c r="A80" s="0" t="n">
        <f aca="false">A79+1</f>
        <v>59</v>
      </c>
      <c r="B80" s="0" t="n">
        <f aca="false">MAX(B79/$G$5,1)</f>
        <v>1</v>
      </c>
      <c r="C80" s="0" t="n">
        <f aca="false">$B$10+A80*$G$4</f>
        <v>-0.0108168316831683</v>
      </c>
      <c r="D80" s="0" t="n">
        <f aca="false">(A80+1)*($B$10+$G$4*A80/2)</f>
        <v>3.42549504950495</v>
      </c>
      <c r="E80" s="0" t="n">
        <f aca="false">IF(A80&lt;$J$3,($B$6/10)*$G$5^(A80/$G$3),($B$6/10)*$G$5^($J$3/$G$3))</f>
        <v>1</v>
      </c>
      <c r="F80" s="0" t="n">
        <f aca="false">IF(A80&lt;$J$3,($B$7/10)*$G$5^(A80/$G$2),($B$7/10)*$G$5^($J$3/$G$2))</f>
        <v>0.866025403784439</v>
      </c>
      <c r="G80" s="0" t="n">
        <f aca="false">F80*F80*3.1416/4</f>
        <v>0.58905</v>
      </c>
      <c r="H80" s="0" t="n">
        <f aca="false">E80*E80*3.1416/4</f>
        <v>0.7854</v>
      </c>
      <c r="I80" s="0" t="n">
        <f aca="false">G80*B80</f>
        <v>0.58905</v>
      </c>
      <c r="J80" s="0" t="n">
        <f aca="false">H80*B80</f>
        <v>0.7854</v>
      </c>
      <c r="K80" s="0" t="n">
        <f aca="false">H80-G80</f>
        <v>0.19635</v>
      </c>
      <c r="L80" s="0" t="n">
        <f aca="false">SQRT(4*K80/3.1416)</f>
        <v>0.5</v>
      </c>
      <c r="M80" s="0" t="n">
        <f aca="false">(E80-L80)/2</f>
        <v>0.25</v>
      </c>
      <c r="N80" s="0" t="n">
        <f aca="false">E80*3.1416</f>
        <v>3.1416</v>
      </c>
      <c r="O80" s="0" t="n">
        <f aca="false">C80*3.1416*E80*B80/100</f>
        <v>-0.000339821584158415</v>
      </c>
      <c r="P80" s="0" t="n">
        <f aca="false">C80*E80/100*E80/100*3.1416/4*B80</f>
        <v>-8.49553960396038E-007</v>
      </c>
      <c r="Q80" s="0" t="n">
        <f aca="false">Q79+O80</f>
        <v>0.190153602051363</v>
      </c>
      <c r="R80" s="0" t="n">
        <f aca="false">P80+R79</f>
        <v>0.00037234755008924</v>
      </c>
      <c r="S80" s="0" t="n">
        <f aca="false">G80/10000*C80*B80</f>
        <v>-6.37165470297029E-007</v>
      </c>
      <c r="T80" s="0" t="n">
        <f aca="false">T79+S80</f>
        <v>0.000305881967695272</v>
      </c>
      <c r="U80" s="0" t="n">
        <f aca="false">IF(B80&gt;1,U79+S80,0)</f>
        <v>0</v>
      </c>
      <c r="V80" s="0" t="n">
        <f aca="false">IF(B80&gt;1,V79+O80,0)</f>
        <v>0</v>
      </c>
      <c r="W80" s="142" t="n">
        <f aca="false">G80/X80</f>
        <v>0.00011781</v>
      </c>
      <c r="X80" s="142" t="n">
        <f aca="false">X79*B79/B80</f>
        <v>5000</v>
      </c>
      <c r="Y80" s="142" t="n">
        <f aca="false">C80/(G80/10000)*$B$14*($F$21/F80)^($B$12)</f>
        <v>-0.00683185723408217</v>
      </c>
      <c r="Z80" s="142" t="n">
        <f aca="false">Y80/B80</f>
        <v>-0.00683185723408217</v>
      </c>
      <c r="AA80" s="142" t="n">
        <f aca="false">AA81+Z80</f>
        <v>-1.47231995133675</v>
      </c>
      <c r="AB80" s="142" t="n">
        <f aca="false">IF(B80&gt;1,AB79+Z80,0)</f>
        <v>0</v>
      </c>
      <c r="AC80" s="540" t="n">
        <f aca="false">-AA80*$B$4*2</f>
        <v>1.47231995133675</v>
      </c>
      <c r="AM80" s="142"/>
    </row>
    <row r="81" customFormat="false" ht="15.75" hidden="false" customHeight="false" outlineLevel="0" collapsed="false">
      <c r="A81" s="0" t="n">
        <f aca="false">A80+1</f>
        <v>60</v>
      </c>
      <c r="B81" s="0" t="n">
        <f aca="false">MAX(B80/$G$5,1)</f>
        <v>1</v>
      </c>
      <c r="C81" s="0" t="n">
        <f aca="false">$B$10+A81*$G$4</f>
        <v>-0.0131188118811881</v>
      </c>
      <c r="D81" s="0" t="n">
        <f aca="false">(A81+1)*($B$10+$G$4*A81/2)</f>
        <v>3.41237623762376</v>
      </c>
      <c r="E81" s="0" t="n">
        <f aca="false">IF(A81&lt;$J$3,($B$6/10)*$G$5^(A81/$G$3),($B$6/10)*$G$5^($J$3/$G$3))</f>
        <v>1</v>
      </c>
      <c r="F81" s="0" t="n">
        <f aca="false">IF(A81&lt;$J$3,($B$7/10)*$G$5^(A81/$G$2),($B$7/10)*$G$5^($J$3/$G$2))</f>
        <v>0.866025403784439</v>
      </c>
      <c r="G81" s="0" t="n">
        <f aca="false">F81*F81*3.1416/4</f>
        <v>0.58905</v>
      </c>
      <c r="H81" s="0" t="n">
        <f aca="false">E81*E81*3.1416/4</f>
        <v>0.7854</v>
      </c>
      <c r="I81" s="0" t="n">
        <f aca="false">G81*B81</f>
        <v>0.58905</v>
      </c>
      <c r="J81" s="0" t="n">
        <f aca="false">H81*B81</f>
        <v>0.7854</v>
      </c>
      <c r="K81" s="0" t="n">
        <f aca="false">H81-G81</f>
        <v>0.19635</v>
      </c>
      <c r="L81" s="0" t="n">
        <f aca="false">SQRT(4*K81/3.1416)</f>
        <v>0.5</v>
      </c>
      <c r="M81" s="0" t="n">
        <f aca="false">(E81-L81)/2</f>
        <v>0.25</v>
      </c>
      <c r="N81" s="0" t="n">
        <f aca="false">E81*3.1416</f>
        <v>3.1416</v>
      </c>
      <c r="O81" s="0" t="n">
        <f aca="false">C81*3.1416*E81*B81/100</f>
        <v>-0.000412140594059405</v>
      </c>
      <c r="P81" s="0" t="n">
        <f aca="false">C81*E81/100*E81/100*3.1416/4*B81</f>
        <v>-1.03035148514851E-006</v>
      </c>
      <c r="Q81" s="0" t="n">
        <f aca="false">Q80+O81</f>
        <v>0.189741461457303</v>
      </c>
      <c r="R81" s="0" t="n">
        <f aca="false">P81+R80</f>
        <v>0.000371317198604091</v>
      </c>
      <c r="S81" s="0" t="n">
        <f aca="false">G81/10000*C81*B81</f>
        <v>-7.72763613861385E-007</v>
      </c>
      <c r="T81" s="0" t="n">
        <f aca="false">T80+S81</f>
        <v>0.000305109204081411</v>
      </c>
      <c r="U81" s="0" t="n">
        <f aca="false">IF(B81&gt;1,U80+S81,0)</f>
        <v>0</v>
      </c>
      <c r="V81" s="0" t="n">
        <f aca="false">IF(B81&gt;1,V80+O81,0)</f>
        <v>0</v>
      </c>
      <c r="W81" s="142" t="n">
        <f aca="false">G81/X81</f>
        <v>0.00011781</v>
      </c>
      <c r="X81" s="142" t="n">
        <f aca="false">X80*B80/B81</f>
        <v>5000</v>
      </c>
      <c r="Y81" s="142" t="n">
        <f aca="false">C81/(G81/10000)*$B$14*($F$21/F81)^($B$12)</f>
        <v>-0.00828577650815458</v>
      </c>
      <c r="Z81" s="142" t="n">
        <f aca="false">Y81/B81</f>
        <v>-0.00828577650815458</v>
      </c>
      <c r="AA81" s="142" t="n">
        <f aca="false">AA82+Z81</f>
        <v>-1.46548809410266</v>
      </c>
      <c r="AB81" s="142" t="n">
        <f aca="false">IF(B81&gt;1,AB80+Z81,0)</f>
        <v>0</v>
      </c>
      <c r="AC81" s="540" t="n">
        <f aca="false">-AA81*$B$4*2</f>
        <v>1.46548809410266</v>
      </c>
      <c r="AM81" s="142"/>
    </row>
    <row r="82" customFormat="false" ht="15.75" hidden="false" customHeight="false" outlineLevel="0" collapsed="false">
      <c r="A82" s="0" t="n">
        <f aca="false">A81+1</f>
        <v>61</v>
      </c>
      <c r="B82" s="0" t="n">
        <f aca="false">MAX(B81/$G$5,1)</f>
        <v>1</v>
      </c>
      <c r="C82" s="0" t="n">
        <f aca="false">$B$10+A82*$G$4</f>
        <v>-0.0154207920792079</v>
      </c>
      <c r="D82" s="0" t="n">
        <f aca="false">(A82+1)*($B$10+$G$4*A82/2)</f>
        <v>3.39695544554455</v>
      </c>
      <c r="E82" s="0" t="n">
        <f aca="false">IF(A82&lt;$J$3,($B$6/10)*$G$5^(A82/$G$3),($B$6/10)*$G$5^($J$3/$G$3))</f>
        <v>1</v>
      </c>
      <c r="F82" s="0" t="n">
        <f aca="false">IF(A82&lt;$J$3,($B$7/10)*$G$5^(A82/$G$2),($B$7/10)*$G$5^($J$3/$G$2))</f>
        <v>0.866025403784439</v>
      </c>
      <c r="G82" s="0" t="n">
        <f aca="false">F82*F82*3.1416/4</f>
        <v>0.58905</v>
      </c>
      <c r="H82" s="0" t="n">
        <f aca="false">E82*E82*3.1416/4</f>
        <v>0.7854</v>
      </c>
      <c r="I82" s="0" t="n">
        <f aca="false">G82*B82</f>
        <v>0.58905</v>
      </c>
      <c r="J82" s="0" t="n">
        <f aca="false">H82*B82</f>
        <v>0.7854</v>
      </c>
      <c r="K82" s="0" t="n">
        <f aca="false">H82-G82</f>
        <v>0.19635</v>
      </c>
      <c r="L82" s="0" t="n">
        <f aca="false">SQRT(4*K82/3.1416)</f>
        <v>0.5</v>
      </c>
      <c r="M82" s="0" t="n">
        <f aca="false">(E82-L82)/2</f>
        <v>0.25</v>
      </c>
      <c r="N82" s="0" t="n">
        <f aca="false">E82*3.1416</f>
        <v>3.1416</v>
      </c>
      <c r="O82" s="0" t="n">
        <f aca="false">C82*3.1416*E82*B82/100</f>
        <v>-0.000484459603960396</v>
      </c>
      <c r="P82" s="0" t="n">
        <f aca="false">C82*E82/100*E82/100*3.1416/4*B82</f>
        <v>-1.21114900990099E-006</v>
      </c>
      <c r="Q82" s="0" t="n">
        <f aca="false">Q81+O82</f>
        <v>0.189257001853343</v>
      </c>
      <c r="R82" s="0" t="n">
        <f aca="false">P82+R81</f>
        <v>0.00037010604959419</v>
      </c>
      <c r="S82" s="0" t="n">
        <f aca="false">G82/10000*C82*B82</f>
        <v>-9.08361757425742E-007</v>
      </c>
      <c r="T82" s="0" t="n">
        <f aca="false">T81+S82</f>
        <v>0.000304200842323985</v>
      </c>
      <c r="U82" s="0" t="n">
        <f aca="false">IF(B82&gt;1,U81+S82,0)</f>
        <v>0</v>
      </c>
      <c r="V82" s="0" t="n">
        <f aca="false">IF(B82&gt;1,V81+O82,0)</f>
        <v>0</v>
      </c>
      <c r="W82" s="142" t="n">
        <f aca="false">G82/X82</f>
        <v>0.00011781</v>
      </c>
      <c r="X82" s="142" t="n">
        <f aca="false">X81*B81/B82</f>
        <v>5000</v>
      </c>
      <c r="Y82" s="142" t="n">
        <f aca="false">C82/(G82/10000)*$B$14*($F$21/F82)^($B$12)</f>
        <v>-0.00973969578222699</v>
      </c>
      <c r="Z82" s="142" t="n">
        <f aca="false">Y82/B82</f>
        <v>-0.00973969578222699</v>
      </c>
      <c r="AA82" s="142" t="n">
        <f aca="false">AA83+Z82</f>
        <v>-1.45720231759451</v>
      </c>
      <c r="AB82" s="142" t="n">
        <f aca="false">IF(B82&gt;1,AB81+Z82,0)</f>
        <v>0</v>
      </c>
      <c r="AC82" s="540" t="n">
        <f aca="false">-AA82*$B$4*2</f>
        <v>1.45720231759451</v>
      </c>
      <c r="AM82" s="142"/>
    </row>
    <row r="83" customFormat="false" ht="15.75" hidden="false" customHeight="false" outlineLevel="0" collapsed="false">
      <c r="A83" s="0" t="n">
        <f aca="false">A82+1</f>
        <v>62</v>
      </c>
      <c r="B83" s="0" t="n">
        <f aca="false">MAX(B82/$G$5,1)</f>
        <v>1</v>
      </c>
      <c r="C83" s="0" t="n">
        <f aca="false">$B$10+A83*$G$4</f>
        <v>-0.0177227722772277</v>
      </c>
      <c r="D83" s="0" t="n">
        <f aca="false">(A83+1)*($B$10+$G$4*A83/2)</f>
        <v>3.37923267326733</v>
      </c>
      <c r="E83" s="0" t="n">
        <f aca="false">IF(A83&lt;$J$3,($B$6/10)*$G$5^(A83/$G$3),($B$6/10)*$G$5^($J$3/$G$3))</f>
        <v>1</v>
      </c>
      <c r="F83" s="0" t="n">
        <f aca="false">IF(A83&lt;$J$3,($B$7/10)*$G$5^(A83/$G$2),($B$7/10)*$G$5^($J$3/$G$2))</f>
        <v>0.866025403784439</v>
      </c>
      <c r="G83" s="0" t="n">
        <f aca="false">F83*F83*3.1416/4</f>
        <v>0.58905</v>
      </c>
      <c r="H83" s="0" t="n">
        <f aca="false">E83*E83*3.1416/4</f>
        <v>0.7854</v>
      </c>
      <c r="I83" s="0" t="n">
        <f aca="false">G83*B83</f>
        <v>0.58905</v>
      </c>
      <c r="J83" s="0" t="n">
        <f aca="false">H83*B83</f>
        <v>0.7854</v>
      </c>
      <c r="K83" s="0" t="n">
        <f aca="false">H83-G83</f>
        <v>0.19635</v>
      </c>
      <c r="L83" s="0" t="n">
        <f aca="false">SQRT(4*K83/3.1416)</f>
        <v>0.5</v>
      </c>
      <c r="M83" s="0" t="n">
        <f aca="false">(E83-L83)/2</f>
        <v>0.25</v>
      </c>
      <c r="N83" s="0" t="n">
        <f aca="false">E83*3.1416</f>
        <v>3.1416</v>
      </c>
      <c r="O83" s="0" t="n">
        <f aca="false">C83*3.1416*E83*B83/100</f>
        <v>-0.000556778613861386</v>
      </c>
      <c r="P83" s="0" t="n">
        <f aca="false">C83*E83/100*E83/100*3.1416/4*B83</f>
        <v>-1.39194653465346E-006</v>
      </c>
      <c r="Q83" s="0" t="n">
        <f aca="false">Q82+O83</f>
        <v>0.188700223239481</v>
      </c>
      <c r="R83" s="0" t="n">
        <f aca="false">P83+R82</f>
        <v>0.000368714103059537</v>
      </c>
      <c r="S83" s="0" t="n">
        <f aca="false">G83/10000*C83*B83</f>
        <v>-1.0439599009901E-006</v>
      </c>
      <c r="T83" s="0" t="n">
        <f aca="false">T82+S83</f>
        <v>0.000303156882422995</v>
      </c>
      <c r="U83" s="0" t="n">
        <f aca="false">IF(B83&gt;1,U82+S83,0)</f>
        <v>0</v>
      </c>
      <c r="V83" s="0" t="n">
        <f aca="false">IF(B83&gt;1,V82+O83,0)</f>
        <v>0</v>
      </c>
      <c r="W83" s="142" t="n">
        <f aca="false">G83/X83</f>
        <v>0.00011781</v>
      </c>
      <c r="X83" s="142" t="n">
        <f aca="false">X82*B82/B83</f>
        <v>5000</v>
      </c>
      <c r="Y83" s="142" t="n">
        <f aca="false">C83/(G83/10000)*$B$14*($F$21/F83)^($B$12)</f>
        <v>-0.0111936150562994</v>
      </c>
      <c r="Z83" s="142" t="n">
        <f aca="false">Y83/B83</f>
        <v>-0.0111936150562994</v>
      </c>
      <c r="AA83" s="142" t="n">
        <f aca="false">AA84+Z83</f>
        <v>-1.44746262181228</v>
      </c>
      <c r="AB83" s="142" t="n">
        <f aca="false">IF(B83&gt;1,AB82+Z83,0)</f>
        <v>0</v>
      </c>
      <c r="AC83" s="540" t="n">
        <f aca="false">-AA83*$B$4*2</f>
        <v>1.44746262181228</v>
      </c>
      <c r="AM83" s="142"/>
    </row>
    <row r="84" customFormat="false" ht="15.75" hidden="false" customHeight="false" outlineLevel="0" collapsed="false">
      <c r="A84" s="0" t="n">
        <f aca="false">A83+1</f>
        <v>63</v>
      </c>
      <c r="B84" s="0" t="n">
        <f aca="false">MAX(B83/$G$5,1)</f>
        <v>1</v>
      </c>
      <c r="C84" s="0" t="n">
        <f aca="false">$B$10+A84*$G$4</f>
        <v>-0.0200247524752475</v>
      </c>
      <c r="D84" s="0" t="n">
        <f aca="false">(A84+1)*($B$10+$G$4*A84/2)</f>
        <v>3.35920792079208</v>
      </c>
      <c r="E84" s="0" t="n">
        <f aca="false">IF(A84&lt;$J$3,($B$6/10)*$G$5^(A84/$G$3),($B$6/10)*$G$5^($J$3/$G$3))</f>
        <v>1</v>
      </c>
      <c r="F84" s="0" t="n">
        <f aca="false">IF(A84&lt;$J$3,($B$7/10)*$G$5^(A84/$G$2),($B$7/10)*$G$5^($J$3/$G$2))</f>
        <v>0.866025403784439</v>
      </c>
      <c r="G84" s="0" t="n">
        <f aca="false">F84*F84*3.1416/4</f>
        <v>0.58905</v>
      </c>
      <c r="H84" s="0" t="n">
        <f aca="false">E84*E84*3.1416/4</f>
        <v>0.7854</v>
      </c>
      <c r="I84" s="0" t="n">
        <f aca="false">G84*B84</f>
        <v>0.58905</v>
      </c>
      <c r="J84" s="0" t="n">
        <f aca="false">H84*B84</f>
        <v>0.7854</v>
      </c>
      <c r="K84" s="0" t="n">
        <f aca="false">H84-G84</f>
        <v>0.19635</v>
      </c>
      <c r="L84" s="0" t="n">
        <f aca="false">SQRT(4*K84/3.1416)</f>
        <v>0.5</v>
      </c>
      <c r="M84" s="0" t="n">
        <f aca="false">(E84-L84)/2</f>
        <v>0.25</v>
      </c>
      <c r="N84" s="0" t="n">
        <f aca="false">E84*3.1416</f>
        <v>3.1416</v>
      </c>
      <c r="O84" s="0" t="n">
        <f aca="false">C84*3.1416*E84*B84/100</f>
        <v>-0.000629097623762376</v>
      </c>
      <c r="P84" s="0" t="n">
        <f aca="false">C84*E84/100*E84/100*3.1416/4*B84</f>
        <v>-1.57274405940594E-006</v>
      </c>
      <c r="Q84" s="0" t="n">
        <f aca="false">Q83+O84</f>
        <v>0.188071125615719</v>
      </c>
      <c r="R84" s="0" t="n">
        <f aca="false">P84+R83</f>
        <v>0.000367141359000131</v>
      </c>
      <c r="S84" s="0" t="n">
        <f aca="false">G84/10000*C84*B84</f>
        <v>-1.17955804455445E-006</v>
      </c>
      <c r="T84" s="0" t="n">
        <f aca="false">T83+S84</f>
        <v>0.000301977324378441</v>
      </c>
      <c r="U84" s="0" t="n">
        <f aca="false">IF(B84&gt;1,U83+S84,0)</f>
        <v>0</v>
      </c>
      <c r="V84" s="0" t="n">
        <f aca="false">IF(B84&gt;1,V83+O84,0)</f>
        <v>0</v>
      </c>
      <c r="W84" s="142" t="n">
        <f aca="false">G84/X84</f>
        <v>0.00011781</v>
      </c>
      <c r="X84" s="142" t="n">
        <f aca="false">X83*B83/B84</f>
        <v>5000</v>
      </c>
      <c r="Y84" s="142" t="n">
        <f aca="false">C84/(G84/10000)*$B$14*($F$21/F84)^($B$12)</f>
        <v>-0.0126475343303718</v>
      </c>
      <c r="Z84" s="142" t="n">
        <f aca="false">Y84/B84</f>
        <v>-0.0126475343303718</v>
      </c>
      <c r="AA84" s="142" t="n">
        <f aca="false">AA85+Z84</f>
        <v>-1.43626900675598</v>
      </c>
      <c r="AB84" s="142" t="n">
        <f aca="false">IF(B84&gt;1,AB83+Z84,0)</f>
        <v>0</v>
      </c>
      <c r="AC84" s="540" t="n">
        <f aca="false">-AA84*$B$4*2</f>
        <v>1.43626900675598</v>
      </c>
      <c r="AM84" s="142"/>
    </row>
    <row r="85" customFormat="false" ht="15.75" hidden="false" customHeight="false" outlineLevel="0" collapsed="false">
      <c r="A85" s="0" t="n">
        <f aca="false">A84+1</f>
        <v>64</v>
      </c>
      <c r="B85" s="0" t="n">
        <f aca="false">MAX(B84/$G$5,1)</f>
        <v>1</v>
      </c>
      <c r="C85" s="0" t="n">
        <f aca="false">$B$10+A85*$G$4</f>
        <v>-0.0223267326732673</v>
      </c>
      <c r="D85" s="0" t="n">
        <f aca="false">(A85+1)*($B$10+$G$4*A85/2)</f>
        <v>3.33688118811881</v>
      </c>
      <c r="E85" s="0" t="n">
        <f aca="false">IF(A85&lt;$J$3,($B$6/10)*$G$5^(A85/$G$3),($B$6/10)*$G$5^($J$3/$G$3))</f>
        <v>1</v>
      </c>
      <c r="F85" s="0" t="n">
        <f aca="false">IF(A85&lt;$J$3,($B$7/10)*$G$5^(A85/$G$2),($B$7/10)*$G$5^($J$3/$G$2))</f>
        <v>0.866025403784439</v>
      </c>
      <c r="G85" s="0" t="n">
        <f aca="false">F85*F85*3.1416/4</f>
        <v>0.58905</v>
      </c>
      <c r="H85" s="0" t="n">
        <f aca="false">E85*E85*3.1416/4</f>
        <v>0.7854</v>
      </c>
      <c r="I85" s="0" t="n">
        <f aca="false">G85*B85</f>
        <v>0.58905</v>
      </c>
      <c r="J85" s="0" t="n">
        <f aca="false">H85*B85</f>
        <v>0.7854</v>
      </c>
      <c r="K85" s="0" t="n">
        <f aca="false">H85-G85</f>
        <v>0.19635</v>
      </c>
      <c r="L85" s="0" t="n">
        <f aca="false">SQRT(4*K85/3.1416)</f>
        <v>0.5</v>
      </c>
      <c r="M85" s="0" t="n">
        <f aca="false">(E85-L85)/2</f>
        <v>0.25</v>
      </c>
      <c r="N85" s="0" t="n">
        <f aca="false">E85*3.1416</f>
        <v>3.1416</v>
      </c>
      <c r="O85" s="0" t="n">
        <f aca="false">C85*3.1416*E85*B85/100</f>
        <v>-0.000701416633663366</v>
      </c>
      <c r="P85" s="0" t="n">
        <f aca="false">C85*E85/100*E85/100*3.1416/4*B85</f>
        <v>-1.75354158415841E-006</v>
      </c>
      <c r="Q85" s="0" t="n">
        <f aca="false">Q84+O85</f>
        <v>0.187369708982056</v>
      </c>
      <c r="R85" s="0" t="n">
        <f aca="false">P85+R84</f>
        <v>0.000365387817415972</v>
      </c>
      <c r="S85" s="0" t="n">
        <f aca="false">G85/10000*C85*B85</f>
        <v>-1.31515618811881E-006</v>
      </c>
      <c r="T85" s="0" t="n">
        <f aca="false">T84+S85</f>
        <v>0.000300662168190322</v>
      </c>
      <c r="U85" s="0" t="n">
        <f aca="false">IF(B85&gt;1,U84+S85,0)</f>
        <v>0</v>
      </c>
      <c r="V85" s="0" t="n">
        <f aca="false">IF(B85&gt;1,V84+O85,0)</f>
        <v>0</v>
      </c>
      <c r="W85" s="142" t="n">
        <f aca="false">G85/X85</f>
        <v>0.00011781</v>
      </c>
      <c r="X85" s="142" t="n">
        <f aca="false">X84*B84/B85</f>
        <v>5000</v>
      </c>
      <c r="Y85" s="142" t="n">
        <f aca="false">C85/(G85/10000)*$B$14*($F$21/F85)^($B$12)</f>
        <v>-0.0141014536044442</v>
      </c>
      <c r="Z85" s="142" t="n">
        <f aca="false">Y85/B85</f>
        <v>-0.0141014536044442</v>
      </c>
      <c r="AA85" s="142" t="n">
        <f aca="false">AA86+Z85</f>
        <v>-1.42362147242561</v>
      </c>
      <c r="AB85" s="142" t="n">
        <f aca="false">IF(B85&gt;1,AB84+Z85,0)</f>
        <v>0</v>
      </c>
      <c r="AC85" s="540" t="n">
        <f aca="false">-AA85*$B$4*2</f>
        <v>1.42362147242561</v>
      </c>
      <c r="AM85" s="142"/>
    </row>
    <row r="86" customFormat="false" ht="15.75" hidden="false" customHeight="false" outlineLevel="0" collapsed="false">
      <c r="A86" s="0" t="n">
        <f aca="false">A85+1</f>
        <v>65</v>
      </c>
      <c r="B86" s="0" t="n">
        <f aca="false">MAX(B85/$G$5,1)</f>
        <v>1</v>
      </c>
      <c r="C86" s="0" t="n">
        <f aca="false">$B$10+A86*$G$4</f>
        <v>-0.0246287128712871</v>
      </c>
      <c r="D86" s="0" t="n">
        <f aca="false">(A86+1)*($B$10+$G$4*A86/2)</f>
        <v>3.31225247524752</v>
      </c>
      <c r="E86" s="0" t="n">
        <f aca="false">IF(A86&lt;$J$3,($B$6/10)*$G$5^(A86/$G$3),($B$6/10)*$G$5^($J$3/$G$3))</f>
        <v>1</v>
      </c>
      <c r="F86" s="0" t="n">
        <f aca="false">IF(A86&lt;$J$3,($B$7/10)*$G$5^(A86/$G$2),($B$7/10)*$G$5^($J$3/$G$2))</f>
        <v>0.866025403784439</v>
      </c>
      <c r="G86" s="0" t="n">
        <f aca="false">F86*F86*3.1416/4</f>
        <v>0.58905</v>
      </c>
      <c r="H86" s="0" t="n">
        <f aca="false">E86*E86*3.1416/4</f>
        <v>0.7854</v>
      </c>
      <c r="I86" s="0" t="n">
        <f aca="false">G86*B86</f>
        <v>0.58905</v>
      </c>
      <c r="J86" s="0" t="n">
        <f aca="false">H86*B86</f>
        <v>0.7854</v>
      </c>
      <c r="K86" s="0" t="n">
        <f aca="false">H86-G86</f>
        <v>0.19635</v>
      </c>
      <c r="L86" s="0" t="n">
        <f aca="false">SQRT(4*K86/3.1416)</f>
        <v>0.5</v>
      </c>
      <c r="M86" s="0" t="n">
        <f aca="false">(E86-L86)/2</f>
        <v>0.25</v>
      </c>
      <c r="N86" s="0" t="n">
        <f aca="false">E86*3.1416</f>
        <v>3.1416</v>
      </c>
      <c r="O86" s="0" t="n">
        <f aca="false">C86*3.1416*E86*B86/100</f>
        <v>-0.000773735643564356</v>
      </c>
      <c r="P86" s="0" t="n">
        <f aca="false">C86*E86/100*E86/100*3.1416/4*B86</f>
        <v>-1.93433910891089E-006</v>
      </c>
      <c r="Q86" s="0" t="n">
        <f aca="false">Q85+O86</f>
        <v>0.186595973338491</v>
      </c>
      <c r="R86" s="0" t="n">
        <f aca="false">P86+R85</f>
        <v>0.000363453478307061</v>
      </c>
      <c r="S86" s="0" t="n">
        <f aca="false">G86/10000*C86*B86</f>
        <v>-1.45075433168317E-006</v>
      </c>
      <c r="T86" s="0" t="n">
        <f aca="false">T85+S86</f>
        <v>0.000299211413858639</v>
      </c>
      <c r="U86" s="0" t="n">
        <f aca="false">IF(B86&gt;1,U85+S86,0)</f>
        <v>0</v>
      </c>
      <c r="V86" s="0" t="n">
        <f aca="false">IF(B86&gt;1,V85+O86,0)</f>
        <v>0</v>
      </c>
      <c r="W86" s="142" t="n">
        <f aca="false">G86/X86</f>
        <v>0.00011781</v>
      </c>
      <c r="X86" s="142" t="n">
        <f aca="false">X85*B85/B86</f>
        <v>5000</v>
      </c>
      <c r="Y86" s="142" t="n">
        <f aca="false">C86/(G86/10000)*$B$14*($F$21/F86)^($B$12)</f>
        <v>-0.0155553728785166</v>
      </c>
      <c r="Z86" s="142" t="n">
        <f aca="false">Y86/B86</f>
        <v>-0.0155553728785166</v>
      </c>
      <c r="AA86" s="142" t="n">
        <f aca="false">AA87+Z86</f>
        <v>-1.40952001882117</v>
      </c>
      <c r="AB86" s="142" t="n">
        <f aca="false">IF(B86&gt;1,AB85+Z86,0)</f>
        <v>0</v>
      </c>
      <c r="AC86" s="540" t="n">
        <f aca="false">-AA86*$B$4*2</f>
        <v>1.40952001882117</v>
      </c>
      <c r="AM86" s="142"/>
    </row>
    <row r="87" customFormat="false" ht="15.75" hidden="false" customHeight="false" outlineLevel="0" collapsed="false">
      <c r="A87" s="0" t="n">
        <f aca="false">A86+1</f>
        <v>66</v>
      </c>
      <c r="B87" s="0" t="n">
        <f aca="false">MAX(B86/$G$5,1)</f>
        <v>1</v>
      </c>
      <c r="C87" s="0" t="n">
        <f aca="false">$B$10+A87*$G$4</f>
        <v>-0.0269306930693069</v>
      </c>
      <c r="D87" s="0" t="n">
        <f aca="false">(A87+1)*($B$10+$G$4*A87/2)</f>
        <v>3.28532178217822</v>
      </c>
      <c r="E87" s="0" t="n">
        <f aca="false">IF(A87&lt;$J$3,($B$6/10)*$G$5^(A87/$G$3),($B$6/10)*$G$5^($J$3/$G$3))</f>
        <v>1</v>
      </c>
      <c r="F87" s="0" t="n">
        <f aca="false">IF(A87&lt;$J$3,($B$7/10)*$G$5^(A87/$G$2),($B$7/10)*$G$5^($J$3/$G$2))</f>
        <v>0.866025403784439</v>
      </c>
      <c r="G87" s="0" t="n">
        <f aca="false">F87*F87*3.1416/4</f>
        <v>0.58905</v>
      </c>
      <c r="H87" s="0" t="n">
        <f aca="false">E87*E87*3.1416/4</f>
        <v>0.7854</v>
      </c>
      <c r="I87" s="0" t="n">
        <f aca="false">G87*B87</f>
        <v>0.58905</v>
      </c>
      <c r="J87" s="0" t="n">
        <f aca="false">H87*B87</f>
        <v>0.7854</v>
      </c>
      <c r="K87" s="0" t="n">
        <f aca="false">H87-G87</f>
        <v>0.19635</v>
      </c>
      <c r="L87" s="0" t="n">
        <f aca="false">SQRT(4*K87/3.1416)</f>
        <v>0.5</v>
      </c>
      <c r="M87" s="0" t="n">
        <f aca="false">(E87-L87)/2</f>
        <v>0.25</v>
      </c>
      <c r="N87" s="0" t="n">
        <f aca="false">E87*3.1416</f>
        <v>3.1416</v>
      </c>
      <c r="O87" s="0" t="n">
        <f aca="false">C87*3.1416*E87*B87/100</f>
        <v>-0.000846054653465346</v>
      </c>
      <c r="P87" s="0" t="n">
        <f aca="false">C87*E87/100*E87/100*3.1416/4*B87</f>
        <v>-2.11513663366337E-006</v>
      </c>
      <c r="Q87" s="0" t="n">
        <f aca="false">Q86+O87</f>
        <v>0.185749918685026</v>
      </c>
      <c r="R87" s="0" t="n">
        <f aca="false">P87+R86</f>
        <v>0.000361338341673398</v>
      </c>
      <c r="S87" s="0" t="n">
        <f aca="false">G87/10000*C87*B87</f>
        <v>-1.58635247524752E-006</v>
      </c>
      <c r="T87" s="0" t="n">
        <f aca="false">T86+S87</f>
        <v>0.000297625061383391</v>
      </c>
      <c r="U87" s="0" t="n">
        <f aca="false">IF(B87&gt;1,U86+S87,0)</f>
        <v>0</v>
      </c>
      <c r="V87" s="0" t="n">
        <f aca="false">IF(B87&gt;1,V86+O87,0)</f>
        <v>0</v>
      </c>
      <c r="W87" s="142" t="n">
        <f aca="false">G87/X87</f>
        <v>0.00011781</v>
      </c>
      <c r="X87" s="142" t="n">
        <f aca="false">X86*B86/B87</f>
        <v>5000</v>
      </c>
      <c r="Y87" s="142" t="n">
        <f aca="false">C87/(G87/10000)*$B$14*($F$21/F87)^($B$12)</f>
        <v>-0.017009292152589</v>
      </c>
      <c r="Z87" s="142" t="n">
        <f aca="false">Y87/B87</f>
        <v>-0.017009292152589</v>
      </c>
      <c r="AA87" s="142" t="n">
        <f aca="false">AA88+Z87</f>
        <v>-1.39396464594265</v>
      </c>
      <c r="AB87" s="142" t="n">
        <f aca="false">IF(B87&gt;1,AB86+Z87,0)</f>
        <v>0</v>
      </c>
      <c r="AC87" s="540" t="n">
        <f aca="false">-AA87*$B$4*2</f>
        <v>1.39396464594265</v>
      </c>
      <c r="AM87" s="142"/>
    </row>
    <row r="88" customFormat="false" ht="15.75" hidden="false" customHeight="false" outlineLevel="0" collapsed="false">
      <c r="A88" s="0" t="n">
        <f aca="false">A87+1</f>
        <v>67</v>
      </c>
      <c r="B88" s="0" t="n">
        <f aca="false">MAX(B87/$G$5,1)</f>
        <v>1</v>
      </c>
      <c r="C88" s="0" t="n">
        <f aca="false">$B$10+A88*$G$4</f>
        <v>-0.0292326732673267</v>
      </c>
      <c r="D88" s="0" t="n">
        <f aca="false">(A88+1)*($B$10+$G$4*A88/2)</f>
        <v>3.25608910891089</v>
      </c>
      <c r="E88" s="0" t="n">
        <f aca="false">IF(A88&lt;$J$3,($B$6/10)*$G$5^(A88/$G$3),($B$6/10)*$G$5^($J$3/$G$3))</f>
        <v>1</v>
      </c>
      <c r="F88" s="0" t="n">
        <f aca="false">IF(A88&lt;$J$3,($B$7/10)*$G$5^(A88/$G$2),($B$7/10)*$G$5^($J$3/$G$2))</f>
        <v>0.866025403784439</v>
      </c>
      <c r="G88" s="0" t="n">
        <f aca="false">F88*F88*3.1416/4</f>
        <v>0.58905</v>
      </c>
      <c r="H88" s="0" t="n">
        <f aca="false">E88*E88*3.1416/4</f>
        <v>0.7854</v>
      </c>
      <c r="I88" s="0" t="n">
        <f aca="false">G88*B88</f>
        <v>0.58905</v>
      </c>
      <c r="J88" s="0" t="n">
        <f aca="false">H88*B88</f>
        <v>0.7854</v>
      </c>
      <c r="K88" s="0" t="n">
        <f aca="false">H88-G88</f>
        <v>0.19635</v>
      </c>
      <c r="L88" s="0" t="n">
        <f aca="false">SQRT(4*K88/3.1416)</f>
        <v>0.5</v>
      </c>
      <c r="M88" s="0" t="n">
        <f aca="false">(E88-L88)/2</f>
        <v>0.25</v>
      </c>
      <c r="N88" s="0" t="n">
        <f aca="false">E88*3.1416</f>
        <v>3.1416</v>
      </c>
      <c r="O88" s="0" t="n">
        <f aca="false">C88*3.1416*E88*B88/100</f>
        <v>-0.000918373663366336</v>
      </c>
      <c r="P88" s="0" t="n">
        <f aca="false">C88*E88/100*E88/100*3.1416/4*B88</f>
        <v>-2.29593415841584E-006</v>
      </c>
      <c r="Q88" s="0" t="n">
        <f aca="false">Q87+O88</f>
        <v>0.18483154502166</v>
      </c>
      <c r="R88" s="0" t="n">
        <f aca="false">P88+R87</f>
        <v>0.000359042407514982</v>
      </c>
      <c r="S88" s="0" t="n">
        <f aca="false">G88/10000*C88*B88</f>
        <v>-1.72195061881188E-006</v>
      </c>
      <c r="T88" s="0" t="n">
        <f aca="false">T87+S88</f>
        <v>0.000295903110764579</v>
      </c>
      <c r="U88" s="0" t="n">
        <f aca="false">IF(B88&gt;1,U87+S88,0)</f>
        <v>0</v>
      </c>
      <c r="V88" s="0" t="n">
        <f aca="false">IF(B88&gt;1,V87+O88,0)</f>
        <v>0</v>
      </c>
      <c r="W88" s="142" t="n">
        <f aca="false">G88/X88</f>
        <v>0.00011781</v>
      </c>
      <c r="X88" s="142" t="n">
        <f aca="false">X87*B87/B88</f>
        <v>5000</v>
      </c>
      <c r="Y88" s="142" t="n">
        <f aca="false">C88/(G88/10000)*$B$14*($F$21/F88)^($B$12)</f>
        <v>-0.0184632114266615</v>
      </c>
      <c r="Z88" s="142" t="n">
        <f aca="false">Y88/B88</f>
        <v>-0.0184632114266615</v>
      </c>
      <c r="AA88" s="142" t="n">
        <f aca="false">AA89+Z88</f>
        <v>-1.37695535379006</v>
      </c>
      <c r="AB88" s="142" t="n">
        <f aca="false">IF(B88&gt;1,AB87+Z88,0)</f>
        <v>0</v>
      </c>
      <c r="AC88" s="540" t="n">
        <f aca="false">-AA88*$B$4*2</f>
        <v>1.37695535379006</v>
      </c>
      <c r="AM88" s="142"/>
    </row>
    <row r="89" customFormat="false" ht="15.75" hidden="false" customHeight="false" outlineLevel="0" collapsed="false">
      <c r="A89" s="0" t="n">
        <f aca="false">A88+1</f>
        <v>68</v>
      </c>
      <c r="B89" s="0" t="n">
        <f aca="false">MAX(B88/$G$5,1)</f>
        <v>1</v>
      </c>
      <c r="C89" s="0" t="n">
        <f aca="false">$B$10+A89*$G$4</f>
        <v>-0.0315346534653465</v>
      </c>
      <c r="D89" s="0" t="n">
        <f aca="false">(A89+1)*($B$10+$G$4*A89/2)</f>
        <v>3.22455445544554</v>
      </c>
      <c r="E89" s="0" t="n">
        <f aca="false">IF(A89&lt;$J$3,($B$6/10)*$G$5^(A89/$G$3),($B$6/10)*$G$5^($J$3/$G$3))</f>
        <v>1</v>
      </c>
      <c r="F89" s="0" t="n">
        <f aca="false">IF(A89&lt;$J$3,($B$7/10)*$G$5^(A89/$G$2),($B$7/10)*$G$5^($J$3/$G$2))</f>
        <v>0.866025403784439</v>
      </c>
      <c r="G89" s="0" t="n">
        <f aca="false">F89*F89*3.1416/4</f>
        <v>0.58905</v>
      </c>
      <c r="H89" s="0" t="n">
        <f aca="false">E89*E89*3.1416/4</f>
        <v>0.7854</v>
      </c>
      <c r="I89" s="0" t="n">
        <f aca="false">G89*B89</f>
        <v>0.58905</v>
      </c>
      <c r="J89" s="0" t="n">
        <f aca="false">H89*B89</f>
        <v>0.7854</v>
      </c>
      <c r="K89" s="0" t="n">
        <f aca="false">H89-G89</f>
        <v>0.19635</v>
      </c>
      <c r="L89" s="0" t="n">
        <f aca="false">SQRT(4*K89/3.1416)</f>
        <v>0.5</v>
      </c>
      <c r="M89" s="0" t="n">
        <f aca="false">(E89-L89)/2</f>
        <v>0.25</v>
      </c>
      <c r="N89" s="0" t="n">
        <f aca="false">E89*3.1416</f>
        <v>3.1416</v>
      </c>
      <c r="O89" s="0" t="n">
        <f aca="false">C89*3.1416*E89*B89/100</f>
        <v>-0.000990692673267326</v>
      </c>
      <c r="P89" s="0" t="n">
        <f aca="false">C89*E89/100*E89/100*3.1416/4*B89</f>
        <v>-2.47673168316832E-006</v>
      </c>
      <c r="Q89" s="0" t="n">
        <f aca="false">Q88+O89</f>
        <v>0.183840852348392</v>
      </c>
      <c r="R89" s="0" t="n">
        <f aca="false">P89+R88</f>
        <v>0.000356565675831814</v>
      </c>
      <c r="S89" s="0" t="n">
        <f aca="false">G89/10000*C89*B89</f>
        <v>-1.85754876237624E-006</v>
      </c>
      <c r="T89" s="0" t="n">
        <f aca="false">T88+S89</f>
        <v>0.000294045562002203</v>
      </c>
      <c r="U89" s="0" t="n">
        <f aca="false">IF(B89&gt;1,U88+S89,0)</f>
        <v>0</v>
      </c>
      <c r="V89" s="0" t="n">
        <f aca="false">IF(B89&gt;1,V88+O89,0)</f>
        <v>0</v>
      </c>
      <c r="W89" s="142" t="n">
        <f aca="false">G89/X89</f>
        <v>0.00011781</v>
      </c>
      <c r="X89" s="142" t="n">
        <f aca="false">X88*B88/B89</f>
        <v>5000</v>
      </c>
      <c r="Y89" s="142" t="n">
        <f aca="false">C89/(G89/10000)*$B$14*($F$21/F89)^($B$12)</f>
        <v>-0.0199171307007339</v>
      </c>
      <c r="Z89" s="142" t="n">
        <f aca="false">Y89/B89</f>
        <v>-0.0199171307007339</v>
      </c>
      <c r="AA89" s="142" t="n">
        <f aca="false">AA90+Z89</f>
        <v>-1.3584921423634</v>
      </c>
      <c r="AB89" s="142" t="n">
        <f aca="false">IF(B89&gt;1,AB88+Z89,0)</f>
        <v>0</v>
      </c>
      <c r="AC89" s="540" t="n">
        <f aca="false">-AA89*$B$4*2</f>
        <v>1.3584921423634</v>
      </c>
      <c r="AM89" s="142"/>
    </row>
    <row r="90" customFormat="false" ht="15.75" hidden="false" customHeight="false" outlineLevel="0" collapsed="false">
      <c r="A90" s="0" t="n">
        <f aca="false">A89+1</f>
        <v>69</v>
      </c>
      <c r="B90" s="0" t="n">
        <f aca="false">MAX(B89/$G$5,1)</f>
        <v>1</v>
      </c>
      <c r="C90" s="0" t="n">
        <f aca="false">$B$10+A90*$G$4</f>
        <v>-0.0338366336633663</v>
      </c>
      <c r="D90" s="0" t="n">
        <f aca="false">(A90+1)*($B$10+$G$4*A90/2)</f>
        <v>3.19071782178218</v>
      </c>
      <c r="E90" s="0" t="n">
        <f aca="false">IF(A90&lt;$J$3,($B$6/10)*$G$5^(A90/$G$3),($B$6/10)*$G$5^($J$3/$G$3))</f>
        <v>1</v>
      </c>
      <c r="F90" s="0" t="n">
        <f aca="false">IF(A90&lt;$J$3,($B$7/10)*$G$5^(A90/$G$2),($B$7/10)*$G$5^($J$3/$G$2))</f>
        <v>0.866025403784439</v>
      </c>
      <c r="G90" s="0" t="n">
        <f aca="false">F90*F90*3.1416/4</f>
        <v>0.58905</v>
      </c>
      <c r="H90" s="0" t="n">
        <f aca="false">E90*E90*3.1416/4</f>
        <v>0.7854</v>
      </c>
      <c r="I90" s="0" t="n">
        <f aca="false">G90*B90</f>
        <v>0.58905</v>
      </c>
      <c r="J90" s="0" t="n">
        <f aca="false">H90*B90</f>
        <v>0.7854</v>
      </c>
      <c r="K90" s="0" t="n">
        <f aca="false">H90-G90</f>
        <v>0.19635</v>
      </c>
      <c r="L90" s="0" t="n">
        <f aca="false">SQRT(4*K90/3.1416)</f>
        <v>0.5</v>
      </c>
      <c r="M90" s="0" t="n">
        <f aca="false">(E90-L90)/2</f>
        <v>0.25</v>
      </c>
      <c r="N90" s="0" t="n">
        <f aca="false">E90*3.1416</f>
        <v>3.1416</v>
      </c>
      <c r="O90" s="0" t="n">
        <f aca="false">C90*3.1416*E90*B90/100</f>
        <v>-0.00106301168316832</v>
      </c>
      <c r="P90" s="0" t="n">
        <f aca="false">C90*E90/100*E90/100*3.1416/4*B90</f>
        <v>-2.65752920792079E-006</v>
      </c>
      <c r="Q90" s="0" t="n">
        <f aca="false">Q89+O90</f>
        <v>0.182777840665224</v>
      </c>
      <c r="R90" s="0" t="n">
        <f aca="false">P90+R89</f>
        <v>0.000353908146623893</v>
      </c>
      <c r="S90" s="0" t="n">
        <f aca="false">G90/10000*C90*B90</f>
        <v>-1.99314690594059E-006</v>
      </c>
      <c r="T90" s="0" t="n">
        <f aca="false">T89+S90</f>
        <v>0.000292052415096263</v>
      </c>
      <c r="U90" s="0" t="n">
        <f aca="false">IF(B90&gt;1,U89+S90,0)</f>
        <v>0</v>
      </c>
      <c r="V90" s="0" t="n">
        <f aca="false">IF(B90&gt;1,V89+O90,0)</f>
        <v>0</v>
      </c>
      <c r="W90" s="142" t="n">
        <f aca="false">G90/X90</f>
        <v>0.00011781</v>
      </c>
      <c r="X90" s="142" t="n">
        <f aca="false">X89*B89/B90</f>
        <v>5000</v>
      </c>
      <c r="Y90" s="142" t="n">
        <f aca="false">C90/(G90/10000)*$B$14*($F$21/F90)^($B$12)</f>
        <v>-0.0213710499748063</v>
      </c>
      <c r="Z90" s="142" t="n">
        <f aca="false">Y90/B90</f>
        <v>-0.0213710499748063</v>
      </c>
      <c r="AA90" s="142" t="n">
        <f aca="false">AA91+Z90</f>
        <v>-1.33857501166267</v>
      </c>
      <c r="AB90" s="142" t="n">
        <f aca="false">IF(B90&gt;1,AB89+Z90,0)</f>
        <v>0</v>
      </c>
      <c r="AC90" s="540" t="n">
        <f aca="false">-AA90*$B$4*2</f>
        <v>1.33857501166267</v>
      </c>
      <c r="AM90" s="142"/>
    </row>
    <row r="91" customFormat="false" ht="15.75" hidden="false" customHeight="false" outlineLevel="0" collapsed="false">
      <c r="A91" s="0" t="n">
        <f aca="false">A90+1</f>
        <v>70</v>
      </c>
      <c r="B91" s="0" t="n">
        <f aca="false">MAX(B90/$G$5,1)</f>
        <v>1</v>
      </c>
      <c r="C91" s="0" t="n">
        <f aca="false">$B$10+A91*$G$4</f>
        <v>-0.0361386138613861</v>
      </c>
      <c r="D91" s="0" t="n">
        <f aca="false">(A91+1)*($B$10+$G$4*A91/2)</f>
        <v>3.15457920792079</v>
      </c>
      <c r="E91" s="0" t="n">
        <f aca="false">IF(A91&lt;$J$3,($B$6/10)*$G$5^(A91/$G$3),($B$6/10)*$G$5^($J$3/$G$3))</f>
        <v>1</v>
      </c>
      <c r="F91" s="0" t="n">
        <f aca="false">IF(A91&lt;$J$3,($B$7/10)*$G$5^(A91/$G$2),($B$7/10)*$G$5^($J$3/$G$2))</f>
        <v>0.866025403784439</v>
      </c>
      <c r="G91" s="0" t="n">
        <f aca="false">F91*F91*3.1416/4</f>
        <v>0.58905</v>
      </c>
      <c r="H91" s="0" t="n">
        <f aca="false">E91*E91*3.1416/4</f>
        <v>0.7854</v>
      </c>
      <c r="I91" s="0" t="n">
        <f aca="false">G91*B91</f>
        <v>0.58905</v>
      </c>
      <c r="J91" s="0" t="n">
        <f aca="false">H91*B91</f>
        <v>0.7854</v>
      </c>
      <c r="K91" s="0" t="n">
        <f aca="false">H91-G91</f>
        <v>0.19635</v>
      </c>
      <c r="L91" s="0" t="n">
        <f aca="false">SQRT(4*K91/3.1416)</f>
        <v>0.5</v>
      </c>
      <c r="M91" s="0" t="n">
        <f aca="false">(E91-L91)/2</f>
        <v>0.25</v>
      </c>
      <c r="N91" s="0" t="n">
        <f aca="false">E91*3.1416</f>
        <v>3.1416</v>
      </c>
      <c r="O91" s="0" t="n">
        <f aca="false">C91*3.1416*E91*B91/100</f>
        <v>-0.00113533069306931</v>
      </c>
      <c r="P91" s="0" t="n">
        <f aca="false">C91*E91/100*E91/100*3.1416/4*B91</f>
        <v>-2.83832673267327E-006</v>
      </c>
      <c r="Q91" s="0" t="n">
        <f aca="false">Q90+O91</f>
        <v>0.181642509972155</v>
      </c>
      <c r="R91" s="0" t="n">
        <f aca="false">P91+R90</f>
        <v>0.00035106981989122</v>
      </c>
      <c r="S91" s="0" t="n">
        <f aca="false">G91/10000*C91*B91</f>
        <v>-2.12874504950495E-006</v>
      </c>
      <c r="T91" s="0" t="n">
        <f aca="false">T90+S91</f>
        <v>0.000289923670046758</v>
      </c>
      <c r="U91" s="0" t="n">
        <f aca="false">IF(B91&gt;1,U90+S91,0)</f>
        <v>0</v>
      </c>
      <c r="V91" s="0" t="n">
        <f aca="false">IF(B91&gt;1,V90+O91,0)</f>
        <v>0</v>
      </c>
      <c r="W91" s="142" t="n">
        <f aca="false">G91/X91</f>
        <v>0.00011781</v>
      </c>
      <c r="X91" s="142" t="n">
        <f aca="false">X90*B90/B91</f>
        <v>5000</v>
      </c>
      <c r="Y91" s="142" t="n">
        <f aca="false">C91/(G91/10000)*$B$14*($F$21/F91)^($B$12)</f>
        <v>-0.0228249692488787</v>
      </c>
      <c r="Z91" s="142" t="n">
        <f aca="false">Y91/B91</f>
        <v>-0.0228249692488787</v>
      </c>
      <c r="AA91" s="142" t="n">
        <f aca="false">AA92+Z91</f>
        <v>-1.31720396168786</v>
      </c>
      <c r="AB91" s="142" t="n">
        <f aca="false">IF(B91&gt;1,AB90+Z91,0)</f>
        <v>0</v>
      </c>
      <c r="AC91" s="540" t="n">
        <f aca="false">-AA91*$B$4*2</f>
        <v>1.31720396168786</v>
      </c>
      <c r="AD91" s="142"/>
      <c r="AM91" s="142"/>
    </row>
    <row r="92" customFormat="false" ht="15.75" hidden="false" customHeight="false" outlineLevel="0" collapsed="false">
      <c r="A92" s="0" t="n">
        <f aca="false">A91+1</f>
        <v>71</v>
      </c>
      <c r="B92" s="0" t="n">
        <f aca="false">MAX(B91/$G$5,1)</f>
        <v>1</v>
      </c>
      <c r="C92" s="0" t="n">
        <f aca="false">$B$10+A92*$G$4</f>
        <v>-0.0384405940594059</v>
      </c>
      <c r="D92" s="0" t="n">
        <f aca="false">(A92+1)*($B$10+$G$4*A92/2)</f>
        <v>3.11613861386139</v>
      </c>
      <c r="E92" s="0" t="n">
        <f aca="false">IF(A92&lt;$J$3,($B$6/10)*$G$5^(A92/$G$3),($B$6/10)*$G$5^($J$3/$G$3))</f>
        <v>1</v>
      </c>
      <c r="F92" s="0" t="n">
        <f aca="false">IF(A92&lt;$J$3,($B$7/10)*$G$5^(A92/$G$2),($B$7/10)*$G$5^($J$3/$G$2))</f>
        <v>0.866025403784439</v>
      </c>
      <c r="G92" s="0" t="n">
        <f aca="false">F92*F92*3.1416/4</f>
        <v>0.58905</v>
      </c>
      <c r="H92" s="0" t="n">
        <f aca="false">E92*E92*3.1416/4</f>
        <v>0.7854</v>
      </c>
      <c r="I92" s="0" t="n">
        <f aca="false">G92*B92</f>
        <v>0.58905</v>
      </c>
      <c r="J92" s="0" t="n">
        <f aca="false">H92*B92</f>
        <v>0.7854</v>
      </c>
      <c r="K92" s="0" t="n">
        <f aca="false">H92-G92</f>
        <v>0.19635</v>
      </c>
      <c r="L92" s="0" t="n">
        <f aca="false">SQRT(4*K92/3.1416)</f>
        <v>0.5</v>
      </c>
      <c r="M92" s="0" t="n">
        <f aca="false">(E92-L92)/2</f>
        <v>0.25</v>
      </c>
      <c r="N92" s="0" t="n">
        <f aca="false">E92*3.1416</f>
        <v>3.1416</v>
      </c>
      <c r="O92" s="0" t="n">
        <f aca="false">C92*3.1416*E92*B92/100</f>
        <v>-0.0012076497029703</v>
      </c>
      <c r="P92" s="0" t="n">
        <f aca="false">C92*E92/100*E92/100*3.1416/4*B92</f>
        <v>-3.01912425742574E-006</v>
      </c>
      <c r="Q92" s="0" t="n">
        <f aca="false">Q91+O92</f>
        <v>0.180434860269184</v>
      </c>
      <c r="R92" s="0" t="n">
        <f aca="false">P92+R91</f>
        <v>0.000348050695633794</v>
      </c>
      <c r="S92" s="0" t="n">
        <f aca="false">G92/10000*C92*B92</f>
        <v>-2.26434319306931E-006</v>
      </c>
      <c r="T92" s="0" t="n">
        <f aca="false">T91+S92</f>
        <v>0.000287659326853688</v>
      </c>
      <c r="U92" s="0" t="n">
        <f aca="false">IF(B92&gt;1,U91+S92,0)</f>
        <v>0</v>
      </c>
      <c r="V92" s="0" t="n">
        <f aca="false">IF(B92&gt;1,V91+O92,0)</f>
        <v>0</v>
      </c>
      <c r="W92" s="142" t="n">
        <f aca="false">G92/X92</f>
        <v>0.00011781</v>
      </c>
      <c r="X92" s="142" t="n">
        <f aca="false">X91*B91/B92</f>
        <v>5000</v>
      </c>
      <c r="Y92" s="142" t="n">
        <f aca="false">C92/(G92/10000)*$B$14*($F$21/F92)^($B$12)</f>
        <v>-0.0242788885229511</v>
      </c>
      <c r="Z92" s="142" t="n">
        <f aca="false">Y92/B92</f>
        <v>-0.0242788885229511</v>
      </c>
      <c r="AA92" s="142" t="n">
        <f aca="false">AA93+Z92</f>
        <v>-1.29437899243898</v>
      </c>
      <c r="AB92" s="142" t="n">
        <f aca="false">IF(B92&gt;1,AB91+Z92,0)</f>
        <v>0</v>
      </c>
      <c r="AC92" s="540" t="n">
        <f aca="false">-AA92*$B$4*2</f>
        <v>1.29437899243898</v>
      </c>
      <c r="AD92" s="142"/>
      <c r="AM92" s="142"/>
    </row>
    <row r="93" customFormat="false" ht="15.75" hidden="false" customHeight="false" outlineLevel="0" collapsed="false">
      <c r="A93" s="0" t="n">
        <f aca="false">A92+1</f>
        <v>72</v>
      </c>
      <c r="B93" s="0" t="n">
        <f aca="false">MAX(B92/$G$5,1)</f>
        <v>1</v>
      </c>
      <c r="C93" s="0" t="n">
        <f aca="false">$B$10+A93*$G$4</f>
        <v>-0.0407425742574257</v>
      </c>
      <c r="D93" s="0" t="n">
        <f aca="false">(A93+1)*($B$10+$G$4*A93/2)</f>
        <v>3.07539603960396</v>
      </c>
      <c r="E93" s="0" t="n">
        <f aca="false">IF(A93&lt;$J$3,($B$6/10)*$G$5^(A93/$G$3),($B$6/10)*$G$5^($J$3/$G$3))</f>
        <v>1</v>
      </c>
      <c r="F93" s="0" t="n">
        <f aca="false">IF(A93&lt;$J$3,($B$7/10)*$G$5^(A93/$G$2),($B$7/10)*$G$5^($J$3/$G$2))</f>
        <v>0.866025403784439</v>
      </c>
      <c r="G93" s="0" t="n">
        <f aca="false">F93*F93*3.1416/4</f>
        <v>0.58905</v>
      </c>
      <c r="H93" s="0" t="n">
        <f aca="false">E93*E93*3.1416/4</f>
        <v>0.7854</v>
      </c>
      <c r="I93" s="0" t="n">
        <f aca="false">G93*B93</f>
        <v>0.58905</v>
      </c>
      <c r="J93" s="0" t="n">
        <f aca="false">H93*B93</f>
        <v>0.7854</v>
      </c>
      <c r="K93" s="0" t="n">
        <f aca="false">H93-G93</f>
        <v>0.19635</v>
      </c>
      <c r="L93" s="0" t="n">
        <f aca="false">SQRT(4*K93/3.1416)</f>
        <v>0.5</v>
      </c>
      <c r="M93" s="0" t="n">
        <f aca="false">(E93-L93)/2</f>
        <v>0.25</v>
      </c>
      <c r="N93" s="0" t="n">
        <f aca="false">E93*3.1416</f>
        <v>3.1416</v>
      </c>
      <c r="O93" s="0" t="n">
        <f aca="false">C93*3.1416*E93*B93/100</f>
        <v>-0.00127996871287129</v>
      </c>
      <c r="P93" s="0" t="n">
        <f aca="false">C93*E93/100*E93/100*3.1416/4*B93</f>
        <v>-3.19992178217822E-006</v>
      </c>
      <c r="Q93" s="0" t="n">
        <f aca="false">Q92+O93</f>
        <v>0.179154891556313</v>
      </c>
      <c r="R93" s="0" t="n">
        <f aca="false">P93+R92</f>
        <v>0.000344850773851616</v>
      </c>
      <c r="S93" s="0" t="n">
        <f aca="false">G93/10000*C93*B93</f>
        <v>-2.39994133663366E-006</v>
      </c>
      <c r="T93" s="0" t="n">
        <f aca="false">T92+S93</f>
        <v>0.000285259385517055</v>
      </c>
      <c r="U93" s="0" t="n">
        <f aca="false">IF(B93&gt;1,U92+S93,0)</f>
        <v>0</v>
      </c>
      <c r="V93" s="0" t="n">
        <f aca="false">IF(B93&gt;1,V92+O93,0)</f>
        <v>0</v>
      </c>
      <c r="W93" s="142" t="n">
        <f aca="false">G93/X93</f>
        <v>0.00011781</v>
      </c>
      <c r="X93" s="142" t="n">
        <f aca="false">X92*B92/B93</f>
        <v>5000</v>
      </c>
      <c r="Y93" s="142" t="n">
        <f aca="false">C93/(G93/10000)*$B$14*($F$21/F93)^($B$12)</f>
        <v>-0.0257328077970235</v>
      </c>
      <c r="Z93" s="142" t="n">
        <f aca="false">Y93/B93</f>
        <v>-0.0257328077970235</v>
      </c>
      <c r="AA93" s="142" t="n">
        <f aca="false">AA94+Z93</f>
        <v>-1.27010010391603</v>
      </c>
      <c r="AB93" s="142" t="n">
        <f aca="false">IF(B93&gt;1,AB92+Z93,0)</f>
        <v>0</v>
      </c>
      <c r="AC93" s="540" t="n">
        <f aca="false">-AA93*$B$4*2</f>
        <v>1.27010010391603</v>
      </c>
      <c r="AD93" s="142"/>
      <c r="AM93" s="142"/>
    </row>
    <row r="94" customFormat="false" ht="15.75" hidden="false" customHeight="false" outlineLevel="0" collapsed="false">
      <c r="A94" s="0" t="n">
        <f aca="false">A93+1</f>
        <v>73</v>
      </c>
      <c r="B94" s="0" t="n">
        <f aca="false">MAX(B93/$G$5,1)</f>
        <v>1</v>
      </c>
      <c r="C94" s="0" t="n">
        <f aca="false">$B$10+A94*$G$4</f>
        <v>-0.0430445544554455</v>
      </c>
      <c r="D94" s="0" t="n">
        <f aca="false">(A94+1)*($B$10+$G$4*A94/2)</f>
        <v>3.03235148514852</v>
      </c>
      <c r="E94" s="0" t="n">
        <f aca="false">IF(A94&lt;$J$3,($B$6/10)*$G$5^(A94/$G$3),($B$6/10)*$G$5^($J$3/$G$3))</f>
        <v>1</v>
      </c>
      <c r="F94" s="0" t="n">
        <f aca="false">IF(A94&lt;$J$3,($B$7/10)*$G$5^(A94/$G$2),($B$7/10)*$G$5^($J$3/$G$2))</f>
        <v>0.866025403784439</v>
      </c>
      <c r="G94" s="0" t="n">
        <f aca="false">F94*F94*3.1416/4</f>
        <v>0.58905</v>
      </c>
      <c r="H94" s="0" t="n">
        <f aca="false">E94*E94*3.1416/4</f>
        <v>0.7854</v>
      </c>
      <c r="I94" s="0" t="n">
        <f aca="false">G94*B94</f>
        <v>0.58905</v>
      </c>
      <c r="J94" s="0" t="n">
        <f aca="false">H94*B94</f>
        <v>0.7854</v>
      </c>
      <c r="K94" s="0" t="n">
        <f aca="false">H94-G94</f>
        <v>0.19635</v>
      </c>
      <c r="L94" s="0" t="n">
        <f aca="false">SQRT(4*K94/3.1416)</f>
        <v>0.5</v>
      </c>
      <c r="M94" s="0" t="n">
        <f aca="false">(E94-L94)/2</f>
        <v>0.25</v>
      </c>
      <c r="N94" s="0" t="n">
        <f aca="false">E94*3.1416</f>
        <v>3.1416</v>
      </c>
      <c r="O94" s="0" t="n">
        <f aca="false">C94*3.1416*E94*B94/100</f>
        <v>-0.00135228772277228</v>
      </c>
      <c r="P94" s="0" t="n">
        <f aca="false">C94*E94/100*E94/100*3.1416/4*B94</f>
        <v>-3.38071930693069E-006</v>
      </c>
      <c r="Q94" s="0" t="n">
        <f aca="false">Q93+O94</f>
        <v>0.177802603833541</v>
      </c>
      <c r="R94" s="0" t="n">
        <f aca="false">P94+R93</f>
        <v>0.000341470054544685</v>
      </c>
      <c r="S94" s="0" t="n">
        <f aca="false">G94/10000*C94*B94</f>
        <v>-2.53553948019802E-006</v>
      </c>
      <c r="T94" s="0" t="n">
        <f aca="false">T93+S94</f>
        <v>0.000282723846036857</v>
      </c>
      <c r="U94" s="0" t="n">
        <f aca="false">IF(B94&gt;1,U93+S94,0)</f>
        <v>0</v>
      </c>
      <c r="V94" s="0" t="n">
        <f aca="false">IF(B94&gt;1,V93+O94,0)</f>
        <v>0</v>
      </c>
      <c r="W94" s="142" t="n">
        <f aca="false">G94/X94</f>
        <v>0.00011781</v>
      </c>
      <c r="X94" s="142" t="n">
        <f aca="false">X93*B93/B94</f>
        <v>5000</v>
      </c>
      <c r="Y94" s="142" t="n">
        <f aca="false">C94/(G94/10000)*$B$14*($F$21/F94)^($B$12)</f>
        <v>-0.0271867270710959</v>
      </c>
      <c r="Z94" s="142" t="n">
        <f aca="false">Y94/B94</f>
        <v>-0.0271867270710959</v>
      </c>
      <c r="AA94" s="142" t="n">
        <f aca="false">AA95+Z94</f>
        <v>-1.24436729611901</v>
      </c>
      <c r="AB94" s="142" t="n">
        <f aca="false">IF(B94&gt;1,AB93+Z94,0)</f>
        <v>0</v>
      </c>
      <c r="AC94" s="540" t="n">
        <f aca="false">-AA94*$B$4*2</f>
        <v>1.24436729611901</v>
      </c>
      <c r="AD94" s="142"/>
      <c r="AM94" s="142"/>
    </row>
    <row r="95" customFormat="false" ht="15.75" hidden="false" customHeight="false" outlineLevel="0" collapsed="false">
      <c r="A95" s="0" t="n">
        <f aca="false">A94+1</f>
        <v>74</v>
      </c>
      <c r="B95" s="0" t="n">
        <f aca="false">MAX(B94/$G$5,1)</f>
        <v>1</v>
      </c>
      <c r="C95" s="0" t="n">
        <f aca="false">$B$10+A95*$G$4</f>
        <v>-0.0453465346534653</v>
      </c>
      <c r="D95" s="0" t="n">
        <f aca="false">(A95+1)*($B$10+$G$4*A95/2)</f>
        <v>2.98700495049505</v>
      </c>
      <c r="E95" s="0" t="n">
        <f aca="false">IF(A95&lt;$J$3,($B$6/10)*$G$5^(A95/$G$3),($B$6/10)*$G$5^($J$3/$G$3))</f>
        <v>1</v>
      </c>
      <c r="F95" s="0" t="n">
        <f aca="false">IF(A95&lt;$J$3,($B$7/10)*$G$5^(A95/$G$2),($B$7/10)*$G$5^($J$3/$G$2))</f>
        <v>0.866025403784439</v>
      </c>
      <c r="G95" s="0" t="n">
        <f aca="false">F95*F95*3.1416/4</f>
        <v>0.58905</v>
      </c>
      <c r="H95" s="0" t="n">
        <f aca="false">E95*E95*3.1416/4</f>
        <v>0.7854</v>
      </c>
      <c r="I95" s="0" t="n">
        <f aca="false">G95*B95</f>
        <v>0.58905</v>
      </c>
      <c r="J95" s="0" t="n">
        <f aca="false">H95*B95</f>
        <v>0.7854</v>
      </c>
      <c r="K95" s="0" t="n">
        <f aca="false">H95-G95</f>
        <v>0.19635</v>
      </c>
      <c r="L95" s="0" t="n">
        <f aca="false">SQRT(4*K95/3.1416)</f>
        <v>0.5</v>
      </c>
      <c r="M95" s="0" t="n">
        <f aca="false">(E95-L95)/2</f>
        <v>0.25</v>
      </c>
      <c r="N95" s="0" t="n">
        <f aca="false">E95*3.1416</f>
        <v>3.1416</v>
      </c>
      <c r="O95" s="0" t="n">
        <f aca="false">C95*3.1416*E95*B95/100</f>
        <v>-0.00142460673267327</v>
      </c>
      <c r="P95" s="0" t="n">
        <f aca="false">C95*E95/100*E95/100*3.1416/4*B95</f>
        <v>-3.56151683168317E-006</v>
      </c>
      <c r="Q95" s="0" t="n">
        <f aca="false">Q94+O95</f>
        <v>0.176377997100867</v>
      </c>
      <c r="R95" s="0" t="n">
        <f aca="false">P95+R94</f>
        <v>0.000337908537713002</v>
      </c>
      <c r="S95" s="0" t="n">
        <f aca="false">G95/10000*C95*B95</f>
        <v>-2.67113762376237E-006</v>
      </c>
      <c r="T95" s="0" t="n">
        <f aca="false">T94+S95</f>
        <v>0.000280052708413094</v>
      </c>
      <c r="U95" s="0" t="n">
        <f aca="false">IF(B95&gt;1,U94+S95,0)</f>
        <v>0</v>
      </c>
      <c r="V95" s="0" t="n">
        <f aca="false">IF(B95&gt;1,V94+O95,0)</f>
        <v>0</v>
      </c>
      <c r="W95" s="142" t="n">
        <f aca="false">G95/X95</f>
        <v>0.00011781</v>
      </c>
      <c r="X95" s="142" t="n">
        <f aca="false">X94*B94/B95</f>
        <v>5000</v>
      </c>
      <c r="Y95" s="142" t="n">
        <f aca="false">C95/(G95/10000)*$B$14*($F$21/F95)^($B$12)</f>
        <v>-0.0286406463451683</v>
      </c>
      <c r="Z95" s="142" t="n">
        <f aca="false">Y95/B95</f>
        <v>-0.0286406463451683</v>
      </c>
      <c r="AA95" s="142" t="n">
        <f aca="false">AA96+Z95</f>
        <v>-1.21718056904791</v>
      </c>
      <c r="AB95" s="142" t="n">
        <f aca="false">IF(B95&gt;1,AB94+Z95,0)</f>
        <v>0</v>
      </c>
      <c r="AC95" s="540" t="n">
        <f aca="false">-AA95*$B$4*2</f>
        <v>1.21718056904791</v>
      </c>
      <c r="AD95" s="142"/>
      <c r="AM95" s="142"/>
    </row>
    <row r="96" customFormat="false" ht="15.75" hidden="false" customHeight="false" outlineLevel="0" collapsed="false">
      <c r="A96" s="0" t="n">
        <f aca="false">A95+1</f>
        <v>75</v>
      </c>
      <c r="B96" s="0" t="n">
        <f aca="false">MAX(B95/$G$5,1)</f>
        <v>1</v>
      </c>
      <c r="C96" s="0" t="n">
        <f aca="false">$B$10+A96*$G$4</f>
        <v>-0.0476485148514851</v>
      </c>
      <c r="D96" s="0" t="n">
        <f aca="false">(A96+1)*($B$10+$G$4*A96/2)</f>
        <v>2.93935643564356</v>
      </c>
      <c r="E96" s="0" t="n">
        <f aca="false">IF(A96&lt;$J$3,($B$6/10)*$G$5^(A96/$G$3),($B$6/10)*$G$5^($J$3/$G$3))</f>
        <v>1</v>
      </c>
      <c r="F96" s="0" t="n">
        <f aca="false">IF(A96&lt;$J$3,($B$7/10)*$G$5^(A96/$G$2),($B$7/10)*$G$5^($J$3/$G$2))</f>
        <v>0.866025403784439</v>
      </c>
      <c r="G96" s="0" t="n">
        <f aca="false">F96*F96*3.1416/4</f>
        <v>0.58905</v>
      </c>
      <c r="H96" s="0" t="n">
        <f aca="false">E96*E96*3.1416/4</f>
        <v>0.7854</v>
      </c>
      <c r="I96" s="0" t="n">
        <f aca="false">G96*B96</f>
        <v>0.58905</v>
      </c>
      <c r="J96" s="0" t="n">
        <f aca="false">H96*B96</f>
        <v>0.7854</v>
      </c>
      <c r="K96" s="0" t="n">
        <f aca="false">H96-G96</f>
        <v>0.19635</v>
      </c>
      <c r="L96" s="0" t="n">
        <f aca="false">SQRT(4*K96/3.1416)</f>
        <v>0.5</v>
      </c>
      <c r="M96" s="0" t="n">
        <f aca="false">(E96-L96)/2</f>
        <v>0.25</v>
      </c>
      <c r="N96" s="0" t="n">
        <f aca="false">E96*3.1416</f>
        <v>3.1416</v>
      </c>
      <c r="O96" s="0" t="n">
        <f aca="false">C96*3.1416*E96*B96/100</f>
        <v>-0.00149692574257426</v>
      </c>
      <c r="P96" s="0" t="n">
        <f aca="false">C96*E96/100*E96/100*3.1416/4*B96</f>
        <v>-3.74231435643564E-006</v>
      </c>
      <c r="Q96" s="0" t="n">
        <f aca="false">Q95+O96</f>
        <v>0.174881071358293</v>
      </c>
      <c r="R96" s="0" t="n">
        <f aca="false">P96+R95</f>
        <v>0.000334166223356566</v>
      </c>
      <c r="S96" s="0" t="n">
        <f aca="false">G96/10000*C96*B96</f>
        <v>-2.80673576732673E-006</v>
      </c>
      <c r="T96" s="0" t="n">
        <f aca="false">T95+S96</f>
        <v>0.000277245972645767</v>
      </c>
      <c r="U96" s="0" t="n">
        <f aca="false">IF(B96&gt;1,U95+S96,0)</f>
        <v>0</v>
      </c>
      <c r="V96" s="0" t="n">
        <f aca="false">IF(B96&gt;1,V95+O96,0)</f>
        <v>0</v>
      </c>
      <c r="W96" s="142" t="n">
        <f aca="false">G96/X96</f>
        <v>0.00011781</v>
      </c>
      <c r="X96" s="142" t="n">
        <f aca="false">X95*B95/B96</f>
        <v>5000</v>
      </c>
      <c r="Y96" s="142" t="n">
        <f aca="false">C96/(G96/10000)*$B$14*($F$21/F96)^($B$12)</f>
        <v>-0.0300945656192407</v>
      </c>
      <c r="Z96" s="142" t="n">
        <f aca="false">Y96/B96</f>
        <v>-0.0300945656192407</v>
      </c>
      <c r="AA96" s="142" t="n">
        <f aca="false">AA97+Z96</f>
        <v>-1.18853992270274</v>
      </c>
      <c r="AB96" s="142" t="n">
        <f aca="false">IF(B96&gt;1,AB95+Z96,0)</f>
        <v>0</v>
      </c>
      <c r="AC96" s="540" t="n">
        <f aca="false">-AA96*$B$4*2</f>
        <v>1.18853992270274</v>
      </c>
      <c r="AD96" s="142"/>
      <c r="AM96" s="142"/>
    </row>
    <row r="97" customFormat="false" ht="15.75" hidden="false" customHeight="false" outlineLevel="0" collapsed="false">
      <c r="A97" s="0" t="n">
        <f aca="false">A96+1</f>
        <v>76</v>
      </c>
      <c r="B97" s="0" t="n">
        <f aca="false">MAX(B96/$G$5,1)</f>
        <v>1</v>
      </c>
      <c r="C97" s="0" t="n">
        <f aca="false">$B$10+A97*$G$4</f>
        <v>-0.0499504950495049</v>
      </c>
      <c r="D97" s="0" t="n">
        <f aca="false">(A97+1)*($B$10+$G$4*A97/2)</f>
        <v>2.88940594059406</v>
      </c>
      <c r="E97" s="0" t="n">
        <f aca="false">IF(A97&lt;$J$3,($B$6/10)*$G$5^(A97/$G$3),($B$6/10)*$G$5^($J$3/$G$3))</f>
        <v>1</v>
      </c>
      <c r="F97" s="0" t="n">
        <f aca="false">IF(A97&lt;$J$3,($B$7/10)*$G$5^(A97/$G$2),($B$7/10)*$G$5^($J$3/$G$2))</f>
        <v>0.866025403784439</v>
      </c>
      <c r="G97" s="0" t="n">
        <f aca="false">F97*F97*3.1416/4</f>
        <v>0.58905</v>
      </c>
      <c r="H97" s="0" t="n">
        <f aca="false">E97*E97*3.1416/4</f>
        <v>0.7854</v>
      </c>
      <c r="I97" s="0" t="n">
        <f aca="false">G97*B97</f>
        <v>0.58905</v>
      </c>
      <c r="J97" s="0" t="n">
        <f aca="false">H97*B97</f>
        <v>0.7854</v>
      </c>
      <c r="K97" s="0" t="n">
        <f aca="false">H97-G97</f>
        <v>0.19635</v>
      </c>
      <c r="L97" s="0" t="n">
        <f aca="false">SQRT(4*K97/3.1416)</f>
        <v>0.5</v>
      </c>
      <c r="M97" s="0" t="n">
        <f aca="false">(E97-L97)/2</f>
        <v>0.25</v>
      </c>
      <c r="N97" s="0" t="n">
        <f aca="false">E97*3.1416</f>
        <v>3.1416</v>
      </c>
      <c r="O97" s="0" t="n">
        <f aca="false">C97*3.1416*E97*B97/100</f>
        <v>-0.00156924475247525</v>
      </c>
      <c r="P97" s="0" t="n">
        <f aca="false">C97*E97/100*E97/100*3.1416/4*B97</f>
        <v>-3.92311188118812E-006</v>
      </c>
      <c r="Q97" s="0" t="n">
        <f aca="false">Q96+O97</f>
        <v>0.173311826605818</v>
      </c>
      <c r="R97" s="0" t="n">
        <f aca="false">P97+R96</f>
        <v>0.000330243111475378</v>
      </c>
      <c r="S97" s="0" t="n">
        <f aca="false">G97/10000*C97*B97</f>
        <v>-2.94233391089109E-006</v>
      </c>
      <c r="T97" s="0" t="n">
        <f aca="false">T96+S97</f>
        <v>0.000274303638734876</v>
      </c>
      <c r="U97" s="0" t="n">
        <f aca="false">IF(B97&gt;1,U96+S97,0)</f>
        <v>0</v>
      </c>
      <c r="V97" s="0" t="n">
        <f aca="false">IF(B97&gt;1,V96+O97,0)</f>
        <v>0</v>
      </c>
      <c r="W97" s="142" t="n">
        <f aca="false">G97/X97</f>
        <v>0.00011781</v>
      </c>
      <c r="X97" s="142" t="n">
        <f aca="false">X96*B96/B97</f>
        <v>5000</v>
      </c>
      <c r="Y97" s="142" t="n">
        <f aca="false">C97/(G97/10000)*$B$14*($F$21/F97)^($B$12)</f>
        <v>-0.0315484848933131</v>
      </c>
      <c r="Z97" s="142" t="n">
        <f aca="false">Y97/B97</f>
        <v>-0.0315484848933131</v>
      </c>
      <c r="AA97" s="142" t="n">
        <f aca="false">AA98+Z97</f>
        <v>-1.1584453570835</v>
      </c>
      <c r="AB97" s="142" t="n">
        <f aca="false">IF(B97&gt;1,AB96+Z97,0)</f>
        <v>0</v>
      </c>
      <c r="AC97" s="540" t="n">
        <f aca="false">-AA97*$B$4*2</f>
        <v>1.1584453570835</v>
      </c>
      <c r="AD97" s="142"/>
      <c r="AM97" s="142"/>
    </row>
    <row r="98" customFormat="false" ht="15.75" hidden="false" customHeight="false" outlineLevel="0" collapsed="false">
      <c r="A98" s="0" t="n">
        <f aca="false">A97+1</f>
        <v>77</v>
      </c>
      <c r="B98" s="0" t="n">
        <f aca="false">MAX(B97/$G$5,1)</f>
        <v>1</v>
      </c>
      <c r="C98" s="0" t="n">
        <f aca="false">$B$10+A98*$G$4</f>
        <v>-0.0522524752475247</v>
      </c>
      <c r="D98" s="0" t="n">
        <f aca="false">(A98+1)*($B$10+$G$4*A98/2)</f>
        <v>2.83715346534653</v>
      </c>
      <c r="E98" s="0" t="n">
        <f aca="false">IF(A98&lt;$J$3,($B$6/10)*$G$5^(A98/$G$3),($B$6/10)*$G$5^($J$3/$G$3))</f>
        <v>1</v>
      </c>
      <c r="F98" s="0" t="n">
        <f aca="false">IF(A98&lt;$J$3,($B$7/10)*$G$5^(A98/$G$2),($B$7/10)*$G$5^($J$3/$G$2))</f>
        <v>0.866025403784439</v>
      </c>
      <c r="G98" s="0" t="n">
        <f aca="false">F98*F98*3.1416/4</f>
        <v>0.58905</v>
      </c>
      <c r="H98" s="0" t="n">
        <f aca="false">E98*E98*3.1416/4</f>
        <v>0.7854</v>
      </c>
      <c r="I98" s="0" t="n">
        <f aca="false">G98*B98</f>
        <v>0.58905</v>
      </c>
      <c r="J98" s="0" t="n">
        <f aca="false">H98*B98</f>
        <v>0.7854</v>
      </c>
      <c r="K98" s="0" t="n">
        <f aca="false">H98-G98</f>
        <v>0.19635</v>
      </c>
      <c r="L98" s="0" t="n">
        <f aca="false">SQRT(4*K98/3.1416)</f>
        <v>0.5</v>
      </c>
      <c r="M98" s="0" t="n">
        <f aca="false">(E98-L98)/2</f>
        <v>0.25</v>
      </c>
      <c r="N98" s="0" t="n">
        <f aca="false">E98*3.1416</f>
        <v>3.1416</v>
      </c>
      <c r="O98" s="0" t="n">
        <f aca="false">C98*3.1416*E98*B98/100</f>
        <v>-0.00164156376237624</v>
      </c>
      <c r="P98" s="0" t="n">
        <f aca="false">C98*E98/100*E98/100*3.1416/4*B98</f>
        <v>-4.10390940594059E-006</v>
      </c>
      <c r="Q98" s="0" t="n">
        <f aca="false">Q97+O98</f>
        <v>0.171670262843442</v>
      </c>
      <c r="R98" s="0" t="n">
        <f aca="false">P98+R97</f>
        <v>0.000326139202069438</v>
      </c>
      <c r="S98" s="0" t="n">
        <f aca="false">G98/10000*C98*B98</f>
        <v>-3.07793205445544E-006</v>
      </c>
      <c r="T98" s="0" t="n">
        <f aca="false">T97+S98</f>
        <v>0.000271225706680421</v>
      </c>
      <c r="U98" s="0" t="n">
        <f aca="false">IF(B98&gt;1,U97+S98,0)</f>
        <v>0</v>
      </c>
      <c r="V98" s="0" t="n">
        <f aca="false">IF(B98&gt;1,V97+O98,0)</f>
        <v>0</v>
      </c>
      <c r="W98" s="142" t="n">
        <f aca="false">G98/X98</f>
        <v>0.00011781</v>
      </c>
      <c r="X98" s="142" t="n">
        <f aca="false">X97*B97/B98</f>
        <v>5000</v>
      </c>
      <c r="Y98" s="142" t="n">
        <f aca="false">C98/(G98/10000)*$B$14*($F$21/F98)^($B$12)</f>
        <v>-0.0330024041673855</v>
      </c>
      <c r="Z98" s="142" t="n">
        <f aca="false">Y98/B98</f>
        <v>-0.0330024041673855</v>
      </c>
      <c r="AA98" s="142" t="n">
        <f aca="false">AA99+Z98</f>
        <v>-1.12689687219019</v>
      </c>
      <c r="AB98" s="142" t="n">
        <f aca="false">IF(B98&gt;1,AB97+Z98,0)</f>
        <v>0</v>
      </c>
      <c r="AC98" s="540" t="n">
        <f aca="false">-AA98*$B$4*2</f>
        <v>1.12689687219019</v>
      </c>
      <c r="AD98" s="142"/>
      <c r="AM98" s="142"/>
    </row>
    <row r="99" customFormat="false" ht="15.75" hidden="false" customHeight="false" outlineLevel="0" collapsed="false">
      <c r="A99" s="0" t="n">
        <f aca="false">A98+1</f>
        <v>78</v>
      </c>
      <c r="B99" s="0" t="n">
        <f aca="false">MAX(B98/$G$5,1)</f>
        <v>1</v>
      </c>
      <c r="C99" s="0" t="n">
        <f aca="false">$B$10+A99*$G$4</f>
        <v>-0.0545544554455446</v>
      </c>
      <c r="D99" s="0" t="n">
        <f aca="false">(A99+1)*($B$10+$G$4*A99/2)</f>
        <v>2.78259900990099</v>
      </c>
      <c r="E99" s="0" t="n">
        <f aca="false">IF(A99&lt;$J$3,($B$6/10)*$G$5^(A99/$G$3),($B$6/10)*$G$5^($J$3/$G$3))</f>
        <v>1</v>
      </c>
      <c r="F99" s="0" t="n">
        <f aca="false">IF(A99&lt;$J$3,($B$7/10)*$G$5^(A99/$G$2),($B$7/10)*$G$5^($J$3/$G$2))</f>
        <v>0.866025403784439</v>
      </c>
      <c r="G99" s="0" t="n">
        <f aca="false">F99*F99*3.1416/4</f>
        <v>0.58905</v>
      </c>
      <c r="H99" s="0" t="n">
        <f aca="false">E99*E99*3.1416/4</f>
        <v>0.7854</v>
      </c>
      <c r="I99" s="0" t="n">
        <f aca="false">G99*B99</f>
        <v>0.58905</v>
      </c>
      <c r="J99" s="0" t="n">
        <f aca="false">H99*B99</f>
        <v>0.7854</v>
      </c>
      <c r="K99" s="0" t="n">
        <f aca="false">H99-G99</f>
        <v>0.19635</v>
      </c>
      <c r="L99" s="0" t="n">
        <f aca="false">SQRT(4*K99/3.1416)</f>
        <v>0.5</v>
      </c>
      <c r="M99" s="0" t="n">
        <f aca="false">(E99-L99)/2</f>
        <v>0.25</v>
      </c>
      <c r="N99" s="0" t="n">
        <f aca="false">E99*3.1416</f>
        <v>3.1416</v>
      </c>
      <c r="O99" s="0" t="n">
        <f aca="false">C99*3.1416*E99*B99/100</f>
        <v>-0.00171388277227723</v>
      </c>
      <c r="P99" s="0" t="n">
        <f aca="false">C99*E99/100*E99/100*3.1416/4*B99</f>
        <v>-4.28470693069307E-006</v>
      </c>
      <c r="Q99" s="0" t="n">
        <f aca="false">Q98+O99</f>
        <v>0.169956380071164</v>
      </c>
      <c r="R99" s="0" t="n">
        <f aca="false">P99+R98</f>
        <v>0.000321854495138745</v>
      </c>
      <c r="S99" s="0" t="n">
        <f aca="false">G99/10000*C99*B99</f>
        <v>-3.2135301980198E-006</v>
      </c>
      <c r="T99" s="0" t="n">
        <f aca="false">T98+S99</f>
        <v>0.000268012176482401</v>
      </c>
      <c r="U99" s="0" t="n">
        <f aca="false">IF(B99&gt;1,U98+S99,0)</f>
        <v>0</v>
      </c>
      <c r="V99" s="0" t="n">
        <f aca="false">IF(B99&gt;1,V98+O99,0)</f>
        <v>0</v>
      </c>
      <c r="W99" s="142" t="n">
        <f aca="false">G99/X99</f>
        <v>0.00011781</v>
      </c>
      <c r="X99" s="142" t="n">
        <f aca="false">X98*B98/B99</f>
        <v>5000</v>
      </c>
      <c r="Y99" s="142" t="n">
        <f aca="false">C99/(G99/10000)*$B$14*($F$21/F99)^($B$12)</f>
        <v>-0.034456323441458</v>
      </c>
      <c r="Z99" s="142" t="n">
        <f aca="false">Y99/B99</f>
        <v>-0.034456323441458</v>
      </c>
      <c r="AA99" s="142" t="n">
        <f aca="false">AA100+Z99</f>
        <v>-1.0938944680228</v>
      </c>
      <c r="AB99" s="142" t="n">
        <f aca="false">IF(B99&gt;1,AB98+Z99,0)</f>
        <v>0</v>
      </c>
      <c r="AC99" s="540" t="n">
        <f aca="false">-AA99*$B$4*2</f>
        <v>1.0938944680228</v>
      </c>
      <c r="AD99" s="142"/>
      <c r="AM99" s="142"/>
    </row>
    <row r="100" customFormat="false" ht="15.75" hidden="false" customHeight="false" outlineLevel="0" collapsed="false">
      <c r="A100" s="0" t="n">
        <f aca="false">A99+1</f>
        <v>79</v>
      </c>
      <c r="B100" s="0" t="n">
        <f aca="false">MAX(B99/$G$5,1)</f>
        <v>1</v>
      </c>
      <c r="C100" s="0" t="n">
        <f aca="false">$B$10+A100*$G$4</f>
        <v>-0.0568564356435644</v>
      </c>
      <c r="D100" s="0" t="n">
        <f aca="false">(A100+1)*($B$10+$G$4*A100/2)</f>
        <v>2.72574257425743</v>
      </c>
      <c r="E100" s="0" t="n">
        <f aca="false">IF(A100&lt;$J$3,($B$6/10)*$G$5^(A100/$G$3),($B$6/10)*$G$5^($J$3/$G$3))</f>
        <v>1</v>
      </c>
      <c r="F100" s="0" t="n">
        <f aca="false">IF(A100&lt;$J$3,($B$7/10)*$G$5^(A100/$G$2),($B$7/10)*$G$5^($J$3/$G$2))</f>
        <v>0.866025403784439</v>
      </c>
      <c r="G100" s="0" t="n">
        <f aca="false">F100*F100*3.1416/4</f>
        <v>0.58905</v>
      </c>
      <c r="H100" s="0" t="n">
        <f aca="false">E100*E100*3.1416/4</f>
        <v>0.7854</v>
      </c>
      <c r="I100" s="0" t="n">
        <f aca="false">G100*B100</f>
        <v>0.58905</v>
      </c>
      <c r="J100" s="0" t="n">
        <f aca="false">H100*B100</f>
        <v>0.7854</v>
      </c>
      <c r="K100" s="0" t="n">
        <f aca="false">H100-G100</f>
        <v>0.19635</v>
      </c>
      <c r="L100" s="0" t="n">
        <f aca="false">SQRT(4*K100/3.1416)</f>
        <v>0.5</v>
      </c>
      <c r="M100" s="0" t="n">
        <f aca="false">(E100-L100)/2</f>
        <v>0.25</v>
      </c>
      <c r="N100" s="0" t="n">
        <f aca="false">E100*3.1416</f>
        <v>3.1416</v>
      </c>
      <c r="O100" s="0" t="n">
        <f aca="false">C100*3.1416*E100*B100/100</f>
        <v>-0.00178620178217822</v>
      </c>
      <c r="P100" s="0" t="n">
        <f aca="false">C100*E100/100*E100/100*3.1416/4*B100</f>
        <v>-4.46550445544554E-006</v>
      </c>
      <c r="Q100" s="0" t="n">
        <f aca="false">Q99+O100</f>
        <v>0.168170178288986</v>
      </c>
      <c r="R100" s="0" t="n">
        <f aca="false">P100+R99</f>
        <v>0.000317388990683299</v>
      </c>
      <c r="S100" s="0" t="n">
        <f aca="false">G100/10000*C100*B100</f>
        <v>-3.34912834158416E-006</v>
      </c>
      <c r="T100" s="0" t="n">
        <f aca="false">T99+S100</f>
        <v>0.000264663048140817</v>
      </c>
      <c r="U100" s="0" t="n">
        <f aca="false">IF(B100&gt;1,U99+S100,0)</f>
        <v>0</v>
      </c>
      <c r="V100" s="0" t="n">
        <f aca="false">IF(B100&gt;1,V99+O100,0)</f>
        <v>0</v>
      </c>
      <c r="W100" s="142" t="n">
        <f aca="false">G100/X100</f>
        <v>0.00011781</v>
      </c>
      <c r="X100" s="142" t="n">
        <f aca="false">X99*B99/B100</f>
        <v>5000</v>
      </c>
      <c r="Y100" s="142" t="n">
        <f aca="false">C100/(G100/10000)*$B$14*($F$21/F100)^($B$12)</f>
        <v>-0.0359102427155304</v>
      </c>
      <c r="Z100" s="142" t="n">
        <f aca="false">Y100/B100</f>
        <v>-0.0359102427155304</v>
      </c>
      <c r="AA100" s="142" t="n">
        <f aca="false">AA101+Z100</f>
        <v>-1.05943814458134</v>
      </c>
      <c r="AB100" s="142" t="n">
        <f aca="false">IF(B100&gt;1,AB99+Z100,0)</f>
        <v>0</v>
      </c>
      <c r="AC100" s="540" t="n">
        <f aca="false">-AA100*$B$4*2</f>
        <v>1.05943814458134</v>
      </c>
      <c r="AD100" s="142"/>
      <c r="AM100" s="142"/>
    </row>
    <row r="101" customFormat="false" ht="15.75" hidden="false" customHeight="false" outlineLevel="0" collapsed="false">
      <c r="A101" s="0" t="n">
        <f aca="false">A100+1</f>
        <v>80</v>
      </c>
      <c r="B101" s="0" t="n">
        <f aca="false">MAX(B100/$G$5,1)</f>
        <v>1</v>
      </c>
      <c r="C101" s="0" t="n">
        <f aca="false">$B$10+A101*$G$4</f>
        <v>-0.0591584158415842</v>
      </c>
      <c r="D101" s="0" t="n">
        <f aca="false">(A101+1)*($B$10+$G$4*A101/2)</f>
        <v>2.66658415841584</v>
      </c>
      <c r="E101" s="0" t="n">
        <f aca="false">IF(A101&lt;$J$3,($B$6/10)*$G$5^(A101/$G$3),($B$6/10)*$G$5^($J$3/$G$3))</f>
        <v>1</v>
      </c>
      <c r="F101" s="0" t="n">
        <f aca="false">IF(A101&lt;$J$3,($B$7/10)*$G$5^(A101/$G$2),($B$7/10)*$G$5^($J$3/$G$2))</f>
        <v>0.866025403784439</v>
      </c>
      <c r="G101" s="0" t="n">
        <f aca="false">F101*F101*3.1416/4</f>
        <v>0.58905</v>
      </c>
      <c r="H101" s="0" t="n">
        <f aca="false">E101*E101*3.1416/4</f>
        <v>0.7854</v>
      </c>
      <c r="I101" s="0" t="n">
        <f aca="false">G101*B101</f>
        <v>0.58905</v>
      </c>
      <c r="J101" s="0" t="n">
        <f aca="false">H101*B101</f>
        <v>0.7854</v>
      </c>
      <c r="K101" s="0" t="n">
        <f aca="false">H101-G101</f>
        <v>0.19635</v>
      </c>
      <c r="L101" s="0" t="n">
        <f aca="false">SQRT(4*K101/3.1416)</f>
        <v>0.5</v>
      </c>
      <c r="M101" s="0" t="n">
        <f aca="false">(E101-L101)/2</f>
        <v>0.25</v>
      </c>
      <c r="N101" s="0" t="n">
        <f aca="false">E101*3.1416</f>
        <v>3.1416</v>
      </c>
      <c r="O101" s="0" t="n">
        <f aca="false">C101*3.1416*E101*B101/100</f>
        <v>-0.00185852079207921</v>
      </c>
      <c r="P101" s="0" t="n">
        <f aca="false">C101*E101/100*E101/100*3.1416/4*B101</f>
        <v>-4.64630198019802E-006</v>
      </c>
      <c r="Q101" s="0" t="n">
        <f aca="false">Q100+O101</f>
        <v>0.166311657496907</v>
      </c>
      <c r="R101" s="0" t="n">
        <f aca="false">P101+R100</f>
        <v>0.000312742688703101</v>
      </c>
      <c r="S101" s="0" t="n">
        <f aca="false">G101/10000*C101*B101</f>
        <v>-3.48472648514851E-006</v>
      </c>
      <c r="T101" s="0" t="n">
        <f aca="false">T100+S101</f>
        <v>0.000261178321655668</v>
      </c>
      <c r="U101" s="0" t="n">
        <f aca="false">IF(B101&gt;1,U100+S101,0)</f>
        <v>0</v>
      </c>
      <c r="V101" s="0" t="n">
        <f aca="false">IF(B101&gt;1,V100+O101,0)</f>
        <v>0</v>
      </c>
      <c r="W101" s="142" t="n">
        <f aca="false">G101/X101</f>
        <v>0.00011781</v>
      </c>
      <c r="X101" s="142" t="n">
        <f aca="false">X100*B100/B101</f>
        <v>5000</v>
      </c>
      <c r="Y101" s="142" t="n">
        <f aca="false">C101/(G101/10000)*$B$14*($F$21/F101)^($B$12)</f>
        <v>-0.0373641619896028</v>
      </c>
      <c r="Z101" s="142" t="n">
        <f aca="false">Y101/B101</f>
        <v>-0.0373641619896028</v>
      </c>
      <c r="AA101" s="142" t="n">
        <f aca="false">AA102+Z101</f>
        <v>-1.02352790186581</v>
      </c>
      <c r="AB101" s="142" t="n">
        <f aca="false">IF(B101&gt;1,AB100+Z101,0)</f>
        <v>0</v>
      </c>
      <c r="AC101" s="540" t="n">
        <f aca="false">-AA101*$B$4*2</f>
        <v>1.02352790186581</v>
      </c>
      <c r="AD101" s="142"/>
      <c r="AM101" s="142"/>
    </row>
    <row r="102" customFormat="false" ht="15.75" hidden="false" customHeight="false" outlineLevel="0" collapsed="false">
      <c r="A102" s="0" t="n">
        <f aca="false">A101+1</f>
        <v>81</v>
      </c>
      <c r="B102" s="0" t="n">
        <f aca="false">MAX(B101/$G$5,1)</f>
        <v>1</v>
      </c>
      <c r="C102" s="0" t="n">
        <f aca="false">$B$10+A102*$G$4</f>
        <v>-0.061460396039604</v>
      </c>
      <c r="D102" s="0" t="n">
        <f aca="false">(A102+1)*($B$10+$G$4*A102/2)</f>
        <v>2.60512376237624</v>
      </c>
      <c r="E102" s="0" t="n">
        <f aca="false">IF(A102&lt;$J$3,($B$6/10)*$G$5^(A102/$G$3),($B$6/10)*$G$5^($J$3/$G$3))</f>
        <v>1</v>
      </c>
      <c r="F102" s="0" t="n">
        <f aca="false">IF(A102&lt;$J$3,($B$7/10)*$G$5^(A102/$G$2),($B$7/10)*$G$5^($J$3/$G$2))</f>
        <v>0.866025403784439</v>
      </c>
      <c r="G102" s="0" t="n">
        <f aca="false">F102*F102*3.1416/4</f>
        <v>0.58905</v>
      </c>
      <c r="H102" s="0" t="n">
        <f aca="false">E102*E102*3.1416/4</f>
        <v>0.7854</v>
      </c>
      <c r="I102" s="0" t="n">
        <f aca="false">G102*B102</f>
        <v>0.58905</v>
      </c>
      <c r="J102" s="0" t="n">
        <f aca="false">H102*B102</f>
        <v>0.7854</v>
      </c>
      <c r="K102" s="0" t="n">
        <f aca="false">H102-G102</f>
        <v>0.19635</v>
      </c>
      <c r="L102" s="0" t="n">
        <f aca="false">SQRT(4*K102/3.1416)</f>
        <v>0.5</v>
      </c>
      <c r="M102" s="0" t="n">
        <f aca="false">(E102-L102)/2</f>
        <v>0.25</v>
      </c>
      <c r="N102" s="0" t="n">
        <f aca="false">E102*3.1416</f>
        <v>3.1416</v>
      </c>
      <c r="O102" s="0" t="n">
        <f aca="false">C102*3.1416*E102*B102/100</f>
        <v>-0.0019308398019802</v>
      </c>
      <c r="P102" s="0" t="n">
        <f aca="false">C102*E102/100*E102/100*3.1416/4*B102</f>
        <v>-4.82709950495049E-006</v>
      </c>
      <c r="Q102" s="0" t="n">
        <f aca="false">Q101+O102</f>
        <v>0.164380817694927</v>
      </c>
      <c r="R102" s="0" t="n">
        <f aca="false">P102+R101</f>
        <v>0.00030791558919815</v>
      </c>
      <c r="S102" s="0" t="n">
        <f aca="false">G102/10000*C102*B102</f>
        <v>-3.62032462871287E-006</v>
      </c>
      <c r="T102" s="0" t="n">
        <f aca="false">T101+S102</f>
        <v>0.000257557997026956</v>
      </c>
      <c r="U102" s="0" t="n">
        <f aca="false">IF(B102&gt;1,U101+S102,0)</f>
        <v>0</v>
      </c>
      <c r="V102" s="0" t="n">
        <f aca="false">IF(B102&gt;1,V101+O102,0)</f>
        <v>0</v>
      </c>
      <c r="W102" s="142" t="n">
        <f aca="false">G102/X102</f>
        <v>0.00011781</v>
      </c>
      <c r="X102" s="142" t="n">
        <f aca="false">X101*B101/B102</f>
        <v>5000</v>
      </c>
      <c r="Y102" s="142" t="n">
        <f aca="false">C102/(G102/10000)*$B$14*($F$21/F102)^($B$12)</f>
        <v>-0.0388180812636752</v>
      </c>
      <c r="Z102" s="142" t="n">
        <f aca="false">Y102/B102</f>
        <v>-0.0388180812636752</v>
      </c>
      <c r="AA102" s="142" t="n">
        <f aca="false">AA103+Z102</f>
        <v>-0.986163739876211</v>
      </c>
      <c r="AB102" s="142" t="n">
        <f aca="false">IF(B102&gt;1,AB101+Z102,0)</f>
        <v>0</v>
      </c>
      <c r="AC102" s="540" t="n">
        <f aca="false">-AA102*$B$4*2</f>
        <v>0.986163739876211</v>
      </c>
      <c r="AD102" s="142"/>
      <c r="AM102" s="142"/>
    </row>
    <row r="103" customFormat="false" ht="15.75" hidden="false" customHeight="false" outlineLevel="0" collapsed="false">
      <c r="A103" s="0" t="n">
        <f aca="false">A102+1</f>
        <v>82</v>
      </c>
      <c r="B103" s="0" t="n">
        <f aca="false">MAX(B102/$G$5,1)</f>
        <v>1</v>
      </c>
      <c r="C103" s="0" t="n">
        <f aca="false">$B$10+A103*$G$4</f>
        <v>-0.0637623762376238</v>
      </c>
      <c r="D103" s="0" t="n">
        <f aca="false">(A103+1)*($B$10+$G$4*A103/2)</f>
        <v>2.54136138613861</v>
      </c>
      <c r="E103" s="0" t="n">
        <f aca="false">IF(A103&lt;$J$3,($B$6/10)*$G$5^(A103/$G$3),($B$6/10)*$G$5^($J$3/$G$3))</f>
        <v>1</v>
      </c>
      <c r="F103" s="0" t="n">
        <f aca="false">IF(A103&lt;$J$3,($B$7/10)*$G$5^(A103/$G$2),($B$7/10)*$G$5^($J$3/$G$2))</f>
        <v>0.866025403784439</v>
      </c>
      <c r="G103" s="0" t="n">
        <f aca="false">F103*F103*3.1416/4</f>
        <v>0.58905</v>
      </c>
      <c r="H103" s="0" t="n">
        <f aca="false">E103*E103*3.1416/4</f>
        <v>0.7854</v>
      </c>
      <c r="I103" s="0" t="n">
        <f aca="false">G103*B103</f>
        <v>0.58905</v>
      </c>
      <c r="J103" s="0" t="n">
        <f aca="false">H103*B103</f>
        <v>0.7854</v>
      </c>
      <c r="K103" s="0" t="n">
        <f aca="false">H103-G103</f>
        <v>0.19635</v>
      </c>
      <c r="L103" s="0" t="n">
        <f aca="false">SQRT(4*K103/3.1416)</f>
        <v>0.5</v>
      </c>
      <c r="M103" s="0" t="n">
        <f aca="false">(E103-L103)/2</f>
        <v>0.25</v>
      </c>
      <c r="N103" s="0" t="n">
        <f aca="false">E103*3.1416</f>
        <v>3.1416</v>
      </c>
      <c r="O103" s="0" t="n">
        <f aca="false">C103*3.1416*E103*B103/100</f>
        <v>-0.00200315881188119</v>
      </c>
      <c r="P103" s="0" t="n">
        <f aca="false">C103*E103/100*E103/100*3.1416/4*B103</f>
        <v>-5.00789702970297E-006</v>
      </c>
      <c r="Q103" s="0" t="n">
        <f aca="false">Q102+O103</f>
        <v>0.162377658883046</v>
      </c>
      <c r="R103" s="0" t="n">
        <f aca="false">P103+R102</f>
        <v>0.000302907692168447</v>
      </c>
      <c r="S103" s="0" t="n">
        <f aca="false">G103/10000*C103*B103</f>
        <v>-3.75592277227723E-006</v>
      </c>
      <c r="T103" s="0" t="n">
        <f aca="false">T102+S103</f>
        <v>0.000253802074254678</v>
      </c>
      <c r="U103" s="0" t="n">
        <f aca="false">IF(B103&gt;1,U102+S103,0)</f>
        <v>0</v>
      </c>
      <c r="V103" s="0" t="n">
        <f aca="false">IF(B103&gt;1,V102+O103,0)</f>
        <v>0</v>
      </c>
      <c r="W103" s="142" t="n">
        <f aca="false">G103/X103</f>
        <v>0.00011781</v>
      </c>
      <c r="X103" s="142" t="n">
        <f aca="false">X102*B102/B103</f>
        <v>5000</v>
      </c>
      <c r="Y103" s="142" t="n">
        <f aca="false">C103/(G103/10000)*$B$14*($F$21/F103)^($B$12)</f>
        <v>-0.0402720005377476</v>
      </c>
      <c r="Z103" s="142" t="n">
        <f aca="false">Y103/B103</f>
        <v>-0.0402720005377476</v>
      </c>
      <c r="AA103" s="142" t="n">
        <f aca="false">AA104+Z103</f>
        <v>-0.947345658612536</v>
      </c>
      <c r="AB103" s="142" t="n">
        <f aca="false">IF(B103&gt;1,AB102+Z103,0)</f>
        <v>0</v>
      </c>
      <c r="AC103" s="540" t="n">
        <f aca="false">-AA103*$B$4*2</f>
        <v>0.947345658612536</v>
      </c>
      <c r="AD103" s="142"/>
      <c r="AM103" s="142"/>
    </row>
    <row r="104" customFormat="false" ht="15.75" hidden="false" customHeight="false" outlineLevel="0" collapsed="false">
      <c r="A104" s="0" t="n">
        <f aca="false">A103+1</f>
        <v>83</v>
      </c>
      <c r="B104" s="0" t="n">
        <f aca="false">MAX(B103/$G$5,1)</f>
        <v>1</v>
      </c>
      <c r="C104" s="0" t="n">
        <f aca="false">$B$10+A104*$G$4</f>
        <v>-0.0660643564356436</v>
      </c>
      <c r="D104" s="0" t="n">
        <f aca="false">(A104+1)*($B$10+$G$4*A104/2)</f>
        <v>2.47529702970297</v>
      </c>
      <c r="E104" s="0" t="n">
        <f aca="false">IF(A104&lt;$J$3,($B$6/10)*$G$5^(A104/$G$3),($B$6/10)*$G$5^($J$3/$G$3))</f>
        <v>1</v>
      </c>
      <c r="F104" s="0" t="n">
        <f aca="false">IF(A104&lt;$J$3,($B$7/10)*$G$5^(A104/$G$2),($B$7/10)*$G$5^($J$3/$G$2))</f>
        <v>0.866025403784439</v>
      </c>
      <c r="G104" s="0" t="n">
        <f aca="false">F104*F104*3.1416/4</f>
        <v>0.58905</v>
      </c>
      <c r="H104" s="0" t="n">
        <f aca="false">E104*E104*3.1416/4</f>
        <v>0.7854</v>
      </c>
      <c r="I104" s="0" t="n">
        <f aca="false">G104*B104</f>
        <v>0.58905</v>
      </c>
      <c r="J104" s="0" t="n">
        <f aca="false">H104*B104</f>
        <v>0.7854</v>
      </c>
      <c r="K104" s="0" t="n">
        <f aca="false">H104-G104</f>
        <v>0.19635</v>
      </c>
      <c r="L104" s="0" t="n">
        <f aca="false">SQRT(4*K104/3.1416)</f>
        <v>0.5</v>
      </c>
      <c r="M104" s="0" t="n">
        <f aca="false">(E104-L104)/2</f>
        <v>0.25</v>
      </c>
      <c r="N104" s="0" t="n">
        <f aca="false">E104*3.1416</f>
        <v>3.1416</v>
      </c>
      <c r="O104" s="0" t="n">
        <f aca="false">C104*3.1416*E104*B104/100</f>
        <v>-0.00207547782178218</v>
      </c>
      <c r="P104" s="0" t="n">
        <f aca="false">C104*E104/100*E104/100*3.1416/4*B104</f>
        <v>-5.18869455445544E-006</v>
      </c>
      <c r="Q104" s="0" t="n">
        <f aca="false">Q103+O104</f>
        <v>0.160302181061263</v>
      </c>
      <c r="R104" s="0" t="n">
        <f aca="false">P104+R103</f>
        <v>0.000297718997613992</v>
      </c>
      <c r="S104" s="0" t="n">
        <f aca="false">G104/10000*C104*B104</f>
        <v>-3.89152091584158E-006</v>
      </c>
      <c r="T104" s="0" t="n">
        <f aca="false">T103+S104</f>
        <v>0.000249910553338837</v>
      </c>
      <c r="U104" s="0" t="n">
        <f aca="false">IF(B104&gt;1,U103+S104,0)</f>
        <v>0</v>
      </c>
      <c r="V104" s="0" t="n">
        <f aca="false">IF(B104&gt;1,V103+O104,0)</f>
        <v>0</v>
      </c>
      <c r="W104" s="142" t="n">
        <f aca="false">G104/X104</f>
        <v>0.00011781</v>
      </c>
      <c r="X104" s="142" t="n">
        <f aca="false">X103*B103/B104</f>
        <v>5000</v>
      </c>
      <c r="Y104" s="142" t="n">
        <f aca="false">C104/(G104/10000)*$B$14*($F$21/F104)^($B$12)</f>
        <v>-0.04172591981182</v>
      </c>
      <c r="Z104" s="142" t="n">
        <f aca="false">Y104/B104</f>
        <v>-0.04172591981182</v>
      </c>
      <c r="AA104" s="142" t="n">
        <f aca="false">AA105+Z104</f>
        <v>-0.907073658074788</v>
      </c>
      <c r="AB104" s="142" t="n">
        <f aca="false">IF(B104&gt;1,AB103+Z104,0)</f>
        <v>0</v>
      </c>
      <c r="AC104" s="540" t="n">
        <f aca="false">-AA104*$B$4*2</f>
        <v>0.907073658074788</v>
      </c>
      <c r="AD104" s="142"/>
      <c r="AM104" s="142"/>
    </row>
    <row r="105" customFormat="false" ht="15.75" hidden="false" customHeight="false" outlineLevel="0" collapsed="false">
      <c r="A105" s="0" t="n">
        <f aca="false">A104+1</f>
        <v>84</v>
      </c>
      <c r="B105" s="0" t="n">
        <f aca="false">MAX(B104/$G$5,1)</f>
        <v>1</v>
      </c>
      <c r="C105" s="0" t="n">
        <f aca="false">$B$10+A105*$G$4</f>
        <v>-0.0683663366336633</v>
      </c>
      <c r="D105" s="0" t="n">
        <f aca="false">(A105+1)*($B$10+$G$4*A105/2)</f>
        <v>2.40693069306931</v>
      </c>
      <c r="E105" s="0" t="n">
        <f aca="false">IF(A105&lt;$J$3,($B$6/10)*$G$5^(A105/$G$3),($B$6/10)*$G$5^($J$3/$G$3))</f>
        <v>1</v>
      </c>
      <c r="F105" s="0" t="n">
        <f aca="false">IF(A105&lt;$J$3,($B$7/10)*$G$5^(A105/$G$2),($B$7/10)*$G$5^($J$3/$G$2))</f>
        <v>0.866025403784439</v>
      </c>
      <c r="G105" s="0" t="n">
        <f aca="false">F105*F105*3.1416/4</f>
        <v>0.58905</v>
      </c>
      <c r="H105" s="0" t="n">
        <f aca="false">E105*E105*3.1416/4</f>
        <v>0.7854</v>
      </c>
      <c r="I105" s="0" t="n">
        <f aca="false">G105*B105</f>
        <v>0.58905</v>
      </c>
      <c r="J105" s="0" t="n">
        <f aca="false">H105*B105</f>
        <v>0.7854</v>
      </c>
      <c r="K105" s="0" t="n">
        <f aca="false">H105-G105</f>
        <v>0.19635</v>
      </c>
      <c r="L105" s="0" t="n">
        <f aca="false">SQRT(4*K105/3.1416)</f>
        <v>0.5</v>
      </c>
      <c r="M105" s="0" t="n">
        <f aca="false">(E105-L105)/2</f>
        <v>0.25</v>
      </c>
      <c r="N105" s="0" t="n">
        <f aca="false">E105*3.1416</f>
        <v>3.1416</v>
      </c>
      <c r="O105" s="0" t="n">
        <f aca="false">C105*3.1416*E105*B105/100</f>
        <v>-0.00214779683168317</v>
      </c>
      <c r="P105" s="0" t="n">
        <f aca="false">C105*E105/100*E105/100*3.1416/4*B105</f>
        <v>-5.36949207920792E-006</v>
      </c>
      <c r="Q105" s="0" t="n">
        <f aca="false">Q104+O105</f>
        <v>0.15815438422958</v>
      </c>
      <c r="R105" s="0" t="n">
        <f aca="false">P105+R104</f>
        <v>0.000292349505534784</v>
      </c>
      <c r="S105" s="0" t="n">
        <f aca="false">G105/10000*C105*B105</f>
        <v>-4.02711905940594E-006</v>
      </c>
      <c r="T105" s="0" t="n">
        <f aca="false">T104+S105</f>
        <v>0.000245883434279431</v>
      </c>
      <c r="U105" s="0" t="n">
        <f aca="false">IF(B105&gt;1,U104+S105,0)</f>
        <v>0</v>
      </c>
      <c r="V105" s="0" t="n">
        <f aca="false">IF(B105&gt;1,V104+O105,0)</f>
        <v>0</v>
      </c>
      <c r="W105" s="142" t="n">
        <f aca="false">G105/X105</f>
        <v>0.00011781</v>
      </c>
      <c r="X105" s="142" t="n">
        <f aca="false">X104*B104/B105</f>
        <v>5000</v>
      </c>
      <c r="Y105" s="142" t="n">
        <f aca="false">C105/(G105/10000)*$B$14*($F$21/F105)^($B$12)</f>
        <v>-0.0431798390858924</v>
      </c>
      <c r="Z105" s="142" t="n">
        <f aca="false">Y105/B105</f>
        <v>-0.0431798390858924</v>
      </c>
      <c r="AA105" s="142" t="n">
        <f aca="false">AA106+Z105</f>
        <v>-0.865347738262968</v>
      </c>
      <c r="AB105" s="142" t="n">
        <f aca="false">IF(B105&gt;1,AB104+Z105,0)</f>
        <v>0</v>
      </c>
      <c r="AC105" s="540" t="n">
        <f aca="false">-AA105*$B$4*2</f>
        <v>0.865347738262968</v>
      </c>
      <c r="AD105" s="142"/>
      <c r="AM105" s="142"/>
    </row>
    <row r="106" customFormat="false" ht="15.75" hidden="false" customHeight="false" outlineLevel="0" collapsed="false">
      <c r="A106" s="0" t="n">
        <f aca="false">A105+1</f>
        <v>85</v>
      </c>
      <c r="B106" s="0" t="n">
        <f aca="false">MAX(B105/$G$5,1)</f>
        <v>1</v>
      </c>
      <c r="C106" s="0" t="n">
        <f aca="false">$B$10+A106*$G$4</f>
        <v>-0.0706683168316831</v>
      </c>
      <c r="D106" s="0" t="n">
        <f aca="false">(A106+1)*($B$10+$G$4*A106/2)</f>
        <v>2.33626237623762</v>
      </c>
      <c r="E106" s="0" t="n">
        <f aca="false">IF(A106&lt;$J$3,($B$6/10)*$G$5^(A106/$G$3),($B$6/10)*$G$5^($J$3/$G$3))</f>
        <v>1</v>
      </c>
      <c r="F106" s="0" t="n">
        <f aca="false">IF(A106&lt;$J$3,($B$7/10)*$G$5^(A106/$G$2),($B$7/10)*$G$5^($J$3/$G$2))</f>
        <v>0.866025403784439</v>
      </c>
      <c r="G106" s="0" t="n">
        <f aca="false">F106*F106*3.1416/4</f>
        <v>0.58905</v>
      </c>
      <c r="H106" s="0" t="n">
        <f aca="false">E106*E106*3.1416/4</f>
        <v>0.7854</v>
      </c>
      <c r="I106" s="0" t="n">
        <f aca="false">G106*B106</f>
        <v>0.58905</v>
      </c>
      <c r="J106" s="0" t="n">
        <f aca="false">H106*B106</f>
        <v>0.7854</v>
      </c>
      <c r="K106" s="0" t="n">
        <f aca="false">H106-G106</f>
        <v>0.19635</v>
      </c>
      <c r="L106" s="0" t="n">
        <f aca="false">SQRT(4*K106/3.1416)</f>
        <v>0.5</v>
      </c>
      <c r="M106" s="0" t="n">
        <f aca="false">(E106-L106)/2</f>
        <v>0.25</v>
      </c>
      <c r="N106" s="0" t="n">
        <f aca="false">E106*3.1416</f>
        <v>3.1416</v>
      </c>
      <c r="O106" s="0" t="n">
        <f aca="false">C106*3.1416*E106*B106/100</f>
        <v>-0.00222011584158416</v>
      </c>
      <c r="P106" s="0" t="n">
        <f aca="false">C106*E106/100*E106/100*3.1416/4*B106</f>
        <v>-5.55028960396039E-006</v>
      </c>
      <c r="Q106" s="0" t="n">
        <f aca="false">Q105+O106</f>
        <v>0.155934268387996</v>
      </c>
      <c r="R106" s="0" t="n">
        <f aca="false">P106+R105</f>
        <v>0.000286799215930824</v>
      </c>
      <c r="S106" s="0" t="n">
        <f aca="false">G106/10000*C106*B106</f>
        <v>-4.1627172029703E-006</v>
      </c>
      <c r="T106" s="0" t="n">
        <f aca="false">T105+S106</f>
        <v>0.000241720717076461</v>
      </c>
      <c r="U106" s="0" t="n">
        <f aca="false">IF(B106&gt;1,U105+S106,0)</f>
        <v>0</v>
      </c>
      <c r="V106" s="0" t="n">
        <f aca="false">IF(B106&gt;1,V105+O106,0)</f>
        <v>0</v>
      </c>
      <c r="W106" s="142" t="n">
        <f aca="false">G106/X106</f>
        <v>0.00011781</v>
      </c>
      <c r="X106" s="142" t="n">
        <f aca="false">X105*B105/B106</f>
        <v>5000</v>
      </c>
      <c r="Y106" s="142" t="n">
        <f aca="false">C106/(G106/10000)*$B$14*($F$21/F106)^($B$12)</f>
        <v>-0.0446337583599648</v>
      </c>
      <c r="Z106" s="142" t="n">
        <f aca="false">Y106/B106</f>
        <v>-0.0446337583599648</v>
      </c>
      <c r="AA106" s="142" t="n">
        <f aca="false">AA107+Z106</f>
        <v>-0.822167899177075</v>
      </c>
      <c r="AB106" s="142" t="n">
        <f aca="false">IF(B106&gt;1,AB105+Z106,0)</f>
        <v>0</v>
      </c>
      <c r="AC106" s="540" t="n">
        <f aca="false">-AA106*$B$4*2</f>
        <v>0.822167899177075</v>
      </c>
      <c r="AD106" s="142"/>
      <c r="AM106" s="142"/>
    </row>
    <row r="107" customFormat="false" ht="15.75" hidden="false" customHeight="false" outlineLevel="0" collapsed="false">
      <c r="A107" s="0" t="n">
        <f aca="false">A106+1</f>
        <v>86</v>
      </c>
      <c r="B107" s="0" t="n">
        <f aca="false">MAX(B106/$G$5,1)</f>
        <v>1</v>
      </c>
      <c r="C107" s="0" t="n">
        <f aca="false">$B$10+A107*$G$4</f>
        <v>-0.0729702970297029</v>
      </c>
      <c r="D107" s="0" t="n">
        <f aca="false">(A107+1)*($B$10+$G$4*A107/2)</f>
        <v>2.26329207920792</v>
      </c>
      <c r="E107" s="0" t="n">
        <f aca="false">IF(A107&lt;$J$3,($B$6/10)*$G$5^(A107/$G$3),($B$6/10)*$G$5^($J$3/$G$3))</f>
        <v>1</v>
      </c>
      <c r="F107" s="0" t="n">
        <f aca="false">IF(A107&lt;$J$3,($B$7/10)*$G$5^(A107/$G$2),($B$7/10)*$G$5^($J$3/$G$2))</f>
        <v>0.866025403784439</v>
      </c>
      <c r="G107" s="0" t="n">
        <f aca="false">F107*F107*3.1416/4</f>
        <v>0.58905</v>
      </c>
      <c r="H107" s="0" t="n">
        <f aca="false">E107*E107*3.1416/4</f>
        <v>0.7854</v>
      </c>
      <c r="I107" s="0" t="n">
        <f aca="false">G107*B107</f>
        <v>0.58905</v>
      </c>
      <c r="J107" s="0" t="n">
        <f aca="false">H107*B107</f>
        <v>0.7854</v>
      </c>
      <c r="K107" s="0" t="n">
        <f aca="false">H107-G107</f>
        <v>0.19635</v>
      </c>
      <c r="L107" s="0" t="n">
        <f aca="false">SQRT(4*K107/3.1416)</f>
        <v>0.5</v>
      </c>
      <c r="M107" s="0" t="n">
        <f aca="false">(E107-L107)/2</f>
        <v>0.25</v>
      </c>
      <c r="N107" s="0" t="n">
        <f aca="false">E107*3.1416</f>
        <v>3.1416</v>
      </c>
      <c r="O107" s="0" t="n">
        <f aca="false">C107*3.1416*E107*B107/100</f>
        <v>-0.00229243485148515</v>
      </c>
      <c r="P107" s="0" t="n">
        <f aca="false">C107*E107/100*E107/100*3.1416/4*B107</f>
        <v>-5.73108712871287E-006</v>
      </c>
      <c r="Q107" s="0" t="n">
        <f aca="false">Q106+O107</f>
        <v>0.153641833536511</v>
      </c>
      <c r="R107" s="0" t="n">
        <f aca="false">P107+R106</f>
        <v>0.000281068128802111</v>
      </c>
      <c r="S107" s="0" t="n">
        <f aca="false">G107/10000*C107*B107</f>
        <v>-4.29831534653465E-006</v>
      </c>
      <c r="T107" s="0" t="n">
        <f aca="false">T106+S107</f>
        <v>0.000237422401729926</v>
      </c>
      <c r="U107" s="0" t="n">
        <f aca="false">IF(B107&gt;1,U106+S107,0)</f>
        <v>0</v>
      </c>
      <c r="V107" s="0" t="n">
        <f aca="false">IF(B107&gt;1,V106+O107,0)</f>
        <v>0</v>
      </c>
      <c r="W107" s="142" t="n">
        <f aca="false">G107/X107</f>
        <v>0.00011781</v>
      </c>
      <c r="X107" s="142" t="n">
        <f aca="false">X106*B106/B107</f>
        <v>5000</v>
      </c>
      <c r="Y107" s="142" t="n">
        <f aca="false">C107/(G107/10000)*$B$14*($F$21/F107)^($B$12)</f>
        <v>-0.0460876776340372</v>
      </c>
      <c r="Z107" s="142" t="n">
        <f aca="false">Y107/B107</f>
        <v>-0.0460876776340372</v>
      </c>
      <c r="AA107" s="142" t="n">
        <f aca="false">AA108+Z107</f>
        <v>-0.777534140817111</v>
      </c>
      <c r="AB107" s="142" t="n">
        <f aca="false">IF(B107&gt;1,AB106+Z107,0)</f>
        <v>0</v>
      </c>
      <c r="AC107" s="540" t="n">
        <f aca="false">-AA107*$B$4*2</f>
        <v>0.777534140817111</v>
      </c>
      <c r="AD107" s="142"/>
      <c r="AM107" s="142"/>
    </row>
    <row r="108" customFormat="false" ht="15.75" hidden="false" customHeight="false" outlineLevel="0" collapsed="false">
      <c r="A108" s="0" t="n">
        <f aca="false">A107+1</f>
        <v>87</v>
      </c>
      <c r="B108" s="0" t="n">
        <f aca="false">MAX(B107/$G$5,1)</f>
        <v>1</v>
      </c>
      <c r="C108" s="0" t="n">
        <f aca="false">$B$10+A108*$G$4</f>
        <v>-0.0752722772277228</v>
      </c>
      <c r="D108" s="0" t="n">
        <f aca="false">(A108+1)*($B$10+$G$4*A108/2)</f>
        <v>2.1880198019802</v>
      </c>
      <c r="E108" s="0" t="n">
        <f aca="false">IF(A108&lt;$J$3,($B$6/10)*$G$5^(A108/$G$3),($B$6/10)*$G$5^($J$3/$G$3))</f>
        <v>1</v>
      </c>
      <c r="F108" s="0" t="n">
        <f aca="false">IF(A108&lt;$J$3,($B$7/10)*$G$5^(A108/$G$2),($B$7/10)*$G$5^($J$3/$G$2))</f>
        <v>0.866025403784439</v>
      </c>
      <c r="G108" s="0" t="n">
        <f aca="false">F108*F108*3.1416/4</f>
        <v>0.58905</v>
      </c>
      <c r="H108" s="0" t="n">
        <f aca="false">E108*E108*3.1416/4</f>
        <v>0.7854</v>
      </c>
      <c r="I108" s="0" t="n">
        <f aca="false">G108*B108</f>
        <v>0.58905</v>
      </c>
      <c r="J108" s="0" t="n">
        <f aca="false">H108*B108</f>
        <v>0.7854</v>
      </c>
      <c r="K108" s="0" t="n">
        <f aca="false">H108-G108</f>
        <v>0.19635</v>
      </c>
      <c r="L108" s="0" t="n">
        <f aca="false">SQRT(4*K108/3.1416)</f>
        <v>0.5</v>
      </c>
      <c r="M108" s="0" t="n">
        <f aca="false">(E108-L108)/2</f>
        <v>0.25</v>
      </c>
      <c r="N108" s="0" t="n">
        <f aca="false">E108*3.1416</f>
        <v>3.1416</v>
      </c>
      <c r="O108" s="0" t="n">
        <f aca="false">C108*3.1416*E108*B108/100</f>
        <v>-0.00236475386138614</v>
      </c>
      <c r="P108" s="0" t="n">
        <f aca="false">C108*E108/100*E108/100*3.1416/4*B108</f>
        <v>-5.91188465346534E-006</v>
      </c>
      <c r="Q108" s="0" t="n">
        <f aca="false">Q107+O108</f>
        <v>0.151277079675125</v>
      </c>
      <c r="R108" s="0" t="n">
        <f aca="false">P108+R107</f>
        <v>0.000275156244148646</v>
      </c>
      <c r="S108" s="0" t="n">
        <f aca="false">G108/10000*C108*B108</f>
        <v>-4.43391349009901E-006</v>
      </c>
      <c r="T108" s="0" t="n">
        <f aca="false">T107+S108</f>
        <v>0.000232988488239827</v>
      </c>
      <c r="U108" s="0" t="n">
        <f aca="false">IF(B108&gt;1,U107+S108,0)</f>
        <v>0</v>
      </c>
      <c r="V108" s="0" t="n">
        <f aca="false">IF(B108&gt;1,V107+O108,0)</f>
        <v>0</v>
      </c>
      <c r="W108" s="142" t="n">
        <f aca="false">G108/X108</f>
        <v>0.00011781</v>
      </c>
      <c r="X108" s="142" t="n">
        <f aca="false">X107*B107/B108</f>
        <v>5000</v>
      </c>
      <c r="Y108" s="142" t="n">
        <f aca="false">C108/(G108/10000)*$B$14*($F$21/F108)^($B$12)</f>
        <v>-0.0475415969081096</v>
      </c>
      <c r="Z108" s="142" t="n">
        <f aca="false">Y108/B108</f>
        <v>-0.0475415969081096</v>
      </c>
      <c r="AA108" s="142" t="n">
        <f aca="false">AA109+Z108</f>
        <v>-0.731446463183073</v>
      </c>
      <c r="AB108" s="142" t="n">
        <f aca="false">IF(B108&gt;1,AB107+Z108,0)</f>
        <v>0</v>
      </c>
      <c r="AC108" s="540" t="n">
        <f aca="false">-AA108*$B$4*2</f>
        <v>0.731446463183073</v>
      </c>
      <c r="AD108" s="142"/>
      <c r="AM108" s="142"/>
    </row>
    <row r="109" customFormat="false" ht="15.75" hidden="false" customHeight="false" outlineLevel="0" collapsed="false">
      <c r="A109" s="0" t="n">
        <f aca="false">A108+1</f>
        <v>88</v>
      </c>
      <c r="B109" s="0" t="n">
        <f aca="false">MAX(B108/$G$5,1)</f>
        <v>1</v>
      </c>
      <c r="C109" s="0" t="n">
        <f aca="false">$B$10+A109*$G$4</f>
        <v>-0.0775742574257426</v>
      </c>
      <c r="D109" s="0" t="n">
        <f aca="false">(A109+1)*($B$10+$G$4*A109/2)</f>
        <v>2.11044554455446</v>
      </c>
      <c r="E109" s="0" t="n">
        <f aca="false">IF(A109&lt;$J$3,($B$6/10)*$G$5^(A109/$G$3),($B$6/10)*$G$5^($J$3/$G$3))</f>
        <v>1</v>
      </c>
      <c r="F109" s="0" t="n">
        <f aca="false">IF(A109&lt;$J$3,($B$7/10)*$G$5^(A109/$G$2),($B$7/10)*$G$5^($J$3/$G$2))</f>
        <v>0.866025403784439</v>
      </c>
      <c r="G109" s="0" t="n">
        <f aca="false">F109*F109*3.1416/4</f>
        <v>0.58905</v>
      </c>
      <c r="H109" s="0" t="n">
        <f aca="false">E109*E109*3.1416/4</f>
        <v>0.7854</v>
      </c>
      <c r="I109" s="0" t="n">
        <f aca="false">G109*B109</f>
        <v>0.58905</v>
      </c>
      <c r="J109" s="0" t="n">
        <f aca="false">H109*B109</f>
        <v>0.7854</v>
      </c>
      <c r="K109" s="0" t="n">
        <f aca="false">H109-G109</f>
        <v>0.19635</v>
      </c>
      <c r="L109" s="0" t="n">
        <f aca="false">SQRT(4*K109/3.1416)</f>
        <v>0.5</v>
      </c>
      <c r="M109" s="0" t="n">
        <f aca="false">(E109-L109)/2</f>
        <v>0.25</v>
      </c>
      <c r="N109" s="0" t="n">
        <f aca="false">E109*3.1416</f>
        <v>3.1416</v>
      </c>
      <c r="O109" s="0" t="n">
        <f aca="false">C109*3.1416*E109*B109/100</f>
        <v>-0.00243707287128713</v>
      </c>
      <c r="P109" s="0" t="n">
        <f aca="false">C109*E109/100*E109/100*3.1416/4*B109</f>
        <v>-6.09268217821782E-006</v>
      </c>
      <c r="Q109" s="0" t="n">
        <f aca="false">Q108+O109</f>
        <v>0.148840006803838</v>
      </c>
      <c r="R109" s="0" t="n">
        <f aca="false">P109+R108</f>
        <v>0.000269063561970428</v>
      </c>
      <c r="S109" s="0" t="n">
        <f aca="false">G109/10000*C109*B109</f>
        <v>-4.56951163366337E-006</v>
      </c>
      <c r="T109" s="0" t="n">
        <f aca="false">T108+S109</f>
        <v>0.000228418976606164</v>
      </c>
      <c r="U109" s="0" t="n">
        <f aca="false">IF(B109&gt;1,U108+S109,0)</f>
        <v>0</v>
      </c>
      <c r="V109" s="0" t="n">
        <f aca="false">IF(B109&gt;1,V108+O109,0)</f>
        <v>0</v>
      </c>
      <c r="W109" s="142" t="n">
        <f aca="false">G109/X109</f>
        <v>0.00011781</v>
      </c>
      <c r="X109" s="142" t="n">
        <f aca="false">X108*B108/B109</f>
        <v>5000</v>
      </c>
      <c r="Y109" s="142" t="n">
        <f aca="false">C109/(G109/10000)*$B$14*($F$21/F109)^($B$12)</f>
        <v>-0.0489955161821821</v>
      </c>
      <c r="Z109" s="142" t="n">
        <f aca="false">Y109/B109</f>
        <v>-0.0489955161821821</v>
      </c>
      <c r="AA109" s="142" t="n">
        <f aca="false">AA110+Z109</f>
        <v>-0.683904866274964</v>
      </c>
      <c r="AB109" s="142" t="n">
        <f aca="false">IF(B109&gt;1,AB108+Z109,0)</f>
        <v>0</v>
      </c>
      <c r="AC109" s="540" t="n">
        <f aca="false">-AA109*$B$4*2</f>
        <v>0.683904866274964</v>
      </c>
      <c r="AD109" s="142"/>
      <c r="AM109" s="142"/>
    </row>
    <row r="110" customFormat="false" ht="15.75" hidden="false" customHeight="false" outlineLevel="0" collapsed="false">
      <c r="A110" s="0" t="n">
        <f aca="false">A109+1</f>
        <v>89</v>
      </c>
      <c r="B110" s="0" t="n">
        <f aca="false">MAX(B109/$G$5,1)</f>
        <v>1</v>
      </c>
      <c r="C110" s="0" t="n">
        <f aca="false">$B$10+A110*$G$4</f>
        <v>-0.0798762376237624</v>
      </c>
      <c r="D110" s="0" t="n">
        <f aca="false">(A110+1)*($B$10+$G$4*A110/2)</f>
        <v>2.03056930693069</v>
      </c>
      <c r="E110" s="0" t="n">
        <f aca="false">IF(A110&lt;$J$3,($B$6/10)*$G$5^(A110/$G$3),($B$6/10)*$G$5^($J$3/$G$3))</f>
        <v>1</v>
      </c>
      <c r="F110" s="0" t="n">
        <f aca="false">IF(A110&lt;$J$3,($B$7/10)*$G$5^(A110/$G$2),($B$7/10)*$G$5^($J$3/$G$2))</f>
        <v>0.866025403784439</v>
      </c>
      <c r="G110" s="0" t="n">
        <f aca="false">F110*F110*3.1416/4</f>
        <v>0.58905</v>
      </c>
      <c r="H110" s="0" t="n">
        <f aca="false">E110*E110*3.1416/4</f>
        <v>0.7854</v>
      </c>
      <c r="I110" s="0" t="n">
        <f aca="false">G110*B110</f>
        <v>0.58905</v>
      </c>
      <c r="J110" s="0" t="n">
        <f aca="false">H110*B110</f>
        <v>0.7854</v>
      </c>
      <c r="K110" s="0" t="n">
        <f aca="false">H110-G110</f>
        <v>0.19635</v>
      </c>
      <c r="L110" s="0" t="n">
        <f aca="false">SQRT(4*K110/3.1416)</f>
        <v>0.5</v>
      </c>
      <c r="M110" s="0" t="n">
        <f aca="false">(E110-L110)/2</f>
        <v>0.25</v>
      </c>
      <c r="N110" s="0" t="n">
        <f aca="false">E110*3.1416</f>
        <v>3.1416</v>
      </c>
      <c r="O110" s="0" t="n">
        <f aca="false">C110*3.1416*E110*B110/100</f>
        <v>-0.00250939188118812</v>
      </c>
      <c r="P110" s="0" t="n">
        <f aca="false">C110*E110/100*E110/100*3.1416/4*B110</f>
        <v>-6.27347970297029E-006</v>
      </c>
      <c r="Q110" s="0" t="n">
        <f aca="false">Q109+O110</f>
        <v>0.14633061492265</v>
      </c>
      <c r="R110" s="0" t="n">
        <f aca="false">P110+R109</f>
        <v>0.000262790082267457</v>
      </c>
      <c r="S110" s="0" t="n">
        <f aca="false">G110/10000*C110*B110</f>
        <v>-4.70510977722772E-006</v>
      </c>
      <c r="T110" s="0" t="n">
        <f aca="false">T109+S110</f>
        <v>0.000223713866828936</v>
      </c>
      <c r="U110" s="0" t="n">
        <f aca="false">IF(B110&gt;1,U109+S110,0)</f>
        <v>0</v>
      </c>
      <c r="V110" s="0" t="n">
        <f aca="false">IF(B110&gt;1,V109+O110,0)</f>
        <v>0</v>
      </c>
      <c r="W110" s="142" t="n">
        <f aca="false">G110/X110</f>
        <v>0.00011781</v>
      </c>
      <c r="X110" s="142" t="n">
        <f aca="false">X109*B109/B110</f>
        <v>5000</v>
      </c>
      <c r="Y110" s="142" t="n">
        <f aca="false">C110/(G110/10000)*$B$14*($F$21/F110)^($B$12)</f>
        <v>-0.0504494354562545</v>
      </c>
      <c r="Z110" s="142" t="n">
        <f aca="false">Y110/B110</f>
        <v>-0.0504494354562545</v>
      </c>
      <c r="AA110" s="142" t="n">
        <f aca="false">AA111+Z110</f>
        <v>-0.634909350092782</v>
      </c>
      <c r="AB110" s="142" t="n">
        <f aca="false">IF(B110&gt;1,AB109+Z110,0)</f>
        <v>0</v>
      </c>
      <c r="AC110" s="540" t="n">
        <f aca="false">-AA110*$B$4*2</f>
        <v>0.634909350092782</v>
      </c>
      <c r="AD110" s="142"/>
      <c r="AM110" s="142"/>
    </row>
    <row r="111" customFormat="false" ht="15.75" hidden="false" customHeight="false" outlineLevel="0" collapsed="false">
      <c r="A111" s="0" t="n">
        <f aca="false">A110+1</f>
        <v>90</v>
      </c>
      <c r="B111" s="0" t="n">
        <f aca="false">MAX(B110/$G$5,1)</f>
        <v>1</v>
      </c>
      <c r="C111" s="0" t="n">
        <f aca="false">$B$10+A111*$G$4</f>
        <v>-0.0821782178217822</v>
      </c>
      <c r="D111" s="0" t="n">
        <f aca="false">(A111+1)*($B$10+$G$4*A111/2)</f>
        <v>1.94839108910891</v>
      </c>
      <c r="E111" s="0" t="n">
        <f aca="false">IF(A111&lt;$J$3,($B$6/10)*$G$5^(A111/$G$3),($B$6/10)*$G$5^($J$3/$G$3))</f>
        <v>1</v>
      </c>
      <c r="F111" s="0" t="n">
        <f aca="false">IF(A111&lt;$J$3,($B$7/10)*$G$5^(A111/$G$2),($B$7/10)*$G$5^($J$3/$G$2))</f>
        <v>0.866025403784439</v>
      </c>
      <c r="G111" s="0" t="n">
        <f aca="false">F111*F111*3.1416/4</f>
        <v>0.58905</v>
      </c>
      <c r="H111" s="0" t="n">
        <f aca="false">E111*E111*3.1416/4</f>
        <v>0.7854</v>
      </c>
      <c r="I111" s="0" t="n">
        <f aca="false">G111*B111</f>
        <v>0.58905</v>
      </c>
      <c r="J111" s="0" t="n">
        <f aca="false">H111*B111</f>
        <v>0.7854</v>
      </c>
      <c r="K111" s="0" t="n">
        <f aca="false">H111-G111</f>
        <v>0.19635</v>
      </c>
      <c r="L111" s="0" t="n">
        <f aca="false">SQRT(4*K111/3.1416)</f>
        <v>0.5</v>
      </c>
      <c r="M111" s="0" t="n">
        <f aca="false">(E111-L111)/2</f>
        <v>0.25</v>
      </c>
      <c r="N111" s="0" t="n">
        <f aca="false">E111*3.1416</f>
        <v>3.1416</v>
      </c>
      <c r="O111" s="0" t="n">
        <f aca="false">C111*3.1416*E111*B111/100</f>
        <v>-0.00258171089108911</v>
      </c>
      <c r="P111" s="0" t="n">
        <f aca="false">C111*E111/100*E111/100*3.1416/4*B111</f>
        <v>-6.45427722772277E-006</v>
      </c>
      <c r="Q111" s="0" t="n">
        <f aca="false">Q110+O111</f>
        <v>0.143748904031561</v>
      </c>
      <c r="R111" s="0" t="n">
        <f aca="false">P111+R110</f>
        <v>0.000256335805039735</v>
      </c>
      <c r="S111" s="0" t="n">
        <f aca="false">G111/10000*C111*B111</f>
        <v>-4.84070792079208E-006</v>
      </c>
      <c r="T111" s="0" t="n">
        <f aca="false">T110+S111</f>
        <v>0.000218873158908144</v>
      </c>
      <c r="U111" s="0" t="n">
        <f aca="false">IF(B111&gt;1,U110+S111,0)</f>
        <v>0</v>
      </c>
      <c r="V111" s="0" t="n">
        <f aca="false">IF(B111&gt;1,V110+O111,0)</f>
        <v>0</v>
      </c>
      <c r="W111" s="142" t="n">
        <f aca="false">G111/X111</f>
        <v>0.00011781</v>
      </c>
      <c r="X111" s="142" t="n">
        <f aca="false">X110*B110/B111</f>
        <v>5000</v>
      </c>
      <c r="Y111" s="142" t="n">
        <f aca="false">C111/(G111/10000)*$B$14*($F$21/F111)^($B$12)</f>
        <v>-0.0519033547303269</v>
      </c>
      <c r="Z111" s="142" t="n">
        <f aca="false">Y111/B111</f>
        <v>-0.0519033547303269</v>
      </c>
      <c r="AA111" s="142" t="n">
        <f aca="false">AA112+Z111</f>
        <v>-0.584459914636527</v>
      </c>
      <c r="AB111" s="142" t="n">
        <f aca="false">IF(B111&gt;1,AB110+Z111,0)</f>
        <v>0</v>
      </c>
      <c r="AC111" s="540" t="n">
        <f aca="false">-AA111*$B$4*2</f>
        <v>0.584459914636527</v>
      </c>
      <c r="AD111" s="142"/>
      <c r="AM111" s="142"/>
    </row>
    <row r="112" customFormat="false" ht="15.75" hidden="false" customHeight="false" outlineLevel="0" collapsed="false">
      <c r="A112" s="0" t="n">
        <f aca="false">A111+1</f>
        <v>91</v>
      </c>
      <c r="B112" s="0" t="n">
        <f aca="false">MAX(B111/$G$5,1)</f>
        <v>1</v>
      </c>
      <c r="C112" s="0" t="n">
        <f aca="false">$B$10+A112*$G$4</f>
        <v>-0.084480198019802</v>
      </c>
      <c r="D112" s="0" t="n">
        <f aca="false">(A112+1)*($B$10+$G$4*A112/2)</f>
        <v>1.86391089108911</v>
      </c>
      <c r="E112" s="0" t="n">
        <f aca="false">IF(A112&lt;$J$3,($B$6/10)*$G$5^(A112/$G$3),($B$6/10)*$G$5^($J$3/$G$3))</f>
        <v>1</v>
      </c>
      <c r="F112" s="0" t="n">
        <f aca="false">IF(A112&lt;$J$3,($B$7/10)*$G$5^(A112/$G$2),($B$7/10)*$G$5^($J$3/$G$2))</f>
        <v>0.866025403784439</v>
      </c>
      <c r="G112" s="0" t="n">
        <f aca="false">F112*F112*3.1416/4</f>
        <v>0.58905</v>
      </c>
      <c r="H112" s="0" t="n">
        <f aca="false">E112*E112*3.1416/4</f>
        <v>0.7854</v>
      </c>
      <c r="I112" s="0" t="n">
        <f aca="false">G112*B112</f>
        <v>0.58905</v>
      </c>
      <c r="J112" s="0" t="n">
        <f aca="false">H112*B112</f>
        <v>0.7854</v>
      </c>
      <c r="K112" s="0" t="n">
        <f aca="false">H112-G112</f>
        <v>0.19635</v>
      </c>
      <c r="L112" s="0" t="n">
        <f aca="false">SQRT(4*K112/3.1416)</f>
        <v>0.5</v>
      </c>
      <c r="M112" s="0" t="n">
        <f aca="false">(E112-L112)/2</f>
        <v>0.25</v>
      </c>
      <c r="N112" s="0" t="n">
        <f aca="false">E112*3.1416</f>
        <v>3.1416</v>
      </c>
      <c r="O112" s="0" t="n">
        <f aca="false">C112*3.1416*E112*B112/100</f>
        <v>-0.0026540299009901</v>
      </c>
      <c r="P112" s="0" t="n">
        <f aca="false">C112*E112/100*E112/100*3.1416/4*B112</f>
        <v>-6.63507475247525E-006</v>
      </c>
      <c r="Q112" s="0" t="n">
        <f aca="false">Q111+O112</f>
        <v>0.14109487413057</v>
      </c>
      <c r="R112" s="0" t="n">
        <f aca="false">P112+R111</f>
        <v>0.000249700730287259</v>
      </c>
      <c r="S112" s="0" t="n">
        <f aca="false">G112/10000*C112*B112</f>
        <v>-4.97630606435643E-006</v>
      </c>
      <c r="T112" s="0" t="n">
        <f aca="false">T111+S112</f>
        <v>0.000213896852843787</v>
      </c>
      <c r="U112" s="0" t="n">
        <f aca="false">IF(B112&gt;1,U111+S112,0)</f>
        <v>0</v>
      </c>
      <c r="V112" s="0" t="n">
        <f aca="false">IF(B112&gt;1,V111+O112,0)</f>
        <v>0</v>
      </c>
      <c r="W112" s="142" t="n">
        <f aca="false">G112/X112</f>
        <v>0.00011781</v>
      </c>
      <c r="X112" s="142" t="n">
        <f aca="false">X111*B111/B112</f>
        <v>5000</v>
      </c>
      <c r="Y112" s="142" t="n">
        <f aca="false">C112/(G112/10000)*$B$14*($F$21/F112)^($B$12)</f>
        <v>-0.0533572740043993</v>
      </c>
      <c r="Z112" s="142" t="n">
        <f aca="false">Y112/B112</f>
        <v>-0.0533572740043993</v>
      </c>
      <c r="AA112" s="142" t="n">
        <f aca="false">AA113+Z112</f>
        <v>-0.5325565599062</v>
      </c>
      <c r="AB112" s="142" t="n">
        <f aca="false">IF(B112&gt;1,AB111+Z112,0)</f>
        <v>0</v>
      </c>
      <c r="AC112" s="540" t="n">
        <f aca="false">-AA112*$B$4*2</f>
        <v>0.5325565599062</v>
      </c>
      <c r="AD112" s="142"/>
      <c r="AM112" s="142"/>
    </row>
    <row r="113" customFormat="false" ht="15.75" hidden="false" customHeight="false" outlineLevel="0" collapsed="false">
      <c r="A113" s="0" t="n">
        <f aca="false">A112+1</f>
        <v>92</v>
      </c>
      <c r="B113" s="0" t="n">
        <f aca="false">MAX(B112/$G$5,1)</f>
        <v>1</v>
      </c>
      <c r="C113" s="0" t="n">
        <f aca="false">$B$10+A113*$G$4</f>
        <v>-0.0867821782178218</v>
      </c>
      <c r="D113" s="0" t="n">
        <f aca="false">(A113+1)*($B$10+$G$4*A113/2)</f>
        <v>1.77712871287129</v>
      </c>
      <c r="E113" s="0" t="n">
        <f aca="false">IF(A113&lt;$J$3,($B$6/10)*$G$5^(A113/$G$3),($B$6/10)*$G$5^($J$3/$G$3))</f>
        <v>1</v>
      </c>
      <c r="F113" s="0" t="n">
        <f aca="false">IF(A113&lt;$J$3,($B$7/10)*$G$5^(A113/$G$2),($B$7/10)*$G$5^($J$3/$G$2))</f>
        <v>0.866025403784439</v>
      </c>
      <c r="G113" s="0" t="n">
        <f aca="false">F113*F113*3.1416/4</f>
        <v>0.58905</v>
      </c>
      <c r="H113" s="0" t="n">
        <f aca="false">E113*E113*3.1416/4</f>
        <v>0.7854</v>
      </c>
      <c r="I113" s="0" t="n">
        <f aca="false">G113*B113</f>
        <v>0.58905</v>
      </c>
      <c r="J113" s="0" t="n">
        <f aca="false">H113*B113</f>
        <v>0.7854</v>
      </c>
      <c r="K113" s="0" t="n">
        <f aca="false">H113-G113</f>
        <v>0.19635</v>
      </c>
      <c r="L113" s="0" t="n">
        <f aca="false">SQRT(4*K113/3.1416)</f>
        <v>0.5</v>
      </c>
      <c r="M113" s="0" t="n">
        <f aca="false">(E113-L113)/2</f>
        <v>0.25</v>
      </c>
      <c r="N113" s="0" t="n">
        <f aca="false">E113*3.1416</f>
        <v>3.1416</v>
      </c>
      <c r="O113" s="0" t="n">
        <f aca="false">C113*3.1416*E113*B113/100</f>
        <v>-0.00272634891089109</v>
      </c>
      <c r="P113" s="0" t="n">
        <f aca="false">C113*E113/100*E113/100*3.1416/4*B113</f>
        <v>-6.81587227722772E-006</v>
      </c>
      <c r="Q113" s="0" t="n">
        <f aca="false">Q112+O113</f>
        <v>0.138368525219679</v>
      </c>
      <c r="R113" s="0" t="n">
        <f aca="false">P113+R112</f>
        <v>0.000242884858010032</v>
      </c>
      <c r="S113" s="0" t="n">
        <f aca="false">G113/10000*C113*B113</f>
        <v>-5.11190420792079E-006</v>
      </c>
      <c r="T113" s="0" t="n">
        <f aca="false">T112+S113</f>
        <v>0.000208784948635866</v>
      </c>
      <c r="U113" s="0" t="n">
        <f aca="false">IF(B113&gt;1,U112+S113,0)</f>
        <v>0</v>
      </c>
      <c r="V113" s="0" t="n">
        <f aca="false">IF(B113&gt;1,V112+O113,0)</f>
        <v>0</v>
      </c>
      <c r="W113" s="142" t="n">
        <f aca="false">G113/X113</f>
        <v>0.00011781</v>
      </c>
      <c r="X113" s="142" t="n">
        <f aca="false">X112*B112/B113</f>
        <v>5000</v>
      </c>
      <c r="Y113" s="142" t="n">
        <f aca="false">C113/(G113/10000)*$B$14*($F$21/F113)^($B$12)</f>
        <v>-0.0548111932784717</v>
      </c>
      <c r="Z113" s="142" t="n">
        <f aca="false">Y113/B113</f>
        <v>-0.0548111932784717</v>
      </c>
      <c r="AA113" s="142" t="n">
        <f aca="false">AA114+Z113</f>
        <v>-0.479199285901801</v>
      </c>
      <c r="AB113" s="142" t="n">
        <f aca="false">IF(B113&gt;1,AB112+Z113,0)</f>
        <v>0</v>
      </c>
      <c r="AC113" s="540" t="n">
        <f aca="false">-AA113*$B$4*2</f>
        <v>0.479199285901801</v>
      </c>
      <c r="AD113" s="142"/>
      <c r="AM113" s="142"/>
    </row>
    <row r="114" customFormat="false" ht="15.75" hidden="false" customHeight="false" outlineLevel="0" collapsed="false">
      <c r="A114" s="0" t="n">
        <f aca="false">A113+1</f>
        <v>93</v>
      </c>
      <c r="B114" s="0" t="n">
        <f aca="false">MAX(B113/$G$5,1)</f>
        <v>1</v>
      </c>
      <c r="C114" s="0" t="n">
        <f aca="false">$B$10+A114*$G$4</f>
        <v>-0.0890841584158416</v>
      </c>
      <c r="D114" s="0" t="n">
        <f aca="false">(A114+1)*($B$10+$G$4*A114/2)</f>
        <v>1.68804455445545</v>
      </c>
      <c r="E114" s="0" t="n">
        <f aca="false">IF(A114&lt;$J$3,($B$6/10)*$G$5^(A114/$G$3),($B$6/10)*$G$5^($J$3/$G$3))</f>
        <v>1</v>
      </c>
      <c r="F114" s="0" t="n">
        <f aca="false">IF(A114&lt;$J$3,($B$7/10)*$G$5^(A114/$G$2),($B$7/10)*$G$5^($J$3/$G$2))</f>
        <v>0.866025403784439</v>
      </c>
      <c r="G114" s="0" t="n">
        <f aca="false">F114*F114*3.1416/4</f>
        <v>0.58905</v>
      </c>
      <c r="H114" s="0" t="n">
        <f aca="false">E114*E114*3.1416/4</f>
        <v>0.7854</v>
      </c>
      <c r="I114" s="0" t="n">
        <f aca="false">G114*B114</f>
        <v>0.58905</v>
      </c>
      <c r="J114" s="0" t="n">
        <f aca="false">H114*B114</f>
        <v>0.7854</v>
      </c>
      <c r="K114" s="0" t="n">
        <f aca="false">H114-G114</f>
        <v>0.19635</v>
      </c>
      <c r="L114" s="0" t="n">
        <f aca="false">SQRT(4*K114/3.1416)</f>
        <v>0.5</v>
      </c>
      <c r="M114" s="0" t="n">
        <f aca="false">(E114-L114)/2</f>
        <v>0.25</v>
      </c>
      <c r="N114" s="0" t="n">
        <f aca="false">E114*3.1416</f>
        <v>3.1416</v>
      </c>
      <c r="O114" s="0" t="n">
        <f aca="false">C114*3.1416*E114*B114/100</f>
        <v>-0.00279866792079208</v>
      </c>
      <c r="P114" s="0" t="n">
        <f aca="false">C114*E114/100*E114/100*3.1416/4*B114</f>
        <v>-6.9966698019802E-006</v>
      </c>
      <c r="Q114" s="0" t="n">
        <f aca="false">Q113+O114</f>
        <v>0.135569857298887</v>
      </c>
      <c r="R114" s="0" t="n">
        <f aca="false">P114+R113</f>
        <v>0.000235888188208051</v>
      </c>
      <c r="S114" s="0" t="n">
        <f aca="false">G114/10000*C114*B114</f>
        <v>-5.24750235148515E-006</v>
      </c>
      <c r="T114" s="0" t="n">
        <f aca="false">T113+S114</f>
        <v>0.000203537446284381</v>
      </c>
      <c r="U114" s="0" t="n">
        <f aca="false">IF(B114&gt;1,U113+S114,0)</f>
        <v>0</v>
      </c>
      <c r="V114" s="0" t="n">
        <f aca="false">IF(B114&gt;1,V113+O114,0)</f>
        <v>0</v>
      </c>
      <c r="W114" s="142" t="n">
        <f aca="false">G114/X114</f>
        <v>0.00011781</v>
      </c>
      <c r="X114" s="142" t="n">
        <f aca="false">X113*B113/B114</f>
        <v>5000</v>
      </c>
      <c r="Y114" s="142" t="n">
        <f aca="false">C114/(G114/10000)*$B$14*($F$21/F114)^($B$12)</f>
        <v>-0.0562651125525441</v>
      </c>
      <c r="Z114" s="142" t="n">
        <f aca="false">Y114/B114</f>
        <v>-0.0562651125525441</v>
      </c>
      <c r="AA114" s="142" t="n">
        <f aca="false">AA115+Z114</f>
        <v>-0.424388092623329</v>
      </c>
      <c r="AB114" s="142" t="n">
        <f aca="false">IF(B114&gt;1,AB113+Z114,0)</f>
        <v>0</v>
      </c>
      <c r="AC114" s="540" t="n">
        <f aca="false">-AA114*$B$4*2</f>
        <v>0.424388092623329</v>
      </c>
      <c r="AD114" s="142"/>
      <c r="AM114" s="142"/>
    </row>
    <row r="115" customFormat="false" ht="15.75" hidden="false" customHeight="false" outlineLevel="0" collapsed="false">
      <c r="A115" s="0" t="n">
        <f aca="false">A114+1</f>
        <v>94</v>
      </c>
      <c r="B115" s="0" t="n">
        <f aca="false">MAX(B114/$G$5,1)</f>
        <v>1</v>
      </c>
      <c r="C115" s="0" t="n">
        <f aca="false">$B$10+A115*$G$4</f>
        <v>-0.0913861386138614</v>
      </c>
      <c r="D115" s="0" t="n">
        <f aca="false">(A115+1)*($B$10+$G$4*A115/2)</f>
        <v>1.59665841584158</v>
      </c>
      <c r="E115" s="0" t="n">
        <f aca="false">IF(A115&lt;$J$3,($B$6/10)*$G$5^(A115/$G$3),($B$6/10)*$G$5^($J$3/$G$3))</f>
        <v>1</v>
      </c>
      <c r="F115" s="0" t="n">
        <f aca="false">IF(A115&lt;$J$3,($B$7/10)*$G$5^(A115/$G$2),($B$7/10)*$G$5^($J$3/$G$2))</f>
        <v>0.866025403784439</v>
      </c>
      <c r="G115" s="0" t="n">
        <f aca="false">F115*F115*3.1416/4</f>
        <v>0.58905</v>
      </c>
      <c r="H115" s="0" t="n">
        <f aca="false">E115*E115*3.1416/4</f>
        <v>0.7854</v>
      </c>
      <c r="I115" s="0" t="n">
        <f aca="false">G115*B115</f>
        <v>0.58905</v>
      </c>
      <c r="J115" s="0" t="n">
        <f aca="false">H115*B115</f>
        <v>0.7854</v>
      </c>
      <c r="K115" s="0" t="n">
        <f aca="false">H115-G115</f>
        <v>0.19635</v>
      </c>
      <c r="L115" s="0" t="n">
        <f aca="false">SQRT(4*K115/3.1416)</f>
        <v>0.5</v>
      </c>
      <c r="M115" s="0" t="n">
        <f aca="false">(E115-L115)/2</f>
        <v>0.25</v>
      </c>
      <c r="N115" s="0" t="n">
        <f aca="false">E115*3.1416</f>
        <v>3.1416</v>
      </c>
      <c r="O115" s="0" t="n">
        <f aca="false">C115*3.1416*E115*B115/100</f>
        <v>-0.00287098693069307</v>
      </c>
      <c r="P115" s="0" t="n">
        <f aca="false">C115*E115/100*E115/100*3.1416/4*B115</f>
        <v>-7.17746732673267E-006</v>
      </c>
      <c r="Q115" s="0" t="n">
        <f aca="false">Q114+O115</f>
        <v>0.132698870368194</v>
      </c>
      <c r="R115" s="0" t="n">
        <f aca="false">P115+R114</f>
        <v>0.000228710720881319</v>
      </c>
      <c r="S115" s="0" t="n">
        <f aca="false">G115/10000*C115*B115</f>
        <v>-5.3831004950495E-006</v>
      </c>
      <c r="T115" s="0" t="n">
        <f aca="false">T114+S115</f>
        <v>0.000198154345789332</v>
      </c>
      <c r="U115" s="0" t="n">
        <f aca="false">IF(B115&gt;1,U114+S115,0)</f>
        <v>0</v>
      </c>
      <c r="V115" s="0" t="n">
        <f aca="false">IF(B115&gt;1,V114+O115,0)</f>
        <v>0</v>
      </c>
      <c r="W115" s="142" t="n">
        <f aca="false">G115/X115</f>
        <v>0.00011781</v>
      </c>
      <c r="X115" s="142" t="n">
        <f aca="false">X114*B114/B115</f>
        <v>5000</v>
      </c>
      <c r="Y115" s="142" t="n">
        <f aca="false">C115/(G115/10000)*$B$14*($F$21/F115)^($B$12)</f>
        <v>-0.0577190318266165</v>
      </c>
      <c r="Z115" s="142" t="n">
        <f aca="false">Y115/B115</f>
        <v>-0.0577190318266165</v>
      </c>
      <c r="AA115" s="142" t="n">
        <f aca="false">AA116+Z115</f>
        <v>-0.368122980070785</v>
      </c>
      <c r="AB115" s="142" t="n">
        <f aca="false">IF(B115&gt;1,AB114+Z115,0)</f>
        <v>0</v>
      </c>
      <c r="AC115" s="540" t="n">
        <f aca="false">-AA115*$B$4*2</f>
        <v>0.368122980070785</v>
      </c>
      <c r="AD115" s="142"/>
      <c r="AM115" s="142"/>
    </row>
    <row r="116" customFormat="false" ht="15.75" hidden="false" customHeight="false" outlineLevel="0" collapsed="false">
      <c r="A116" s="0" t="n">
        <f aca="false">A115+1</f>
        <v>95</v>
      </c>
      <c r="B116" s="0" t="n">
        <f aca="false">MAX(B115/$G$5,1)</f>
        <v>1</v>
      </c>
      <c r="C116" s="0" t="n">
        <f aca="false">$B$10+A116*$G$4</f>
        <v>-0.0936881188118812</v>
      </c>
      <c r="D116" s="0" t="n">
        <f aca="false">(A116+1)*($B$10+$G$4*A116/2)</f>
        <v>1.5029702970297</v>
      </c>
      <c r="E116" s="0" t="n">
        <f aca="false">IF(A116&lt;$J$3,($B$6/10)*$G$5^(A116/$G$3),($B$6/10)*$G$5^($J$3/$G$3))</f>
        <v>1</v>
      </c>
      <c r="F116" s="0" t="n">
        <f aca="false">IF(A116&lt;$J$3,($B$7/10)*$G$5^(A116/$G$2),($B$7/10)*$G$5^($J$3/$G$2))</f>
        <v>0.866025403784439</v>
      </c>
      <c r="G116" s="0" t="n">
        <f aca="false">F116*F116*3.1416/4</f>
        <v>0.58905</v>
      </c>
      <c r="H116" s="0" t="n">
        <f aca="false">E116*E116*3.1416/4</f>
        <v>0.7854</v>
      </c>
      <c r="I116" s="0" t="n">
        <f aca="false">G116*B116</f>
        <v>0.58905</v>
      </c>
      <c r="J116" s="0" t="n">
        <f aca="false">H116*B116</f>
        <v>0.7854</v>
      </c>
      <c r="K116" s="0" t="n">
        <f aca="false">H116-G116</f>
        <v>0.19635</v>
      </c>
      <c r="L116" s="0" t="n">
        <f aca="false">SQRT(4*K116/3.1416)</f>
        <v>0.5</v>
      </c>
      <c r="M116" s="0" t="n">
        <f aca="false">(E116-L116)/2</f>
        <v>0.25</v>
      </c>
      <c r="N116" s="0" t="n">
        <f aca="false">E116*3.1416</f>
        <v>3.1416</v>
      </c>
      <c r="O116" s="0" t="n">
        <f aca="false">C116*3.1416*E116*B116/100</f>
        <v>-0.00294330594059406</v>
      </c>
      <c r="P116" s="0" t="n">
        <f aca="false">C116*E116/100*E116/100*3.1416/4*B116</f>
        <v>-7.35826485148515E-006</v>
      </c>
      <c r="Q116" s="0" t="n">
        <f aca="false">Q115+O116</f>
        <v>0.1297555644276</v>
      </c>
      <c r="R116" s="0" t="n">
        <f aca="false">P116+R115</f>
        <v>0.000221352456029834</v>
      </c>
      <c r="S116" s="0" t="n">
        <f aca="false">G116/10000*C116*B116</f>
        <v>-5.51869863861386E-006</v>
      </c>
      <c r="T116" s="0" t="n">
        <f aca="false">T115+S116</f>
        <v>0.000192635647150718</v>
      </c>
      <c r="U116" s="0" t="n">
        <f aca="false">IF(B116&gt;1,U115+S116,0)</f>
        <v>0</v>
      </c>
      <c r="V116" s="0" t="n">
        <f aca="false">IF(B116&gt;1,V115+O116,0)</f>
        <v>0</v>
      </c>
      <c r="W116" s="142" t="n">
        <f aca="false">G116/X116</f>
        <v>0.00011781</v>
      </c>
      <c r="X116" s="142" t="n">
        <f aca="false">X115*B115/B116</f>
        <v>5000</v>
      </c>
      <c r="Y116" s="142" t="n">
        <f aca="false">C116/(G116/10000)*$B$14*($F$21/F116)^($B$12)</f>
        <v>-0.0591729511006889</v>
      </c>
      <c r="Z116" s="142" t="n">
        <f aca="false">Y116/B116</f>
        <v>-0.0591729511006889</v>
      </c>
      <c r="AA116" s="142" t="n">
        <f aca="false">AA117+Z116</f>
        <v>-0.310403948244169</v>
      </c>
      <c r="AB116" s="142" t="n">
        <f aca="false">IF(B116&gt;1,AB115+Z116,0)</f>
        <v>0</v>
      </c>
      <c r="AC116" s="540" t="n">
        <f aca="false">-AA116*$B$4*2</f>
        <v>0.310403948244169</v>
      </c>
      <c r="AD116" s="142"/>
      <c r="AM116" s="142"/>
    </row>
    <row r="117" customFormat="false" ht="15.75" hidden="false" customHeight="false" outlineLevel="0" collapsed="false">
      <c r="A117" s="0" t="n">
        <f aca="false">A116+1</f>
        <v>96</v>
      </c>
      <c r="B117" s="0" t="n">
        <f aca="false">MAX(B116/$G$5,1)</f>
        <v>1</v>
      </c>
      <c r="C117" s="0" t="n">
        <f aca="false">$B$10+A117*$G$4</f>
        <v>-0.095990099009901</v>
      </c>
      <c r="D117" s="0" t="n">
        <f aca="false">(A117+1)*($B$10+$G$4*A117/2)</f>
        <v>1.4069801980198</v>
      </c>
      <c r="E117" s="0" t="n">
        <f aca="false">IF(A117&lt;$J$3,($B$6/10)*$G$5^(A117/$G$3),($B$6/10)*$G$5^($J$3/$G$3))</f>
        <v>1</v>
      </c>
      <c r="F117" s="0" t="n">
        <f aca="false">IF(A117&lt;$J$3,($B$7/10)*$G$5^(A117/$G$2),($B$7/10)*$G$5^($J$3/$G$2))</f>
        <v>0.866025403784439</v>
      </c>
      <c r="G117" s="0" t="n">
        <f aca="false">F117*F117*3.1416/4</f>
        <v>0.58905</v>
      </c>
      <c r="H117" s="0" t="n">
        <f aca="false">E117*E117*3.1416/4</f>
        <v>0.7854</v>
      </c>
      <c r="I117" s="0" t="n">
        <f aca="false">G117*B117</f>
        <v>0.58905</v>
      </c>
      <c r="J117" s="0" t="n">
        <f aca="false">H117*B117</f>
        <v>0.7854</v>
      </c>
      <c r="K117" s="0" t="n">
        <f aca="false">H117-G117</f>
        <v>0.19635</v>
      </c>
      <c r="L117" s="0" t="n">
        <f aca="false">SQRT(4*K117/3.1416)</f>
        <v>0.5</v>
      </c>
      <c r="M117" s="0" t="n">
        <f aca="false">(E117-L117)/2</f>
        <v>0.25</v>
      </c>
      <c r="N117" s="0" t="n">
        <f aca="false">E117*3.1416</f>
        <v>3.1416</v>
      </c>
      <c r="O117" s="0" t="n">
        <f aca="false">C117*3.1416*E117*B117/100</f>
        <v>-0.00301562495049505</v>
      </c>
      <c r="P117" s="0" t="n">
        <f aca="false">C117*E117/100*E117/100*3.1416/4*B117</f>
        <v>-7.53906237623762E-006</v>
      </c>
      <c r="Q117" s="0" t="n">
        <f aca="false">Q116+O117</f>
        <v>0.126739939477105</v>
      </c>
      <c r="R117" s="0" t="n">
        <f aca="false">P117+R116</f>
        <v>0.000213813393653596</v>
      </c>
      <c r="S117" s="0" t="n">
        <f aca="false">G117/10000*C117*B117</f>
        <v>-5.65429678217822E-006</v>
      </c>
      <c r="T117" s="0" t="n">
        <f aca="false">T116+S117</f>
        <v>0.00018698135036854</v>
      </c>
      <c r="U117" s="0" t="n">
        <f aca="false">IF(B117&gt;1,U116+S117,0)</f>
        <v>0</v>
      </c>
      <c r="V117" s="0" t="n">
        <f aca="false">IF(B117&gt;1,V116+O117,0)</f>
        <v>0</v>
      </c>
      <c r="W117" s="142" t="n">
        <f aca="false">G117/X117</f>
        <v>0.00011781</v>
      </c>
      <c r="X117" s="142" t="n">
        <f aca="false">X116*B116/B117</f>
        <v>5000</v>
      </c>
      <c r="Y117" s="142" t="n">
        <f aca="false">C117/(G117/10000)*$B$14*($F$21/F117)^($B$12)</f>
        <v>-0.0606268703747613</v>
      </c>
      <c r="Z117" s="142" t="n">
        <f aca="false">Y117/B117</f>
        <v>-0.0606268703747613</v>
      </c>
      <c r="AA117" s="142" t="n">
        <f aca="false">AA118+Z117</f>
        <v>-0.25123099714348</v>
      </c>
      <c r="AB117" s="142" t="n">
        <f aca="false">IF(B117&gt;1,AB116+Z117,0)</f>
        <v>0</v>
      </c>
      <c r="AC117" s="540" t="n">
        <f aca="false">-AA117*$B$4*2</f>
        <v>0.25123099714348</v>
      </c>
      <c r="AD117" s="142"/>
      <c r="AM117" s="142"/>
    </row>
    <row r="118" customFormat="false" ht="15.75" hidden="false" customHeight="false" outlineLevel="0" collapsed="false">
      <c r="A118" s="0" t="n">
        <f aca="false">A117+1</f>
        <v>97</v>
      </c>
      <c r="B118" s="0" t="n">
        <f aca="false">MAX(B117/$G$5,1)</f>
        <v>1</v>
      </c>
      <c r="C118" s="0" t="n">
        <f aca="false">$B$10+A118*$G$4</f>
        <v>-0.0982920792079208</v>
      </c>
      <c r="D118" s="0" t="n">
        <f aca="false">(A118+1)*($B$10+$G$4*A118/2)</f>
        <v>1.30868811881188</v>
      </c>
      <c r="E118" s="0" t="n">
        <f aca="false">IF(A118&lt;$J$3,($B$6/10)*$G$5^(A118/$G$3),($B$6/10)*$G$5^($J$3/$G$3))</f>
        <v>1</v>
      </c>
      <c r="F118" s="0" t="n">
        <f aca="false">IF(A118&lt;$J$3,($B$7/10)*$G$5^(A118/$G$2),($B$7/10)*$G$5^($J$3/$G$2))</f>
        <v>0.866025403784439</v>
      </c>
      <c r="G118" s="0" t="n">
        <f aca="false">F118*F118*3.1416/4</f>
        <v>0.58905</v>
      </c>
      <c r="H118" s="0" t="n">
        <f aca="false">E118*E118*3.1416/4</f>
        <v>0.7854</v>
      </c>
      <c r="I118" s="0" t="n">
        <f aca="false">G118*B118</f>
        <v>0.58905</v>
      </c>
      <c r="J118" s="0" t="n">
        <f aca="false">H118*B118</f>
        <v>0.7854</v>
      </c>
      <c r="K118" s="0" t="n">
        <f aca="false">H118-G118</f>
        <v>0.19635</v>
      </c>
      <c r="L118" s="0" t="n">
        <f aca="false">SQRT(4*K118/3.1416)</f>
        <v>0.5</v>
      </c>
      <c r="M118" s="0" t="n">
        <f aca="false">(E118-L118)/2</f>
        <v>0.25</v>
      </c>
      <c r="N118" s="0" t="n">
        <f aca="false">E118*3.1416</f>
        <v>3.1416</v>
      </c>
      <c r="O118" s="0" t="n">
        <f aca="false">C118*3.1416*E118*B118/100</f>
        <v>-0.00308794396039604</v>
      </c>
      <c r="P118" s="0" t="n">
        <f aca="false">C118*E118/100*E118/100*3.1416/4*B118</f>
        <v>-7.71985990099009E-006</v>
      </c>
      <c r="Q118" s="0" t="n">
        <f aca="false">Q117+O118</f>
        <v>0.123651995516709</v>
      </c>
      <c r="R118" s="0" t="n">
        <f aca="false">P118+R117</f>
        <v>0.000206093533752606</v>
      </c>
      <c r="S118" s="0" t="n">
        <f aca="false">G118/10000*C118*B118</f>
        <v>-5.78989492574257E-006</v>
      </c>
      <c r="T118" s="0" t="n">
        <f aca="false">T117+S118</f>
        <v>0.000181191455442797</v>
      </c>
      <c r="U118" s="0" t="n">
        <f aca="false">IF(B118&gt;1,U117+S118,0)</f>
        <v>0</v>
      </c>
      <c r="V118" s="0" t="n">
        <f aca="false">IF(B118&gt;1,V117+O118,0)</f>
        <v>0</v>
      </c>
      <c r="W118" s="142" t="n">
        <f aca="false">G118/X118</f>
        <v>0.00011781</v>
      </c>
      <c r="X118" s="142" t="n">
        <f aca="false">X117*B117/B118</f>
        <v>5000</v>
      </c>
      <c r="Y118" s="142" t="n">
        <f aca="false">C118/(G118/10000)*$B$14*($F$21/F118)^($B$12)</f>
        <v>-0.0620807896488337</v>
      </c>
      <c r="Z118" s="142" t="n">
        <f aca="false">Y118/B118</f>
        <v>-0.0620807896488337</v>
      </c>
      <c r="AA118" s="142" t="n">
        <f aca="false">AA119+Z118</f>
        <v>-0.190604126768718</v>
      </c>
      <c r="AB118" s="142" t="n">
        <f aca="false">IF(B118&gt;1,AB117+Z118,0)</f>
        <v>0</v>
      </c>
      <c r="AC118" s="540" t="n">
        <f aca="false">-AA118*$B$4*2</f>
        <v>0.190604126768718</v>
      </c>
      <c r="AD118" s="142"/>
      <c r="AM118" s="142"/>
    </row>
    <row r="119" customFormat="false" ht="15.75" hidden="false" customHeight="false" outlineLevel="0" collapsed="false">
      <c r="A119" s="0" t="n">
        <f aca="false">A118+1</f>
        <v>98</v>
      </c>
      <c r="B119" s="0" t="n">
        <f aca="false">MAX(B118/$G$5,1)</f>
        <v>1</v>
      </c>
      <c r="C119" s="0" t="n">
        <f aca="false">$B$10+A119*$G$4</f>
        <v>-0.100594059405941</v>
      </c>
      <c r="D119" s="0" t="n">
        <f aca="false">(A119+1)*($B$10+$G$4*A119/2)</f>
        <v>1.20809405940594</v>
      </c>
      <c r="E119" s="0" t="n">
        <f aca="false">IF(A119&lt;$J$3,($B$6/10)*$G$5^(A119/$G$3),($B$6/10)*$G$5^($J$3/$G$3))</f>
        <v>1</v>
      </c>
      <c r="F119" s="0" t="n">
        <f aca="false">IF(A119&lt;$J$3,($B$7/10)*$G$5^(A119/$G$2),($B$7/10)*$G$5^($J$3/$G$2))</f>
        <v>0.866025403784439</v>
      </c>
      <c r="G119" s="0" t="n">
        <f aca="false">F119*F119*3.1416/4</f>
        <v>0.58905</v>
      </c>
      <c r="H119" s="0" t="n">
        <f aca="false">E119*E119*3.1416/4</f>
        <v>0.7854</v>
      </c>
      <c r="I119" s="0" t="n">
        <f aca="false">G119*B119</f>
        <v>0.58905</v>
      </c>
      <c r="J119" s="0" t="n">
        <f aca="false">H119*B119</f>
        <v>0.7854</v>
      </c>
      <c r="K119" s="0" t="n">
        <f aca="false">H119-G119</f>
        <v>0.19635</v>
      </c>
      <c r="L119" s="0" t="n">
        <f aca="false">SQRT(4*K119/3.1416)</f>
        <v>0.5</v>
      </c>
      <c r="M119" s="0" t="n">
        <f aca="false">(E119-L119)/2</f>
        <v>0.25</v>
      </c>
      <c r="N119" s="0" t="n">
        <f aca="false">E119*3.1416</f>
        <v>3.1416</v>
      </c>
      <c r="O119" s="0" t="n">
        <f aca="false">C119*3.1416*E119*B119/100</f>
        <v>-0.00316026297029703</v>
      </c>
      <c r="P119" s="0" t="n">
        <f aca="false">C119*E119/100*E119/100*3.1416/4*B119</f>
        <v>-7.90065742574257E-006</v>
      </c>
      <c r="Q119" s="0" t="n">
        <f aca="false">Q118+O119</f>
        <v>0.120491732546412</v>
      </c>
      <c r="R119" s="0" t="n">
        <f aca="false">P119+R118</f>
        <v>0.000198192876326863</v>
      </c>
      <c r="S119" s="0" t="n">
        <f aca="false">G119/10000*C119*B119</f>
        <v>-5.92549306930693E-006</v>
      </c>
      <c r="T119" s="0" t="n">
        <f aca="false">T118+S119</f>
        <v>0.00017526596237349</v>
      </c>
      <c r="U119" s="0" t="n">
        <f aca="false">IF(B119&gt;1,U118+S119,0)</f>
        <v>0</v>
      </c>
      <c r="V119" s="0" t="n">
        <f aca="false">IF(B119&gt;1,V118+O119,0)</f>
        <v>0</v>
      </c>
      <c r="W119" s="142" t="n">
        <f aca="false">G119/X119</f>
        <v>0.00011781</v>
      </c>
      <c r="X119" s="142" t="n">
        <f aca="false">X118*B118/B119</f>
        <v>5000</v>
      </c>
      <c r="Y119" s="142" t="n">
        <f aca="false">C119/(G119/10000)*$B$14*($F$21/F119)^($B$12)</f>
        <v>-0.0635347089229061</v>
      </c>
      <c r="Z119" s="142" t="n">
        <f aca="false">Y119/B119</f>
        <v>-0.0635347089229061</v>
      </c>
      <c r="AA119" s="142" t="n">
        <f aca="false">AA120+Z119</f>
        <v>-0.128523337119885</v>
      </c>
      <c r="AB119" s="142" t="n">
        <f aca="false">IF(B119&gt;1,AB118+Z119,0)</f>
        <v>0</v>
      </c>
      <c r="AC119" s="540" t="n">
        <f aca="false">-AA119*$B$4*2</f>
        <v>0.128523337119885</v>
      </c>
      <c r="AD119" s="142"/>
      <c r="AM119" s="142"/>
    </row>
    <row r="120" customFormat="false" ht="15.75" hidden="false" customHeight="false" outlineLevel="0" collapsed="false">
      <c r="A120" s="0" t="n">
        <f aca="false">A119+1</f>
        <v>99</v>
      </c>
      <c r="B120" s="0" t="n">
        <f aca="false">MAX(B119/$G$5,1)</f>
        <v>1</v>
      </c>
      <c r="C120" s="0" t="n">
        <f aca="false">$B$10+A120*$G$4</f>
        <v>-0.10289603960396</v>
      </c>
      <c r="D120" s="0" t="n">
        <f aca="false">(A120+1)*($B$10+$G$4*A120/2)</f>
        <v>1.10519801980198</v>
      </c>
      <c r="E120" s="0" t="n">
        <f aca="false">IF(A120&lt;$J$3,($B$6/10)*$G$5^(A120/$G$3),($B$6/10)*$G$5^($J$3/$G$3))</f>
        <v>1</v>
      </c>
      <c r="F120" s="0" t="n">
        <f aca="false">IF(A120&lt;$J$3,($B$7/10)*$G$5^(A120/$G$2),($B$7/10)*$G$5^($J$3/$G$2))</f>
        <v>0.866025403784439</v>
      </c>
      <c r="G120" s="0" t="n">
        <f aca="false">F120*F120*3.1416/4</f>
        <v>0.58905</v>
      </c>
      <c r="H120" s="0" t="n">
        <f aca="false">E120*E120*3.1416/4</f>
        <v>0.7854</v>
      </c>
      <c r="I120" s="0" t="n">
        <f aca="false">G120*B120</f>
        <v>0.58905</v>
      </c>
      <c r="J120" s="0" t="n">
        <f aca="false">H120*B120</f>
        <v>0.7854</v>
      </c>
      <c r="K120" s="0" t="n">
        <f aca="false">H120-G120</f>
        <v>0.19635</v>
      </c>
      <c r="L120" s="0" t="n">
        <f aca="false">SQRT(4*K120/3.1416)</f>
        <v>0.5</v>
      </c>
      <c r="M120" s="0" t="n">
        <f aca="false">(E120-L120)/2</f>
        <v>0.25</v>
      </c>
      <c r="N120" s="0" t="n">
        <f aca="false">E120*3.1416</f>
        <v>3.1416</v>
      </c>
      <c r="O120" s="0" t="n">
        <f aca="false">C120*3.1416*E120*B120/100</f>
        <v>-0.00323258198019802</v>
      </c>
      <c r="P120" s="0" t="n">
        <f aca="false">C120*E120/100*E120/100*3.1416/4*B120</f>
        <v>-8.08145495049505E-006</v>
      </c>
      <c r="Q120" s="0" t="n">
        <f aca="false">Q119+O120</f>
        <v>0.117259150566214</v>
      </c>
      <c r="R120" s="0" t="n">
        <f aca="false">P120+R119</f>
        <v>0.000190111421376368</v>
      </c>
      <c r="S120" s="0" t="n">
        <f aca="false">G120/10000*C120*B120</f>
        <v>-6.06109121287128E-006</v>
      </c>
      <c r="T120" s="0" t="n">
        <f aca="false">T119+S120</f>
        <v>0.000169204871160619</v>
      </c>
      <c r="U120" s="0" t="n">
        <f aca="false">IF(B120&gt;1,U119+S120,0)</f>
        <v>0</v>
      </c>
      <c r="V120" s="0" t="n">
        <f aca="false">IF(B120&gt;1,V119+O120,0)</f>
        <v>0</v>
      </c>
      <c r="W120" s="142" t="n">
        <f aca="false">G120/X120</f>
        <v>0.00011781</v>
      </c>
      <c r="X120" s="142" t="n">
        <f aca="false">X119*B119/B120</f>
        <v>5000</v>
      </c>
      <c r="Y120" s="142" t="n">
        <f aca="false">C120/(G120/10000)*$B$14*($F$21/F120)^($B$12)</f>
        <v>-0.0649886281969786</v>
      </c>
      <c r="Z120" s="142" t="n">
        <f aca="false">Y120/B120</f>
        <v>-0.0649886281969786</v>
      </c>
      <c r="AA120" s="142" t="n">
        <f aca="false">AA121+Z120</f>
        <v>-0.0649886281969786</v>
      </c>
      <c r="AB120" s="142" t="n">
        <f aca="false">IF(B120&gt;1,AB119+Z120,0)</f>
        <v>0</v>
      </c>
      <c r="AC120" s="540" t="n">
        <f aca="false">-AA120*$B$4*2</f>
        <v>0.0649886281969786</v>
      </c>
      <c r="AD120" s="142"/>
      <c r="AM120" s="142"/>
    </row>
    <row r="121" customFormat="false" ht="15.75" hidden="false" customHeight="false" outlineLevel="0" collapsed="false">
      <c r="W121" s="142"/>
      <c r="X121" s="142"/>
      <c r="Y121" s="142"/>
      <c r="Z121" s="142"/>
      <c r="AA121" s="142"/>
      <c r="AC121" s="540"/>
      <c r="AD121" s="142"/>
      <c r="AM121" s="142"/>
    </row>
    <row r="122" customFormat="false" ht="15.75" hidden="false" customHeight="false" outlineLevel="0" collapsed="false">
      <c r="X122" s="142"/>
      <c r="Y122" s="142"/>
      <c r="Z122" s="530"/>
      <c r="AN122" s="142"/>
    </row>
    <row r="123" customFormat="false" ht="15.75" hidden="false" customHeight="false" outlineLevel="0" collapsed="false">
      <c r="X123" s="142"/>
      <c r="Y123" s="142"/>
      <c r="Z123" s="530"/>
      <c r="AN123" s="142"/>
    </row>
    <row r="124" customFormat="false" ht="15.75" hidden="false" customHeight="false" outlineLevel="0" collapsed="false">
      <c r="X124" s="142"/>
      <c r="Y124" s="142"/>
      <c r="Z124" s="530"/>
      <c r="AN124" s="142"/>
    </row>
    <row r="125" customFormat="false" ht="15.75" hidden="false" customHeight="false" outlineLevel="0" collapsed="false">
      <c r="X125" s="142"/>
      <c r="Y125" s="142"/>
      <c r="Z125" s="530"/>
      <c r="AN125" s="142"/>
    </row>
    <row r="126" customFormat="false" ht="15.75" hidden="false" customHeight="false" outlineLevel="0" collapsed="false">
      <c r="G126" s="0" t="n">
        <f aca="false">G121/10000</f>
        <v>0</v>
      </c>
      <c r="X126" s="142"/>
      <c r="Y126" s="142"/>
      <c r="Z126" s="530"/>
      <c r="AN126" s="142"/>
    </row>
    <row r="127" customFormat="false" ht="15.75" hidden="false" customHeight="false" outlineLevel="0" collapsed="false">
      <c r="G127" s="142" t="n">
        <f aca="false">G126*'sureau_ini.txt'!GM36</f>
        <v>0</v>
      </c>
      <c r="X127" s="142"/>
      <c r="Y127" s="142"/>
      <c r="Z127" s="530"/>
      <c r="AN127" s="142"/>
    </row>
    <row r="128" customFormat="false" ht="15.75" hidden="false" customHeight="false" outlineLevel="0" collapsed="false">
      <c r="G128" s="0" t="n">
        <f aca="false">G127/20</f>
        <v>0</v>
      </c>
      <c r="X128" s="142"/>
      <c r="Y128" s="142"/>
      <c r="Z128" s="530"/>
      <c r="AN128" s="142"/>
    </row>
    <row r="129" customFormat="false" ht="15.75" hidden="false" customHeight="false" outlineLevel="0" collapsed="false">
      <c r="X129" s="142"/>
      <c r="Y129" s="142"/>
      <c r="Z129" s="530"/>
      <c r="AN129" s="142"/>
    </row>
    <row r="130" customFormat="false" ht="15.75" hidden="false" customHeight="false" outlineLevel="0" collapsed="false">
      <c r="X130" s="142"/>
      <c r="Y130" s="142"/>
      <c r="Z130" s="530"/>
      <c r="AN130" s="142"/>
    </row>
    <row r="131" customFormat="false" ht="15.75" hidden="false" customHeight="false" outlineLevel="0" collapsed="false">
      <c r="X131" s="142"/>
      <c r="Y131" s="142"/>
      <c r="Z131" s="142"/>
      <c r="AA131" s="142"/>
      <c r="AC131" s="142"/>
      <c r="AD131" s="142"/>
      <c r="AE131" s="530"/>
      <c r="AR131" s="142"/>
    </row>
    <row r="132" customFormat="false" ht="15.75" hidden="false" customHeight="false" outlineLevel="0" collapsed="false">
      <c r="X132" s="142"/>
      <c r="Y132" s="142"/>
      <c r="Z132" s="142"/>
      <c r="AA132" s="142"/>
      <c r="AC132" s="142"/>
      <c r="AD132" s="142"/>
      <c r="AE132" s="530"/>
      <c r="AR132" s="142"/>
    </row>
    <row r="133" customFormat="false" ht="15.75" hidden="false" customHeight="false" outlineLevel="0" collapsed="false">
      <c r="X133" s="142"/>
      <c r="Y133" s="142"/>
      <c r="Z133" s="142"/>
      <c r="AA133" s="142"/>
      <c r="AC133" s="142"/>
      <c r="AD133" s="142"/>
      <c r="AE133" s="530"/>
      <c r="AR133" s="142"/>
    </row>
    <row r="134" customFormat="false" ht="15.75" hidden="false" customHeight="false" outlineLevel="0" collapsed="false">
      <c r="X134" s="142"/>
      <c r="Y134" s="142"/>
      <c r="Z134" s="142"/>
      <c r="AA134" s="142"/>
      <c r="AC134" s="142"/>
      <c r="AD134" s="142"/>
      <c r="AE134" s="530"/>
      <c r="AR134" s="142"/>
    </row>
    <row r="135" customFormat="false" ht="15.75" hidden="false" customHeight="false" outlineLevel="0" collapsed="false">
      <c r="X135" s="142"/>
      <c r="Y135" s="142"/>
      <c r="Z135" s="142"/>
      <c r="AA135" s="142"/>
      <c r="AC135" s="142"/>
      <c r="AD135" s="142"/>
      <c r="AE135" s="530"/>
      <c r="AR135" s="142"/>
    </row>
    <row r="136" customFormat="false" ht="15.75" hidden="false" customHeight="false" outlineLevel="0" collapsed="false">
      <c r="X136" s="142"/>
      <c r="Y136" s="142"/>
      <c r="Z136" s="142"/>
      <c r="AA136" s="142"/>
      <c r="AC136" s="142"/>
      <c r="AD136" s="142"/>
      <c r="AE136" s="530"/>
      <c r="AR136" s="142"/>
    </row>
    <row r="137" customFormat="false" ht="15.75" hidden="false" customHeight="false" outlineLevel="0" collapsed="false">
      <c r="X137" s="142"/>
      <c r="Y137" s="142"/>
      <c r="Z137" s="142"/>
      <c r="AA137" s="142"/>
      <c r="AC137" s="142"/>
      <c r="AD137" s="142"/>
      <c r="AE137" s="530"/>
      <c r="AR137" s="142"/>
    </row>
    <row r="138" customFormat="false" ht="15.75" hidden="false" customHeight="false" outlineLevel="0" collapsed="false">
      <c r="X138" s="142"/>
      <c r="Y138" s="142"/>
      <c r="Z138" s="142"/>
      <c r="AA138" s="142"/>
      <c r="AC138" s="142"/>
      <c r="AD138" s="142"/>
      <c r="AE138" s="530"/>
      <c r="AR138" s="142"/>
    </row>
    <row r="139" customFormat="false" ht="15.75" hidden="false" customHeight="false" outlineLevel="0" collapsed="false">
      <c r="X139" s="142"/>
      <c r="Y139" s="142"/>
      <c r="Z139" s="142"/>
      <c r="AA139" s="142"/>
      <c r="AC139" s="142"/>
      <c r="AD139" s="142"/>
      <c r="AE139" s="530"/>
      <c r="AR139" s="142"/>
    </row>
    <row r="140" customFormat="false" ht="15.75" hidden="false" customHeight="false" outlineLevel="0" collapsed="false">
      <c r="X140" s="142"/>
      <c r="Y140" s="142"/>
      <c r="Z140" s="142"/>
      <c r="AA140" s="142"/>
      <c r="AC140" s="142"/>
      <c r="AD140" s="142"/>
      <c r="AE140" s="530"/>
      <c r="AR140" s="142"/>
    </row>
    <row r="141" customFormat="false" ht="15.75" hidden="false" customHeight="false" outlineLevel="0" collapsed="false">
      <c r="X141" s="142"/>
      <c r="Y141" s="142"/>
      <c r="Z141" s="142"/>
      <c r="AA141" s="142"/>
      <c r="AC141" s="142"/>
      <c r="AD141" s="142"/>
      <c r="AE141" s="530"/>
      <c r="AR141" s="142"/>
    </row>
    <row r="142" customFormat="false" ht="15.75" hidden="false" customHeight="false" outlineLevel="0" collapsed="false">
      <c r="X142" s="142"/>
      <c r="Y142" s="142"/>
      <c r="Z142" s="142"/>
      <c r="AA142" s="142"/>
      <c r="AC142" s="142"/>
      <c r="AD142" s="142"/>
      <c r="AE142" s="530"/>
      <c r="AR142" s="142"/>
    </row>
    <row r="143" customFormat="false" ht="15.75" hidden="false" customHeight="false" outlineLevel="0" collapsed="false">
      <c r="X143" s="142"/>
      <c r="Y143" s="142"/>
      <c r="Z143" s="142"/>
      <c r="AA143" s="142"/>
      <c r="AC143" s="142"/>
      <c r="AD143" s="142"/>
      <c r="AE143" s="530"/>
      <c r="AR143" s="142"/>
    </row>
    <row r="144" customFormat="false" ht="15.75" hidden="false" customHeight="false" outlineLevel="0" collapsed="false">
      <c r="X144" s="142"/>
      <c r="Y144" s="142"/>
      <c r="Z144" s="142"/>
      <c r="AA144" s="142"/>
      <c r="AC144" s="142"/>
      <c r="AD144" s="142"/>
      <c r="AE144" s="530"/>
      <c r="AR144" s="142"/>
    </row>
    <row r="145" customFormat="false" ht="15.75" hidden="false" customHeight="false" outlineLevel="0" collapsed="false">
      <c r="X145" s="142"/>
      <c r="Y145" s="142"/>
      <c r="Z145" s="142"/>
      <c r="AA145" s="142"/>
      <c r="AC145" s="142"/>
      <c r="AD145" s="142"/>
      <c r="AE145" s="530"/>
      <c r="AR145" s="142"/>
    </row>
    <row r="146" customFormat="false" ht="15.75" hidden="false" customHeight="false" outlineLevel="0" collapsed="false">
      <c r="X146" s="142"/>
      <c r="Y146" s="142"/>
      <c r="Z146" s="142"/>
      <c r="AA146" s="142"/>
      <c r="AC146" s="142"/>
      <c r="AD146" s="142"/>
      <c r="AE146" s="530"/>
      <c r="AR146" s="142"/>
    </row>
    <row r="147" customFormat="false" ht="15.75" hidden="false" customHeight="false" outlineLevel="0" collapsed="false">
      <c r="X147" s="142"/>
      <c r="Y147" s="142"/>
      <c r="Z147" s="142"/>
      <c r="AA147" s="142"/>
      <c r="AC147" s="142"/>
      <c r="AD147" s="142"/>
      <c r="AE147" s="530"/>
      <c r="AR147" s="142"/>
    </row>
    <row r="148" customFormat="false" ht="15.75" hidden="false" customHeight="false" outlineLevel="0" collapsed="false">
      <c r="X148" s="142"/>
      <c r="Y148" s="142"/>
      <c r="Z148" s="142"/>
      <c r="AA148" s="142"/>
      <c r="AC148" s="142"/>
      <c r="AD148" s="142"/>
      <c r="AE148" s="530"/>
      <c r="AR148" s="142"/>
    </row>
    <row r="149" customFormat="false" ht="15.75" hidden="false" customHeight="false" outlineLevel="0" collapsed="false">
      <c r="X149" s="142"/>
      <c r="Y149" s="142"/>
      <c r="Z149" s="142"/>
      <c r="AA149" s="142"/>
      <c r="AC149" s="142"/>
      <c r="AD149" s="142"/>
      <c r="AE149" s="530"/>
      <c r="AR149" s="142"/>
    </row>
    <row r="150" customFormat="false" ht="15.75" hidden="false" customHeight="false" outlineLevel="0" collapsed="false">
      <c r="X150" s="142"/>
      <c r="Y150" s="142"/>
      <c r="Z150" s="142"/>
      <c r="AA150" s="142"/>
      <c r="AC150" s="142"/>
      <c r="AD150" s="142"/>
      <c r="AE150" s="530"/>
      <c r="AR150" s="142"/>
    </row>
    <row r="151" customFormat="false" ht="15.75" hidden="false" customHeight="false" outlineLevel="0" collapsed="false">
      <c r="X151" s="142"/>
      <c r="Y151" s="142"/>
      <c r="Z151" s="142"/>
      <c r="AA151" s="142"/>
      <c r="AC151" s="142"/>
      <c r="AD151" s="142"/>
      <c r="AE151" s="530"/>
      <c r="AR151" s="142"/>
    </row>
    <row r="152" customFormat="false" ht="15.75" hidden="false" customHeight="false" outlineLevel="0" collapsed="false">
      <c r="X152" s="142"/>
      <c r="Y152" s="142"/>
      <c r="Z152" s="142"/>
      <c r="AA152" s="142"/>
      <c r="AC152" s="142"/>
      <c r="AD152" s="142"/>
      <c r="AE152" s="530"/>
      <c r="AR152" s="142"/>
    </row>
    <row r="153" customFormat="false" ht="15.75" hidden="false" customHeight="false" outlineLevel="0" collapsed="false">
      <c r="X153" s="142"/>
      <c r="Y153" s="142"/>
      <c r="Z153" s="142"/>
      <c r="AA153" s="142"/>
      <c r="AC153" s="142"/>
      <c r="AD153" s="142"/>
      <c r="AE153" s="530"/>
      <c r="AR153" s="142"/>
    </row>
    <row r="154" customFormat="false" ht="15.75" hidden="false" customHeight="false" outlineLevel="0" collapsed="false">
      <c r="X154" s="142"/>
      <c r="Y154" s="142"/>
      <c r="Z154" s="142"/>
      <c r="AA154" s="142"/>
      <c r="AC154" s="142"/>
      <c r="AD154" s="142"/>
      <c r="AE154" s="530"/>
      <c r="AR154" s="142"/>
    </row>
    <row r="155" customFormat="false" ht="15.75" hidden="false" customHeight="false" outlineLevel="0" collapsed="false">
      <c r="X155" s="142"/>
      <c r="Y155" s="142"/>
      <c r="Z155" s="142"/>
      <c r="AA155" s="142"/>
      <c r="AC155" s="142"/>
      <c r="AD155" s="142"/>
      <c r="AE155" s="530"/>
      <c r="AR155" s="142"/>
    </row>
    <row r="156" customFormat="false" ht="15.75" hidden="false" customHeight="false" outlineLevel="0" collapsed="false">
      <c r="X156" s="142"/>
      <c r="Y156" s="142"/>
      <c r="Z156" s="142"/>
      <c r="AA156" s="142"/>
      <c r="AC156" s="142"/>
      <c r="AD156" s="142"/>
      <c r="AE156" s="530"/>
      <c r="AR156" s="142"/>
    </row>
    <row r="157" customFormat="false" ht="15.75" hidden="false" customHeight="false" outlineLevel="0" collapsed="false">
      <c r="X157" s="142"/>
      <c r="Y157" s="142"/>
      <c r="Z157" s="142"/>
      <c r="AA157" s="142"/>
      <c r="AC157" s="142"/>
      <c r="AD157" s="142"/>
      <c r="AE157" s="530"/>
      <c r="AR157" s="142"/>
    </row>
    <row r="158" customFormat="false" ht="15.75" hidden="false" customHeight="false" outlineLevel="0" collapsed="false">
      <c r="X158" s="142"/>
      <c r="Y158" s="142"/>
      <c r="Z158" s="142"/>
      <c r="AA158" s="142"/>
      <c r="AC158" s="142"/>
      <c r="AD158" s="142"/>
      <c r="AE158" s="530"/>
      <c r="AR158" s="142"/>
    </row>
    <row r="159" customFormat="false" ht="15.75" hidden="false" customHeight="false" outlineLevel="0" collapsed="false">
      <c r="X159" s="142"/>
      <c r="Y159" s="142"/>
      <c r="Z159" s="142"/>
      <c r="AA159" s="142"/>
      <c r="AC159" s="142"/>
      <c r="AD159" s="142"/>
      <c r="AE159" s="530"/>
      <c r="AR159" s="142"/>
    </row>
    <row r="160" customFormat="false" ht="15.75" hidden="false" customHeight="false" outlineLevel="0" collapsed="false">
      <c r="X160" s="142"/>
      <c r="Y160" s="142"/>
      <c r="Z160" s="142"/>
      <c r="AA160" s="142"/>
      <c r="AC160" s="142"/>
      <c r="AD160" s="142"/>
      <c r="AE160" s="530"/>
      <c r="AR160" s="142"/>
    </row>
    <row r="161" customFormat="false" ht="15.75" hidden="false" customHeight="false" outlineLevel="0" collapsed="false">
      <c r="X161" s="142"/>
      <c r="Y161" s="142"/>
      <c r="Z161" s="142"/>
      <c r="AA161" s="142"/>
      <c r="AC161" s="142"/>
      <c r="AD161" s="142"/>
      <c r="AE161" s="530"/>
      <c r="AR161" s="142"/>
    </row>
    <row r="162" customFormat="false" ht="15.75" hidden="false" customHeight="false" outlineLevel="0" collapsed="false">
      <c r="X162" s="142"/>
      <c r="Y162" s="142"/>
      <c r="Z162" s="142"/>
      <c r="AA162" s="142"/>
      <c r="AC162" s="142"/>
      <c r="AD162" s="142"/>
      <c r="AE162" s="530"/>
      <c r="AR162" s="142"/>
    </row>
    <row r="163" customFormat="false" ht="15.75" hidden="false" customHeight="false" outlineLevel="0" collapsed="false">
      <c r="X163" s="142"/>
      <c r="Y163" s="142"/>
      <c r="Z163" s="142"/>
      <c r="AA163" s="142"/>
      <c r="AC163" s="142"/>
      <c r="AD163" s="142"/>
      <c r="AE163" s="530"/>
      <c r="AR163" s="142"/>
    </row>
    <row r="164" customFormat="false" ht="15.75" hidden="false" customHeight="false" outlineLevel="0" collapsed="false">
      <c r="X164" s="142"/>
      <c r="Y164" s="142"/>
      <c r="Z164" s="142"/>
      <c r="AA164" s="142"/>
      <c r="AC164" s="142"/>
      <c r="AD164" s="142"/>
      <c r="AE164" s="530"/>
      <c r="AR164" s="142"/>
    </row>
    <row r="165" customFormat="false" ht="15.75" hidden="false" customHeight="false" outlineLevel="0" collapsed="false">
      <c r="X165" s="142"/>
      <c r="Y165" s="142"/>
      <c r="Z165" s="142"/>
      <c r="AA165" s="142"/>
      <c r="AC165" s="142"/>
      <c r="AD165" s="142"/>
      <c r="AE165" s="530"/>
      <c r="AR165" s="142"/>
    </row>
    <row r="166" customFormat="false" ht="15.75" hidden="false" customHeight="false" outlineLevel="0" collapsed="false">
      <c r="X166" s="142"/>
      <c r="Y166" s="142"/>
      <c r="Z166" s="142"/>
      <c r="AA166" s="142"/>
      <c r="AC166" s="142"/>
      <c r="AD166" s="142"/>
      <c r="AE166" s="530"/>
      <c r="AR166" s="142"/>
    </row>
    <row r="167" customFormat="false" ht="15.75" hidden="false" customHeight="false" outlineLevel="0" collapsed="false">
      <c r="X167" s="142"/>
      <c r="Y167" s="142"/>
      <c r="Z167" s="142"/>
      <c r="AA167" s="142"/>
      <c r="AC167" s="142"/>
      <c r="AD167" s="142"/>
      <c r="AE167" s="530"/>
      <c r="AR167" s="142"/>
    </row>
    <row r="168" customFormat="false" ht="15.75" hidden="false" customHeight="false" outlineLevel="0" collapsed="false">
      <c r="X168" s="142"/>
      <c r="Y168" s="142"/>
      <c r="Z168" s="142"/>
      <c r="AA168" s="142"/>
      <c r="AC168" s="142"/>
      <c r="AD168" s="142"/>
      <c r="AE168" s="530"/>
      <c r="AR168" s="142"/>
    </row>
    <row r="169" customFormat="false" ht="15.75" hidden="false" customHeight="false" outlineLevel="0" collapsed="false">
      <c r="X169" s="142"/>
      <c r="Y169" s="142"/>
      <c r="Z169" s="142"/>
      <c r="AA169" s="142"/>
      <c r="AC169" s="142"/>
      <c r="AD169" s="142"/>
      <c r="AE169" s="530"/>
      <c r="AR169" s="142"/>
    </row>
    <row r="170" customFormat="false" ht="15.75" hidden="false" customHeight="false" outlineLevel="0" collapsed="false">
      <c r="X170" s="142"/>
      <c r="Y170" s="142"/>
      <c r="Z170" s="142"/>
      <c r="AA170" s="142"/>
      <c r="AC170" s="142"/>
      <c r="AD170" s="142"/>
      <c r="AE170" s="530"/>
      <c r="AR170" s="142"/>
    </row>
    <row r="171" customFormat="false" ht="15.75" hidden="false" customHeight="false" outlineLevel="0" collapsed="false">
      <c r="X171" s="142"/>
      <c r="Y171" s="142"/>
      <c r="Z171" s="142"/>
      <c r="AA171" s="142"/>
      <c r="AC171" s="142"/>
      <c r="AD171" s="142"/>
      <c r="AE171" s="530"/>
      <c r="AR171" s="142"/>
    </row>
    <row r="172" customFormat="false" ht="15.75" hidden="false" customHeight="false" outlineLevel="0" collapsed="false">
      <c r="X172" s="142"/>
      <c r="Y172" s="142"/>
      <c r="Z172" s="142"/>
      <c r="AA172" s="142"/>
      <c r="AC172" s="142"/>
      <c r="AD172" s="142"/>
      <c r="AE172" s="530"/>
      <c r="AR172" s="142"/>
    </row>
    <row r="173" customFormat="false" ht="15.75" hidden="false" customHeight="false" outlineLevel="0" collapsed="false">
      <c r="X173" s="142"/>
      <c r="Y173" s="142"/>
      <c r="Z173" s="142"/>
      <c r="AA173" s="142"/>
      <c r="AC173" s="142"/>
      <c r="AD173" s="142"/>
      <c r="AE173" s="530"/>
      <c r="AR173" s="142"/>
    </row>
    <row r="174" customFormat="false" ht="15.75" hidden="false" customHeight="false" outlineLevel="0" collapsed="false">
      <c r="X174" s="142"/>
      <c r="Y174" s="142"/>
      <c r="Z174" s="142"/>
      <c r="AA174" s="142"/>
      <c r="AC174" s="142"/>
      <c r="AD174" s="142"/>
      <c r="AE174" s="530"/>
      <c r="AR174" s="142"/>
    </row>
    <row r="175" customFormat="false" ht="15.75" hidden="false" customHeight="false" outlineLevel="0" collapsed="false">
      <c r="X175" s="142"/>
      <c r="Y175" s="142"/>
      <c r="Z175" s="142"/>
      <c r="AA175" s="142"/>
      <c r="AC175" s="142"/>
      <c r="AD175" s="142"/>
      <c r="AE175" s="530"/>
      <c r="AR175" s="142"/>
    </row>
    <row r="176" customFormat="false" ht="15.75" hidden="false" customHeight="false" outlineLevel="0" collapsed="false">
      <c r="X176" s="142"/>
      <c r="Y176" s="142"/>
      <c r="Z176" s="142"/>
      <c r="AA176" s="142"/>
      <c r="AC176" s="142"/>
      <c r="AD176" s="142"/>
      <c r="AE176" s="530"/>
      <c r="AR176" s="142"/>
    </row>
    <row r="177" customFormat="false" ht="15.75" hidden="false" customHeight="false" outlineLevel="0" collapsed="false">
      <c r="X177" s="142"/>
      <c r="Y177" s="142"/>
      <c r="Z177" s="142"/>
      <c r="AA177" s="142"/>
      <c r="AC177" s="142"/>
      <c r="AD177" s="142"/>
      <c r="AE177" s="530"/>
      <c r="AR177" s="142"/>
    </row>
    <row r="178" customFormat="false" ht="15.75" hidden="false" customHeight="false" outlineLevel="0" collapsed="false">
      <c r="X178" s="142"/>
      <c r="Y178" s="142"/>
      <c r="Z178" s="142"/>
      <c r="AA178" s="142"/>
      <c r="AC178" s="142"/>
      <c r="AD178" s="142"/>
      <c r="AE178" s="530"/>
      <c r="AR178" s="142"/>
    </row>
    <row r="179" customFormat="false" ht="15.75" hidden="false" customHeight="false" outlineLevel="0" collapsed="false">
      <c r="X179" s="142"/>
      <c r="Y179" s="142"/>
      <c r="Z179" s="142"/>
      <c r="AA179" s="142"/>
      <c r="AC179" s="142"/>
      <c r="AD179" s="142"/>
      <c r="AE179" s="530"/>
      <c r="AR179" s="142"/>
    </row>
    <row r="180" customFormat="false" ht="15.75" hidden="false" customHeight="false" outlineLevel="0" collapsed="false">
      <c r="X180" s="142"/>
      <c r="Y180" s="142"/>
      <c r="Z180" s="142"/>
      <c r="AA180" s="142"/>
      <c r="AC180" s="142"/>
      <c r="AD180" s="142"/>
      <c r="AE180" s="530"/>
      <c r="AR180" s="142"/>
    </row>
    <row r="181" customFormat="false" ht="15.75" hidden="false" customHeight="false" outlineLevel="0" collapsed="false">
      <c r="X181" s="142"/>
      <c r="Y181" s="142"/>
      <c r="Z181" s="142"/>
      <c r="AA181" s="142"/>
      <c r="AC181" s="142"/>
      <c r="AD181" s="142"/>
      <c r="AE181" s="530"/>
      <c r="AR181" s="142"/>
    </row>
    <row r="182" customFormat="false" ht="15.75" hidden="false" customHeight="false" outlineLevel="0" collapsed="false">
      <c r="X182" s="142"/>
      <c r="Y182" s="142"/>
      <c r="Z182" s="142"/>
      <c r="AA182" s="142"/>
      <c r="AC182" s="142"/>
      <c r="AD182" s="142"/>
      <c r="AE182" s="530"/>
      <c r="AR182" s="142"/>
    </row>
    <row r="183" customFormat="false" ht="15.75" hidden="false" customHeight="false" outlineLevel="0" collapsed="false">
      <c r="X183" s="142"/>
      <c r="Y183" s="142"/>
      <c r="Z183" s="142"/>
      <c r="AA183" s="142"/>
      <c r="AC183" s="142"/>
      <c r="AD183" s="142"/>
      <c r="AE183" s="530"/>
      <c r="AR183" s="142"/>
    </row>
    <row r="184" customFormat="false" ht="15.75" hidden="false" customHeight="false" outlineLevel="0" collapsed="false">
      <c r="X184" s="142"/>
      <c r="Y184" s="142"/>
      <c r="Z184" s="142"/>
      <c r="AA184" s="142"/>
      <c r="AC184" s="142"/>
      <c r="AD184" s="142"/>
      <c r="AE184" s="530"/>
      <c r="AR184" s="142"/>
    </row>
    <row r="185" customFormat="false" ht="15.75" hidden="false" customHeight="false" outlineLevel="0" collapsed="false">
      <c r="X185" s="142"/>
      <c r="Y185" s="142"/>
      <c r="Z185" s="142"/>
      <c r="AA185" s="142"/>
      <c r="AC185" s="142"/>
      <c r="AD185" s="142"/>
      <c r="AE185" s="530"/>
      <c r="AR185" s="142"/>
    </row>
    <row r="186" customFormat="false" ht="15.75" hidden="false" customHeight="false" outlineLevel="0" collapsed="false">
      <c r="X186" s="142"/>
      <c r="Y186" s="142"/>
      <c r="Z186" s="142"/>
      <c r="AA186" s="142"/>
      <c r="AC186" s="142"/>
      <c r="AD186" s="142"/>
      <c r="AE186" s="530"/>
      <c r="AR186" s="142"/>
    </row>
    <row r="187" customFormat="false" ht="15.75" hidden="false" customHeight="false" outlineLevel="0" collapsed="false">
      <c r="X187" s="142"/>
      <c r="Y187" s="142"/>
      <c r="Z187" s="142"/>
      <c r="AA187" s="142"/>
      <c r="AC187" s="142"/>
      <c r="AD187" s="142"/>
      <c r="AE187" s="530"/>
      <c r="AR187" s="142"/>
    </row>
    <row r="188" customFormat="false" ht="15.75" hidden="false" customHeight="false" outlineLevel="0" collapsed="false">
      <c r="X188" s="142"/>
      <c r="Y188" s="142"/>
      <c r="Z188" s="142"/>
      <c r="AA188" s="142"/>
      <c r="AC188" s="142"/>
      <c r="AD188" s="142"/>
      <c r="AE188" s="530"/>
      <c r="AR188" s="142"/>
    </row>
    <row r="189" customFormat="false" ht="15.75" hidden="false" customHeight="false" outlineLevel="0" collapsed="false">
      <c r="X189" s="142"/>
      <c r="Y189" s="142"/>
      <c r="Z189" s="142"/>
      <c r="AA189" s="142"/>
      <c r="AC189" s="142"/>
      <c r="AD189" s="142"/>
      <c r="AE189" s="530"/>
      <c r="AR189" s="142"/>
    </row>
    <row r="190" customFormat="false" ht="15.75" hidden="false" customHeight="false" outlineLevel="0" collapsed="false">
      <c r="X190" s="142"/>
      <c r="Y190" s="142"/>
      <c r="Z190" s="142"/>
      <c r="AA190" s="142"/>
      <c r="AC190" s="142"/>
      <c r="AD190" s="142"/>
      <c r="AE190" s="530"/>
      <c r="AR190" s="142"/>
    </row>
    <row r="191" customFormat="false" ht="15.75" hidden="false" customHeight="false" outlineLevel="0" collapsed="false">
      <c r="N191" s="142"/>
      <c r="X191" s="142"/>
      <c r="Y191" s="142"/>
      <c r="Z191" s="142"/>
      <c r="AA191" s="142"/>
      <c r="AC191" s="142"/>
      <c r="AD191" s="142"/>
      <c r="AE191" s="530"/>
      <c r="AR191" s="142"/>
    </row>
    <row r="192" customFormat="false" ht="15.75" hidden="false" customHeight="false" outlineLevel="0" collapsed="false">
      <c r="N192" s="142"/>
      <c r="X192" s="142"/>
      <c r="Y192" s="142"/>
      <c r="Z192" s="142"/>
      <c r="AA192" s="142"/>
      <c r="AC192" s="142"/>
      <c r="AD192" s="142"/>
      <c r="AE192" s="530"/>
      <c r="AR192" s="142"/>
    </row>
    <row r="193" customFormat="false" ht="15.75" hidden="false" customHeight="false" outlineLevel="0" collapsed="false">
      <c r="N193" s="142"/>
      <c r="X193" s="142"/>
      <c r="Y193" s="142"/>
      <c r="Z193" s="142"/>
      <c r="AA193" s="142"/>
      <c r="AC193" s="142"/>
      <c r="AD193" s="142"/>
      <c r="AE193" s="530"/>
      <c r="AR193" s="142"/>
    </row>
    <row r="194" customFormat="false" ht="15.75" hidden="false" customHeight="false" outlineLevel="0" collapsed="false">
      <c r="N194" s="142"/>
      <c r="X194" s="142"/>
      <c r="Y194" s="142"/>
      <c r="Z194" s="142"/>
      <c r="AA194" s="142"/>
      <c r="AC194" s="142"/>
      <c r="AD194" s="142"/>
      <c r="AE194" s="530"/>
      <c r="AR194" s="142"/>
    </row>
    <row r="195" customFormat="false" ht="15.75" hidden="false" customHeight="false" outlineLevel="0" collapsed="false">
      <c r="N195" s="142"/>
      <c r="X195" s="142"/>
      <c r="Y195" s="142"/>
      <c r="Z195" s="142"/>
      <c r="AA195" s="142"/>
      <c r="AC195" s="142"/>
      <c r="AD195" s="142"/>
      <c r="AE195" s="530"/>
      <c r="AR195" s="142"/>
    </row>
    <row r="196" customFormat="false" ht="15.75" hidden="false" customHeight="false" outlineLevel="0" collapsed="false">
      <c r="N196" s="142"/>
      <c r="X196" s="142"/>
      <c r="Y196" s="142"/>
      <c r="Z196" s="142"/>
      <c r="AA196" s="142"/>
      <c r="AC196" s="142"/>
      <c r="AD196" s="142"/>
      <c r="AE196" s="530"/>
      <c r="AR196" s="142"/>
    </row>
    <row r="197" customFormat="false" ht="15.75" hidden="false" customHeight="false" outlineLevel="0" collapsed="false">
      <c r="N197" s="142"/>
      <c r="X197" s="142"/>
      <c r="Y197" s="142"/>
      <c r="Z197" s="142"/>
      <c r="AA197" s="142"/>
      <c r="AC197" s="142"/>
      <c r="AD197" s="142"/>
      <c r="AE197" s="530"/>
      <c r="AR197" s="142"/>
    </row>
    <row r="198" customFormat="false" ht="15.75" hidden="false" customHeight="false" outlineLevel="0" collapsed="false">
      <c r="N198" s="142"/>
      <c r="X198" s="142"/>
      <c r="Y198" s="142"/>
      <c r="Z198" s="142"/>
      <c r="AA198" s="142"/>
      <c r="AC198" s="142"/>
      <c r="AD198" s="142"/>
      <c r="AE198" s="530"/>
      <c r="AR198" s="142"/>
    </row>
    <row r="199" customFormat="false" ht="15.75" hidden="false" customHeight="false" outlineLevel="0" collapsed="false">
      <c r="N199" s="142"/>
      <c r="X199" s="142"/>
      <c r="Y199" s="142"/>
      <c r="Z199" s="142"/>
      <c r="AA199" s="142"/>
      <c r="AC199" s="142"/>
      <c r="AD199" s="142"/>
      <c r="AE199" s="530"/>
      <c r="AR199" s="142"/>
    </row>
    <row r="200" customFormat="false" ht="15.75" hidden="false" customHeight="false" outlineLevel="0" collapsed="false">
      <c r="N200" s="142"/>
      <c r="X200" s="142"/>
      <c r="Y200" s="142"/>
      <c r="Z200" s="142"/>
      <c r="AA200" s="142"/>
      <c r="AC200" s="142"/>
      <c r="AD200" s="142"/>
      <c r="AE200" s="530"/>
      <c r="AR200" s="142"/>
    </row>
    <row r="201" customFormat="false" ht="15.75" hidden="false" customHeight="false" outlineLevel="0" collapsed="false">
      <c r="N201" s="142"/>
      <c r="X201" s="142"/>
      <c r="Y201" s="142"/>
      <c r="Z201" s="142"/>
      <c r="AA201" s="142"/>
      <c r="AC201" s="142"/>
      <c r="AD201" s="142"/>
      <c r="AE201" s="530"/>
      <c r="AR201" s="142"/>
    </row>
    <row r="202" customFormat="false" ht="15.75" hidden="false" customHeight="false" outlineLevel="0" collapsed="false">
      <c r="N202" s="142"/>
      <c r="X202" s="142"/>
      <c r="Y202" s="142"/>
      <c r="Z202" s="142"/>
      <c r="AA202" s="142"/>
      <c r="AC202" s="142"/>
      <c r="AD202" s="142"/>
      <c r="AE202" s="530"/>
      <c r="AR202" s="142"/>
    </row>
    <row r="203" customFormat="false" ht="15.75" hidden="false" customHeight="false" outlineLevel="0" collapsed="false">
      <c r="N203" s="142"/>
      <c r="X203" s="142"/>
      <c r="Y203" s="142"/>
      <c r="Z203" s="142"/>
      <c r="AA203" s="142"/>
      <c r="AC203" s="142"/>
      <c r="AD203" s="142"/>
      <c r="AE203" s="530"/>
      <c r="AR203" s="142"/>
    </row>
    <row r="204" customFormat="false" ht="15.75" hidden="false" customHeight="false" outlineLevel="0" collapsed="false">
      <c r="N204" s="142"/>
      <c r="X204" s="142"/>
      <c r="Y204" s="142"/>
      <c r="Z204" s="142"/>
      <c r="AA204" s="142"/>
      <c r="AC204" s="142"/>
      <c r="AD204" s="142"/>
      <c r="AE204" s="530"/>
      <c r="AR204" s="142"/>
    </row>
    <row r="205" customFormat="false" ht="15.75" hidden="false" customHeight="false" outlineLevel="0" collapsed="false">
      <c r="N205" s="142"/>
      <c r="X205" s="142"/>
      <c r="Y205" s="142"/>
      <c r="Z205" s="142"/>
      <c r="AA205" s="142"/>
      <c r="AC205" s="142"/>
      <c r="AD205" s="142"/>
      <c r="AE205" s="530"/>
      <c r="AR205" s="142"/>
    </row>
    <row r="206" customFormat="false" ht="15.75" hidden="false" customHeight="false" outlineLevel="0" collapsed="false">
      <c r="N206" s="142"/>
      <c r="X206" s="142"/>
      <c r="Y206" s="142"/>
      <c r="Z206" s="142"/>
      <c r="AA206" s="142"/>
      <c r="AC206" s="142"/>
      <c r="AD206" s="142"/>
      <c r="AE206" s="530"/>
      <c r="AR206" s="142"/>
    </row>
    <row r="207" customFormat="false" ht="15.75" hidden="false" customHeight="false" outlineLevel="0" collapsed="false">
      <c r="N207" s="142"/>
      <c r="X207" s="142"/>
      <c r="Y207" s="142"/>
      <c r="Z207" s="142"/>
      <c r="AA207" s="142"/>
      <c r="AC207" s="142"/>
      <c r="AD207" s="142"/>
      <c r="AE207" s="530"/>
      <c r="AR207" s="142"/>
    </row>
    <row r="208" customFormat="false" ht="15.75" hidden="false" customHeight="false" outlineLevel="0" collapsed="false">
      <c r="N208" s="142"/>
      <c r="X208" s="142"/>
      <c r="Y208" s="142"/>
      <c r="Z208" s="142"/>
      <c r="AA208" s="142"/>
      <c r="AC208" s="142"/>
      <c r="AD208" s="142"/>
      <c r="AE208" s="530"/>
      <c r="AR208" s="142"/>
    </row>
    <row r="209" customFormat="false" ht="15.75" hidden="false" customHeight="false" outlineLevel="0" collapsed="false">
      <c r="N209" s="142"/>
      <c r="X209" s="142"/>
      <c r="Y209" s="142"/>
      <c r="Z209" s="142"/>
      <c r="AA209" s="142"/>
      <c r="AC209" s="142"/>
      <c r="AD209" s="142"/>
      <c r="AE209" s="530"/>
      <c r="AR209" s="142"/>
    </row>
    <row r="210" customFormat="false" ht="15.75" hidden="false" customHeight="false" outlineLevel="0" collapsed="false">
      <c r="N210" s="142"/>
      <c r="X210" s="142"/>
      <c r="Y210" s="142"/>
      <c r="Z210" s="142"/>
      <c r="AA210" s="142"/>
      <c r="AC210" s="142"/>
      <c r="AD210" s="142"/>
      <c r="AE210" s="530"/>
      <c r="AR210" s="142"/>
    </row>
    <row r="211" customFormat="false" ht="15.75" hidden="false" customHeight="false" outlineLevel="0" collapsed="false">
      <c r="N211" s="142"/>
      <c r="X211" s="142"/>
      <c r="Y211" s="142"/>
      <c r="Z211" s="142"/>
      <c r="AA211" s="142"/>
      <c r="AC211" s="142"/>
      <c r="AD211" s="142"/>
      <c r="AE211" s="530"/>
      <c r="AR211" s="142"/>
    </row>
    <row r="212" customFormat="false" ht="15.75" hidden="false" customHeight="false" outlineLevel="0" collapsed="false">
      <c r="N212" s="142"/>
      <c r="X212" s="142"/>
      <c r="Y212" s="142"/>
      <c r="Z212" s="142"/>
      <c r="AA212" s="142"/>
      <c r="AC212" s="142"/>
      <c r="AD212" s="142"/>
      <c r="AE212" s="530"/>
      <c r="AR212" s="142"/>
    </row>
    <row r="213" customFormat="false" ht="15.75" hidden="false" customHeight="false" outlineLevel="0" collapsed="false">
      <c r="N213" s="142"/>
      <c r="X213" s="142"/>
      <c r="Y213" s="142"/>
      <c r="Z213" s="142"/>
      <c r="AA213" s="142"/>
      <c r="AC213" s="142"/>
      <c r="AD213" s="142"/>
      <c r="AE213" s="530"/>
      <c r="AR213" s="142"/>
    </row>
    <row r="214" customFormat="false" ht="15.75" hidden="false" customHeight="false" outlineLevel="0" collapsed="false">
      <c r="N214" s="142"/>
      <c r="X214" s="142"/>
      <c r="Y214" s="142"/>
      <c r="Z214" s="142"/>
      <c r="AA214" s="142"/>
      <c r="AC214" s="142"/>
      <c r="AD214" s="142"/>
      <c r="AE214" s="530"/>
      <c r="AR214" s="142"/>
    </row>
    <row r="215" customFormat="false" ht="15.75" hidden="false" customHeight="false" outlineLevel="0" collapsed="false">
      <c r="N215" s="142"/>
      <c r="X215" s="142"/>
      <c r="Y215" s="142"/>
      <c r="Z215" s="142"/>
      <c r="AA215" s="142"/>
      <c r="AC215" s="142"/>
      <c r="AD215" s="142"/>
      <c r="AE215" s="530"/>
      <c r="AR215" s="142"/>
    </row>
    <row r="216" customFormat="false" ht="15.75" hidden="false" customHeight="false" outlineLevel="0" collapsed="false">
      <c r="N216" s="142"/>
      <c r="X216" s="142"/>
      <c r="Y216" s="142"/>
      <c r="Z216" s="142"/>
      <c r="AA216" s="142"/>
      <c r="AC216" s="142"/>
      <c r="AD216" s="142"/>
      <c r="AE216" s="530"/>
      <c r="AR216" s="142"/>
    </row>
    <row r="217" customFormat="false" ht="15.75" hidden="false" customHeight="false" outlineLevel="0" collapsed="false">
      <c r="N217" s="142"/>
      <c r="X217" s="142"/>
      <c r="Y217" s="142"/>
      <c r="Z217" s="142"/>
      <c r="AA217" s="142"/>
      <c r="AC217" s="142"/>
      <c r="AD217" s="142"/>
      <c r="AE217" s="530"/>
      <c r="AR217" s="142"/>
    </row>
    <row r="218" customFormat="false" ht="15.75" hidden="false" customHeight="false" outlineLevel="0" collapsed="false">
      <c r="N218" s="142"/>
      <c r="X218" s="142"/>
      <c r="Y218" s="142"/>
      <c r="Z218" s="142"/>
      <c r="AA218" s="142"/>
      <c r="AC218" s="142"/>
      <c r="AD218" s="142"/>
      <c r="AE218" s="530"/>
      <c r="AR218" s="142"/>
    </row>
    <row r="219" customFormat="false" ht="15.75" hidden="false" customHeight="false" outlineLevel="0" collapsed="false">
      <c r="N219" s="142"/>
      <c r="X219" s="142"/>
      <c r="Y219" s="142"/>
      <c r="Z219" s="142"/>
      <c r="AA219" s="142"/>
      <c r="AC219" s="142"/>
      <c r="AD219" s="142"/>
      <c r="AE219" s="530"/>
      <c r="AR219" s="142"/>
    </row>
    <row r="220" customFormat="false" ht="15.75" hidden="false" customHeight="false" outlineLevel="0" collapsed="false">
      <c r="N220" s="142"/>
      <c r="X220" s="142"/>
      <c r="Y220" s="142"/>
      <c r="Z220" s="142"/>
      <c r="AA220" s="142"/>
      <c r="AC220" s="142"/>
      <c r="AD220" s="142"/>
      <c r="AE220" s="530"/>
      <c r="AR220" s="142"/>
    </row>
    <row r="221" customFormat="false" ht="15.75" hidden="false" customHeight="false" outlineLevel="0" collapsed="false">
      <c r="N221" s="142"/>
      <c r="X221" s="142"/>
      <c r="Y221" s="142"/>
      <c r="Z221" s="142"/>
      <c r="AA221" s="142"/>
      <c r="AC221" s="142"/>
      <c r="AD221" s="142"/>
      <c r="AE221" s="530"/>
      <c r="AR221" s="142"/>
    </row>
    <row r="222" customFormat="false" ht="15.75" hidden="false" customHeight="false" outlineLevel="0" collapsed="false">
      <c r="N222" s="142"/>
      <c r="X222" s="142"/>
      <c r="Y222" s="142"/>
      <c r="Z222" s="142"/>
      <c r="AA222" s="142"/>
      <c r="AC222" s="142"/>
      <c r="AD222" s="142"/>
      <c r="AE222" s="530"/>
      <c r="AR222" s="142"/>
    </row>
    <row r="223" customFormat="false" ht="15.75" hidden="false" customHeight="false" outlineLevel="0" collapsed="false">
      <c r="N223" s="142"/>
      <c r="X223" s="142"/>
      <c r="Y223" s="142"/>
      <c r="Z223" s="142"/>
      <c r="AA223" s="142"/>
      <c r="AC223" s="142"/>
      <c r="AD223" s="142"/>
      <c r="AE223" s="530"/>
      <c r="AR223" s="142"/>
    </row>
    <row r="224" customFormat="false" ht="15.75" hidden="false" customHeight="false" outlineLevel="0" collapsed="false">
      <c r="N224" s="142"/>
      <c r="X224" s="142"/>
      <c r="Y224" s="142"/>
      <c r="Z224" s="142"/>
      <c r="AA224" s="142"/>
      <c r="AC224" s="142"/>
      <c r="AD224" s="142"/>
      <c r="AE224" s="530"/>
      <c r="AR224" s="142"/>
    </row>
    <row r="225" customFormat="false" ht="15.75" hidden="false" customHeight="false" outlineLevel="0" collapsed="false">
      <c r="N225" s="142"/>
      <c r="X225" s="142"/>
      <c r="Y225" s="142"/>
      <c r="Z225" s="142"/>
      <c r="AA225" s="142"/>
      <c r="AC225" s="142"/>
      <c r="AD225" s="142"/>
      <c r="AE225" s="530"/>
      <c r="AR225" s="142"/>
    </row>
    <row r="226" customFormat="false" ht="15.75" hidden="false" customHeight="false" outlineLevel="0" collapsed="false">
      <c r="N226" s="142"/>
      <c r="X226" s="142"/>
      <c r="Y226" s="142"/>
      <c r="Z226" s="142"/>
      <c r="AA226" s="142"/>
      <c r="AC226" s="142"/>
      <c r="AD226" s="142"/>
      <c r="AE226" s="530"/>
      <c r="AR226" s="142"/>
    </row>
    <row r="227" customFormat="false" ht="15.75" hidden="false" customHeight="false" outlineLevel="0" collapsed="false">
      <c r="N227" s="142"/>
      <c r="X227" s="142"/>
      <c r="Y227" s="142"/>
      <c r="Z227" s="142"/>
      <c r="AA227" s="142"/>
      <c r="AC227" s="142"/>
      <c r="AD227" s="142"/>
      <c r="AE227" s="530"/>
      <c r="AR227" s="142"/>
    </row>
    <row r="228" customFormat="false" ht="15.75" hidden="false" customHeight="false" outlineLevel="0" collapsed="false">
      <c r="N228" s="142"/>
      <c r="X228" s="142"/>
      <c r="Y228" s="142"/>
      <c r="Z228" s="142"/>
      <c r="AA228" s="142"/>
      <c r="AC228" s="142"/>
      <c r="AD228" s="142"/>
      <c r="AE228" s="530"/>
      <c r="AR228" s="142"/>
    </row>
    <row r="229" customFormat="false" ht="15.75" hidden="false" customHeight="false" outlineLevel="0" collapsed="false">
      <c r="N229" s="142"/>
      <c r="X229" s="142"/>
      <c r="Y229" s="142"/>
      <c r="Z229" s="142"/>
      <c r="AA229" s="142"/>
      <c r="AC229" s="142"/>
      <c r="AD229" s="142"/>
      <c r="AE229" s="530"/>
      <c r="AR229" s="142"/>
    </row>
    <row r="230" customFormat="false" ht="15.75" hidden="false" customHeight="false" outlineLevel="0" collapsed="false">
      <c r="N230" s="142"/>
      <c r="X230" s="142"/>
      <c r="Y230" s="142"/>
      <c r="Z230" s="142"/>
      <c r="AA230" s="142"/>
      <c r="AC230" s="142"/>
      <c r="AD230" s="142"/>
      <c r="AE230" s="530"/>
      <c r="AR230" s="142"/>
    </row>
    <row r="231" customFormat="false" ht="15.75" hidden="false" customHeight="false" outlineLevel="0" collapsed="false">
      <c r="N231" s="142"/>
      <c r="X231" s="142"/>
      <c r="Y231" s="142"/>
      <c r="Z231" s="142"/>
      <c r="AA231" s="142"/>
      <c r="AC231" s="142"/>
      <c r="AD231" s="142"/>
      <c r="AE231" s="530"/>
      <c r="AR231" s="142"/>
    </row>
    <row r="232" customFormat="false" ht="15.75" hidden="false" customHeight="false" outlineLevel="0" collapsed="false">
      <c r="N232" s="142"/>
      <c r="X232" s="142"/>
      <c r="Y232" s="142"/>
      <c r="Z232" s="142"/>
      <c r="AA232" s="142"/>
      <c r="AC232" s="142"/>
      <c r="AD232" s="142"/>
      <c r="AE232" s="530"/>
      <c r="AR232" s="142"/>
    </row>
    <row r="233" customFormat="false" ht="15.75" hidden="false" customHeight="false" outlineLevel="0" collapsed="false">
      <c r="N233" s="142"/>
      <c r="X233" s="142"/>
      <c r="Y233" s="142"/>
      <c r="Z233" s="142"/>
      <c r="AA233" s="142"/>
      <c r="AC233" s="142"/>
      <c r="AD233" s="142"/>
      <c r="AE233" s="530"/>
      <c r="AR233" s="142"/>
    </row>
    <row r="234" customFormat="false" ht="15.75" hidden="false" customHeight="false" outlineLevel="0" collapsed="false">
      <c r="N234" s="142"/>
      <c r="X234" s="142"/>
      <c r="Y234" s="142"/>
      <c r="Z234" s="142"/>
      <c r="AA234" s="142"/>
      <c r="AC234" s="142"/>
      <c r="AD234" s="142"/>
      <c r="AE234" s="530"/>
      <c r="AR234" s="142"/>
    </row>
    <row r="235" customFormat="false" ht="15.75" hidden="false" customHeight="false" outlineLevel="0" collapsed="false">
      <c r="N235" s="142"/>
      <c r="X235" s="142"/>
      <c r="Y235" s="142"/>
      <c r="Z235" s="142"/>
      <c r="AA235" s="142"/>
      <c r="AC235" s="142"/>
      <c r="AD235" s="142"/>
      <c r="AE235" s="530"/>
      <c r="AR235" s="142"/>
    </row>
    <row r="236" customFormat="false" ht="15.75" hidden="false" customHeight="false" outlineLevel="0" collapsed="false">
      <c r="N236" s="142"/>
      <c r="X236" s="142"/>
      <c r="Y236" s="142"/>
      <c r="Z236" s="142"/>
      <c r="AA236" s="142"/>
      <c r="AC236" s="142"/>
      <c r="AD236" s="142"/>
      <c r="AE236" s="530"/>
      <c r="AR236" s="142"/>
    </row>
    <row r="237" customFormat="false" ht="15.75" hidden="false" customHeight="false" outlineLevel="0" collapsed="false">
      <c r="N237" s="142"/>
      <c r="X237" s="142"/>
      <c r="Y237" s="142"/>
      <c r="Z237" s="142"/>
      <c r="AA237" s="142"/>
      <c r="AC237" s="142"/>
      <c r="AD237" s="142"/>
      <c r="AE237" s="530"/>
      <c r="AR237" s="142"/>
    </row>
    <row r="238" customFormat="false" ht="15.75" hidden="false" customHeight="false" outlineLevel="0" collapsed="false">
      <c r="N238" s="142"/>
      <c r="X238" s="142"/>
      <c r="Y238" s="142"/>
      <c r="Z238" s="142"/>
      <c r="AA238" s="142"/>
      <c r="AC238" s="142"/>
      <c r="AD238" s="142"/>
      <c r="AE238" s="530"/>
      <c r="AR238" s="142"/>
    </row>
    <row r="239" customFormat="false" ht="15.75" hidden="false" customHeight="false" outlineLevel="0" collapsed="false">
      <c r="N239" s="142"/>
      <c r="X239" s="142"/>
      <c r="Y239" s="142"/>
      <c r="Z239" s="142"/>
      <c r="AA239" s="142"/>
      <c r="AC239" s="142"/>
      <c r="AD239" s="142"/>
      <c r="AE239" s="530"/>
      <c r="AR239" s="142"/>
    </row>
    <row r="240" customFormat="false" ht="15.75" hidden="false" customHeight="false" outlineLevel="0" collapsed="false">
      <c r="N240" s="142"/>
      <c r="X240" s="142"/>
      <c r="Y240" s="142"/>
      <c r="Z240" s="142"/>
      <c r="AA240" s="142"/>
      <c r="AC240" s="142"/>
      <c r="AD240" s="142"/>
      <c r="AE240" s="530"/>
      <c r="AR240" s="142"/>
    </row>
    <row r="241" customFormat="false" ht="15.75" hidden="false" customHeight="false" outlineLevel="0" collapsed="false">
      <c r="N241" s="142"/>
      <c r="X241" s="142"/>
      <c r="Y241" s="142"/>
      <c r="Z241" s="142"/>
      <c r="AA241" s="142"/>
      <c r="AC241" s="142"/>
      <c r="AD241" s="142"/>
      <c r="AE241" s="530"/>
      <c r="AR241" s="142"/>
    </row>
    <row r="242" customFormat="false" ht="15.75" hidden="false" customHeight="false" outlineLevel="0" collapsed="false">
      <c r="N242" s="142"/>
      <c r="X242" s="142"/>
      <c r="Y242" s="142"/>
      <c r="Z242" s="142"/>
      <c r="AA242" s="142"/>
      <c r="AC242" s="142"/>
      <c r="AD242" s="142"/>
      <c r="AE242" s="530"/>
      <c r="AR242" s="142"/>
    </row>
    <row r="243" customFormat="false" ht="15.75" hidden="false" customHeight="false" outlineLevel="0" collapsed="false">
      <c r="N243" s="142"/>
      <c r="X243" s="142"/>
      <c r="Y243" s="142"/>
      <c r="Z243" s="142"/>
      <c r="AA243" s="142"/>
      <c r="AC243" s="142"/>
      <c r="AD243" s="142"/>
      <c r="AE243" s="530"/>
      <c r="AR243" s="142"/>
    </row>
    <row r="244" customFormat="false" ht="15.75" hidden="false" customHeight="false" outlineLevel="0" collapsed="false">
      <c r="N244" s="142"/>
      <c r="X244" s="142"/>
      <c r="Y244" s="142"/>
      <c r="Z244" s="142"/>
      <c r="AA244" s="142"/>
      <c r="AC244" s="142"/>
      <c r="AD244" s="142"/>
      <c r="AE244" s="530"/>
      <c r="AR244" s="142"/>
    </row>
    <row r="245" customFormat="false" ht="15.75" hidden="false" customHeight="false" outlineLevel="0" collapsed="false">
      <c r="N245" s="142"/>
      <c r="X245" s="142"/>
      <c r="Y245" s="142"/>
      <c r="Z245" s="142"/>
      <c r="AA245" s="142"/>
      <c r="AC245" s="142"/>
      <c r="AD245" s="142"/>
      <c r="AE245" s="530"/>
      <c r="AR245" s="142"/>
    </row>
    <row r="246" customFormat="false" ht="15.75" hidden="false" customHeight="false" outlineLevel="0" collapsed="false">
      <c r="N246" s="142"/>
      <c r="X246" s="142"/>
      <c r="Y246" s="142"/>
      <c r="Z246" s="142"/>
      <c r="AA246" s="142"/>
      <c r="AC246" s="142"/>
      <c r="AD246" s="142"/>
      <c r="AE246" s="530"/>
      <c r="AR246" s="142"/>
    </row>
    <row r="247" customFormat="false" ht="15.75" hidden="false" customHeight="false" outlineLevel="0" collapsed="false">
      <c r="N247" s="142"/>
      <c r="X247" s="142"/>
      <c r="Y247" s="142"/>
      <c r="Z247" s="142"/>
      <c r="AA247" s="142"/>
      <c r="AC247" s="142"/>
      <c r="AD247" s="142"/>
      <c r="AE247" s="530"/>
      <c r="AR247" s="142"/>
    </row>
    <row r="248" customFormat="false" ht="15.75" hidden="false" customHeight="false" outlineLevel="0" collapsed="false">
      <c r="N248" s="142"/>
      <c r="X248" s="142"/>
      <c r="Y248" s="142"/>
      <c r="Z248" s="142"/>
      <c r="AA248" s="142"/>
      <c r="AC248" s="142"/>
      <c r="AD248" s="142"/>
      <c r="AE248" s="530"/>
      <c r="AR248" s="142"/>
    </row>
    <row r="249" customFormat="false" ht="15.75" hidden="false" customHeight="false" outlineLevel="0" collapsed="false">
      <c r="N249" s="142"/>
      <c r="X249" s="142"/>
      <c r="Y249" s="142"/>
      <c r="Z249" s="142"/>
      <c r="AA249" s="142"/>
      <c r="AC249" s="142"/>
      <c r="AD249" s="142"/>
      <c r="AE249" s="530"/>
      <c r="AR249" s="142"/>
    </row>
    <row r="250" customFormat="false" ht="15.75" hidden="false" customHeight="false" outlineLevel="0" collapsed="false">
      <c r="N250" s="142"/>
      <c r="X250" s="142"/>
      <c r="Y250" s="142"/>
      <c r="Z250" s="142"/>
      <c r="AA250" s="142"/>
      <c r="AC250" s="142"/>
      <c r="AD250" s="142"/>
      <c r="AE250" s="530"/>
      <c r="AR250" s="142"/>
    </row>
    <row r="251" customFormat="false" ht="15.75" hidden="false" customHeight="false" outlineLevel="0" collapsed="false">
      <c r="N251" s="142"/>
      <c r="X251" s="142"/>
      <c r="Y251" s="142"/>
      <c r="Z251" s="142"/>
      <c r="AA251" s="142"/>
      <c r="AC251" s="142"/>
      <c r="AD251" s="142"/>
      <c r="AE251" s="530"/>
      <c r="AR251" s="142"/>
    </row>
    <row r="252" customFormat="false" ht="15.75" hidden="false" customHeight="false" outlineLevel="0" collapsed="false">
      <c r="N252" s="142"/>
      <c r="X252" s="142"/>
      <c r="Y252" s="142"/>
      <c r="Z252" s="142"/>
      <c r="AA252" s="142"/>
      <c r="AC252" s="142"/>
      <c r="AD252" s="142"/>
      <c r="AE252" s="530"/>
      <c r="AR252" s="142"/>
    </row>
    <row r="253" customFormat="false" ht="15.75" hidden="false" customHeight="false" outlineLevel="0" collapsed="false">
      <c r="N253" s="142"/>
      <c r="X253" s="142"/>
      <c r="Y253" s="142"/>
      <c r="Z253" s="142"/>
      <c r="AA253" s="142"/>
      <c r="AC253" s="142"/>
      <c r="AD253" s="142"/>
      <c r="AE253" s="530"/>
      <c r="AR253" s="142"/>
    </row>
    <row r="254" customFormat="false" ht="15.75" hidden="false" customHeight="false" outlineLevel="0" collapsed="false">
      <c r="N254" s="142"/>
      <c r="X254" s="142"/>
      <c r="Y254" s="142"/>
      <c r="Z254" s="142"/>
      <c r="AA254" s="142"/>
      <c r="AC254" s="142"/>
      <c r="AD254" s="142"/>
      <c r="AE254" s="530"/>
      <c r="AH254" s="541"/>
      <c r="AR254" s="142"/>
    </row>
    <row r="255" customFormat="false" ht="15.75" hidden="false" customHeight="false" outlineLevel="0" collapsed="false">
      <c r="N255" s="142"/>
      <c r="X255" s="142"/>
      <c r="Y255" s="142"/>
      <c r="Z255" s="142"/>
      <c r="AA255" s="142"/>
      <c r="AC255" s="142"/>
      <c r="AD255" s="142"/>
      <c r="AE255" s="530"/>
      <c r="AH255" s="541"/>
      <c r="AR255" s="142"/>
    </row>
    <row r="256" customFormat="false" ht="15.75" hidden="false" customHeight="false" outlineLevel="0" collapsed="false">
      <c r="N256" s="142"/>
      <c r="X256" s="142"/>
      <c r="Y256" s="142"/>
      <c r="Z256" s="142"/>
      <c r="AA256" s="142"/>
      <c r="AC256" s="142"/>
      <c r="AD256" s="142"/>
      <c r="AE256" s="530"/>
      <c r="AH256" s="541"/>
      <c r="AR256" s="142"/>
    </row>
    <row r="257" customFormat="false" ht="15.75" hidden="false" customHeight="false" outlineLevel="0" collapsed="false">
      <c r="N257" s="142"/>
      <c r="X257" s="142"/>
      <c r="Y257" s="142"/>
      <c r="Z257" s="142"/>
      <c r="AA257" s="142"/>
      <c r="AC257" s="142"/>
      <c r="AD257" s="142"/>
      <c r="AE257" s="530"/>
      <c r="AF257" s="542"/>
      <c r="AR257" s="142"/>
    </row>
    <row r="258" customFormat="false" ht="15.75" hidden="false" customHeight="false" outlineLevel="0" collapsed="false">
      <c r="N258" s="142"/>
      <c r="X258" s="142"/>
      <c r="Y258" s="142"/>
      <c r="Z258" s="142"/>
      <c r="AA258" s="142"/>
      <c r="AC258" s="142"/>
      <c r="AD258" s="142"/>
      <c r="AE258" s="530"/>
      <c r="AR258" s="142"/>
    </row>
    <row r="259" customFormat="false" ht="15.75" hidden="false" customHeight="false" outlineLevel="0" collapsed="false">
      <c r="N259" s="142"/>
      <c r="X259" s="142"/>
      <c r="Y259" s="142"/>
      <c r="Z259" s="142"/>
      <c r="AA259" s="142"/>
      <c r="AC259" s="142"/>
      <c r="AD259" s="142"/>
      <c r="AE259" s="530"/>
      <c r="AR259" s="142"/>
    </row>
    <row r="260" customFormat="false" ht="15.75" hidden="false" customHeight="false" outlineLevel="0" collapsed="false">
      <c r="N260" s="142"/>
      <c r="X260" s="142"/>
      <c r="Y260" s="142"/>
      <c r="Z260" s="142"/>
      <c r="AA260" s="142"/>
      <c r="AC260" s="142"/>
      <c r="AD260" s="142"/>
      <c r="AE260" s="530"/>
      <c r="AR260" s="142"/>
    </row>
    <row r="261" customFormat="false" ht="15.75" hidden="false" customHeight="false" outlineLevel="0" collapsed="false">
      <c r="N261" s="142"/>
      <c r="X261" s="142"/>
      <c r="Y261" s="142"/>
      <c r="Z261" s="142"/>
      <c r="AA261" s="142"/>
      <c r="AC261" s="142"/>
      <c r="AD261" s="142"/>
      <c r="AE261" s="530"/>
      <c r="AR261" s="142"/>
    </row>
    <row r="262" customFormat="false" ht="15.75" hidden="false" customHeight="false" outlineLevel="0" collapsed="false">
      <c r="N262" s="142"/>
      <c r="X262" s="142"/>
      <c r="Y262" s="142"/>
      <c r="Z262" s="142"/>
      <c r="AA262" s="142"/>
      <c r="AC262" s="142"/>
      <c r="AD262" s="142"/>
      <c r="AE262" s="530"/>
      <c r="AR262" s="142"/>
    </row>
    <row r="263" customFormat="false" ht="15.75" hidden="false" customHeight="false" outlineLevel="0" collapsed="false">
      <c r="N263" s="142"/>
      <c r="X263" s="142"/>
      <c r="Y263" s="142"/>
      <c r="Z263" s="142"/>
      <c r="AA263" s="142"/>
      <c r="AC263" s="142"/>
      <c r="AD263" s="142"/>
      <c r="AE263" s="530"/>
      <c r="AR263" s="142"/>
    </row>
    <row r="264" customFormat="false" ht="15.75" hidden="false" customHeight="false" outlineLevel="0" collapsed="false">
      <c r="N264" s="142"/>
      <c r="X264" s="142"/>
      <c r="Y264" s="142"/>
      <c r="Z264" s="142"/>
      <c r="AA264" s="142"/>
      <c r="AC264" s="142"/>
      <c r="AD264" s="142"/>
      <c r="AE264" s="530"/>
      <c r="AR264" s="142"/>
    </row>
    <row r="265" customFormat="false" ht="15.75" hidden="false" customHeight="false" outlineLevel="0" collapsed="false">
      <c r="N265" s="142"/>
      <c r="X265" s="142"/>
      <c r="Y265" s="142"/>
      <c r="Z265" s="142"/>
      <c r="AA265" s="142"/>
      <c r="AC265" s="142"/>
      <c r="AD265" s="142"/>
      <c r="AE265" s="530"/>
      <c r="AR265" s="142"/>
    </row>
    <row r="266" customFormat="false" ht="15.75" hidden="false" customHeight="false" outlineLevel="0" collapsed="false">
      <c r="N266" s="142"/>
      <c r="X266" s="142"/>
      <c r="Y266" s="142"/>
      <c r="Z266" s="142"/>
      <c r="AA266" s="142"/>
      <c r="AC266" s="142"/>
      <c r="AD266" s="142"/>
      <c r="AE266" s="530"/>
      <c r="AR266" s="142"/>
    </row>
    <row r="267" customFormat="false" ht="15.75" hidden="false" customHeight="false" outlineLevel="0" collapsed="false">
      <c r="N267" s="142"/>
      <c r="X267" s="142"/>
      <c r="Y267" s="142"/>
      <c r="Z267" s="142"/>
      <c r="AA267" s="142"/>
      <c r="AC267" s="142"/>
      <c r="AD267" s="142"/>
      <c r="AE267" s="530"/>
      <c r="AR267" s="142"/>
    </row>
    <row r="268" customFormat="false" ht="15.75" hidden="false" customHeight="false" outlineLevel="0" collapsed="false">
      <c r="N268" s="142"/>
      <c r="X268" s="142"/>
      <c r="Y268" s="142"/>
      <c r="Z268" s="142"/>
      <c r="AA268" s="142"/>
      <c r="AC268" s="142"/>
      <c r="AD268" s="142"/>
      <c r="AE268" s="530"/>
      <c r="AR268" s="142"/>
    </row>
    <row r="269" customFormat="false" ht="15.75" hidden="false" customHeight="false" outlineLevel="0" collapsed="false">
      <c r="N269" s="142"/>
      <c r="X269" s="142"/>
      <c r="Y269" s="142"/>
      <c r="Z269" s="142"/>
      <c r="AA269" s="142"/>
      <c r="AC269" s="142"/>
      <c r="AD269" s="142"/>
      <c r="AE269" s="530"/>
      <c r="AR269" s="142"/>
    </row>
    <row r="270" customFormat="false" ht="15.75" hidden="false" customHeight="false" outlineLevel="0" collapsed="false">
      <c r="N270" s="142"/>
      <c r="X270" s="142"/>
      <c r="Y270" s="142"/>
      <c r="Z270" s="142"/>
      <c r="AA270" s="142"/>
      <c r="AC270" s="142"/>
      <c r="AD270" s="142"/>
      <c r="AE270" s="530"/>
      <c r="AR270" s="142"/>
    </row>
    <row r="271" customFormat="false" ht="15.75" hidden="false" customHeight="false" outlineLevel="0" collapsed="false">
      <c r="N271" s="142"/>
      <c r="X271" s="142"/>
      <c r="Y271" s="142"/>
      <c r="Z271" s="142"/>
      <c r="AA271" s="142"/>
      <c r="AC271" s="142"/>
      <c r="AD271" s="142"/>
      <c r="AE271" s="530"/>
      <c r="AR271" s="142"/>
    </row>
    <row r="272" customFormat="false" ht="15.75" hidden="false" customHeight="false" outlineLevel="0" collapsed="false">
      <c r="N272" s="142"/>
      <c r="X272" s="142"/>
      <c r="Y272" s="142"/>
      <c r="Z272" s="142"/>
      <c r="AA272" s="142"/>
      <c r="AC272" s="142"/>
      <c r="AD272" s="142"/>
      <c r="AE272" s="530"/>
      <c r="AR272" s="142"/>
    </row>
    <row r="273" customFormat="false" ht="15.75" hidden="false" customHeight="false" outlineLevel="0" collapsed="false">
      <c r="N273" s="142"/>
      <c r="X273" s="142"/>
      <c r="Y273" s="142"/>
      <c r="Z273" s="142"/>
      <c r="AA273" s="142"/>
      <c r="AC273" s="142"/>
      <c r="AD273" s="142"/>
      <c r="AE273" s="530"/>
      <c r="AR273" s="142"/>
    </row>
    <row r="274" customFormat="false" ht="15.75" hidden="false" customHeight="false" outlineLevel="0" collapsed="false">
      <c r="N274" s="142"/>
      <c r="X274" s="142"/>
      <c r="Y274" s="142"/>
      <c r="Z274" s="142"/>
      <c r="AA274" s="142"/>
      <c r="AC274" s="142"/>
      <c r="AD274" s="142"/>
      <c r="AE274" s="530"/>
      <c r="AR274" s="142"/>
    </row>
    <row r="275" customFormat="false" ht="15.75" hidden="false" customHeight="false" outlineLevel="0" collapsed="false">
      <c r="N275" s="142"/>
      <c r="X275" s="142"/>
      <c r="Y275" s="142"/>
      <c r="Z275" s="142"/>
      <c r="AA275" s="142"/>
      <c r="AC275" s="142"/>
      <c r="AD275" s="142"/>
      <c r="AE275" s="530"/>
      <c r="AR275" s="142"/>
    </row>
    <row r="276" customFormat="false" ht="15.75" hidden="false" customHeight="false" outlineLevel="0" collapsed="false">
      <c r="N276" s="142"/>
      <c r="X276" s="142"/>
      <c r="Y276" s="142"/>
      <c r="Z276" s="142"/>
      <c r="AA276" s="142"/>
      <c r="AC276" s="142"/>
      <c r="AD276" s="142"/>
      <c r="AE276" s="530"/>
      <c r="AR276" s="142"/>
    </row>
    <row r="277" customFormat="false" ht="15.75" hidden="false" customHeight="false" outlineLevel="0" collapsed="false">
      <c r="N277" s="142"/>
      <c r="X277" s="142"/>
      <c r="Y277" s="142"/>
      <c r="Z277" s="142"/>
      <c r="AA277" s="142"/>
      <c r="AC277" s="142"/>
      <c r="AD277" s="142"/>
      <c r="AE277" s="530"/>
      <c r="AR277" s="142"/>
    </row>
    <row r="278" customFormat="false" ht="15.75" hidden="false" customHeight="false" outlineLevel="0" collapsed="false">
      <c r="N278" s="142"/>
      <c r="X278" s="142"/>
      <c r="Y278" s="142"/>
      <c r="Z278" s="142"/>
      <c r="AA278" s="142"/>
      <c r="AC278" s="142"/>
      <c r="AD278" s="142"/>
      <c r="AE278" s="530"/>
      <c r="AR278" s="142"/>
    </row>
    <row r="279" customFormat="false" ht="15.75" hidden="false" customHeight="false" outlineLevel="0" collapsed="false">
      <c r="N279" s="142"/>
      <c r="X279" s="142"/>
      <c r="Y279" s="142"/>
      <c r="Z279" s="142"/>
      <c r="AA279" s="142"/>
      <c r="AC279" s="142"/>
      <c r="AD279" s="142"/>
      <c r="AE279" s="530"/>
      <c r="AR279" s="142"/>
    </row>
    <row r="280" customFormat="false" ht="15.75" hidden="false" customHeight="false" outlineLevel="0" collapsed="false">
      <c r="N280" s="142"/>
      <c r="X280" s="142"/>
      <c r="Y280" s="142"/>
      <c r="Z280" s="142"/>
      <c r="AA280" s="142"/>
      <c r="AC280" s="142"/>
      <c r="AD280" s="142"/>
      <c r="AE280" s="530"/>
      <c r="AR280" s="142"/>
    </row>
    <row r="281" customFormat="false" ht="15.75" hidden="false" customHeight="false" outlineLevel="0" collapsed="false">
      <c r="N281" s="142"/>
      <c r="X281" s="142"/>
      <c r="Y281" s="142"/>
      <c r="Z281" s="142"/>
      <c r="AA281" s="142"/>
      <c r="AC281" s="142"/>
      <c r="AD281" s="142"/>
      <c r="AE281" s="530"/>
      <c r="AR281" s="142"/>
    </row>
    <row r="282" customFormat="false" ht="15.75" hidden="false" customHeight="false" outlineLevel="0" collapsed="false">
      <c r="N282" s="142"/>
      <c r="X282" s="142"/>
      <c r="Y282" s="142"/>
      <c r="Z282" s="142"/>
      <c r="AA282" s="142"/>
      <c r="AC282" s="142"/>
      <c r="AD282" s="142"/>
      <c r="AE282" s="530"/>
      <c r="AR282" s="142"/>
    </row>
    <row r="283" customFormat="false" ht="15.75" hidden="false" customHeight="false" outlineLevel="0" collapsed="false">
      <c r="N283" s="142"/>
      <c r="X283" s="142"/>
      <c r="Y283" s="142"/>
      <c r="Z283" s="142"/>
      <c r="AA283" s="142"/>
      <c r="AC283" s="142"/>
      <c r="AD283" s="142"/>
      <c r="AE283" s="530"/>
      <c r="AR283" s="142"/>
    </row>
    <row r="284" customFormat="false" ht="15.75" hidden="false" customHeight="false" outlineLevel="0" collapsed="false">
      <c r="N284" s="142"/>
      <c r="X284" s="142"/>
      <c r="Y284" s="142"/>
      <c r="Z284" s="142"/>
      <c r="AA284" s="142"/>
      <c r="AC284" s="142"/>
      <c r="AD284" s="142"/>
      <c r="AE284" s="530"/>
      <c r="AR284" s="142"/>
    </row>
    <row r="285" customFormat="false" ht="15.75" hidden="false" customHeight="false" outlineLevel="0" collapsed="false">
      <c r="N285" s="142"/>
      <c r="X285" s="142"/>
      <c r="Y285" s="142"/>
      <c r="Z285" s="142"/>
      <c r="AA285" s="142"/>
      <c r="AC285" s="142"/>
      <c r="AD285" s="142"/>
      <c r="AE285" s="530"/>
      <c r="AR285" s="142"/>
    </row>
    <row r="286" customFormat="false" ht="15.75" hidden="false" customHeight="false" outlineLevel="0" collapsed="false">
      <c r="N286" s="142"/>
      <c r="X286" s="142"/>
      <c r="Y286" s="142"/>
      <c r="Z286" s="142"/>
      <c r="AA286" s="142"/>
      <c r="AC286" s="142"/>
      <c r="AD286" s="142"/>
      <c r="AE286" s="530"/>
      <c r="AR286" s="142"/>
    </row>
    <row r="287" customFormat="false" ht="15.75" hidden="false" customHeight="false" outlineLevel="0" collapsed="false">
      <c r="N287" s="142"/>
      <c r="X287" s="142"/>
      <c r="Y287" s="142"/>
      <c r="Z287" s="142"/>
      <c r="AA287" s="142"/>
      <c r="AC287" s="142"/>
      <c r="AD287" s="142"/>
      <c r="AE287" s="530"/>
      <c r="AR287" s="142"/>
    </row>
    <row r="288" customFormat="false" ht="15.75" hidden="false" customHeight="false" outlineLevel="0" collapsed="false">
      <c r="N288" s="142"/>
      <c r="X288" s="142"/>
      <c r="Y288" s="142"/>
      <c r="Z288" s="142"/>
      <c r="AA288" s="142"/>
      <c r="AC288" s="142"/>
      <c r="AD288" s="142"/>
      <c r="AE288" s="530"/>
      <c r="AR288" s="142"/>
    </row>
    <row r="289" customFormat="false" ht="15.75" hidden="false" customHeight="false" outlineLevel="0" collapsed="false">
      <c r="N289" s="142"/>
      <c r="X289" s="142"/>
      <c r="Y289" s="142"/>
      <c r="Z289" s="142"/>
      <c r="AA289" s="142"/>
      <c r="AC289" s="142"/>
      <c r="AD289" s="142"/>
      <c r="AE289" s="530"/>
      <c r="AR289" s="142"/>
    </row>
    <row r="290" customFormat="false" ht="15.75" hidden="false" customHeight="false" outlineLevel="0" collapsed="false">
      <c r="N290" s="142"/>
      <c r="X290" s="142"/>
      <c r="Y290" s="142"/>
      <c r="Z290" s="142"/>
      <c r="AA290" s="142"/>
      <c r="AC290" s="142"/>
      <c r="AD290" s="142"/>
      <c r="AE290" s="530"/>
      <c r="AR290" s="142"/>
    </row>
    <row r="291" customFormat="false" ht="15.75" hidden="false" customHeight="false" outlineLevel="0" collapsed="false">
      <c r="N291" s="142"/>
      <c r="X291" s="142"/>
      <c r="Y291" s="142"/>
      <c r="Z291" s="142"/>
      <c r="AA291" s="142"/>
      <c r="AC291" s="142"/>
      <c r="AD291" s="142"/>
      <c r="AE291" s="530"/>
      <c r="AR291" s="142"/>
    </row>
    <row r="292" customFormat="false" ht="15.75" hidden="false" customHeight="false" outlineLevel="0" collapsed="false">
      <c r="N292" s="142"/>
      <c r="X292" s="142"/>
      <c r="Y292" s="142"/>
      <c r="Z292" s="142"/>
      <c r="AA292" s="142"/>
      <c r="AC292" s="142"/>
      <c r="AD292" s="142"/>
      <c r="AE292" s="530"/>
      <c r="AR292" s="142"/>
    </row>
    <row r="293" customFormat="false" ht="15.75" hidden="false" customHeight="false" outlineLevel="0" collapsed="false">
      <c r="N293" s="142"/>
      <c r="X293" s="142"/>
      <c r="Y293" s="142"/>
      <c r="Z293" s="142"/>
      <c r="AA293" s="142"/>
      <c r="AC293" s="142"/>
      <c r="AD293" s="142"/>
      <c r="AE293" s="530"/>
      <c r="AR293" s="142"/>
    </row>
    <row r="294" customFormat="false" ht="15.75" hidden="false" customHeight="false" outlineLevel="0" collapsed="false">
      <c r="N294" s="142"/>
      <c r="X294" s="142"/>
      <c r="Y294" s="142"/>
      <c r="Z294" s="142"/>
      <c r="AA294" s="142"/>
      <c r="AC294" s="142"/>
      <c r="AD294" s="142"/>
      <c r="AE294" s="530"/>
      <c r="AR294" s="142"/>
    </row>
    <row r="295" customFormat="false" ht="15.75" hidden="false" customHeight="false" outlineLevel="0" collapsed="false">
      <c r="N295" s="142"/>
      <c r="X295" s="142"/>
      <c r="Y295" s="142"/>
      <c r="Z295" s="142"/>
      <c r="AA295" s="142"/>
      <c r="AC295" s="142"/>
      <c r="AD295" s="142"/>
      <c r="AE295" s="530"/>
      <c r="AR295" s="142"/>
    </row>
    <row r="296" customFormat="false" ht="15.75" hidden="false" customHeight="false" outlineLevel="0" collapsed="false">
      <c r="N296" s="142"/>
      <c r="X296" s="142"/>
      <c r="Y296" s="142"/>
      <c r="Z296" s="142"/>
      <c r="AA296" s="142"/>
      <c r="AC296" s="142"/>
      <c r="AD296" s="142"/>
      <c r="AE296" s="530"/>
      <c r="AR296" s="142"/>
    </row>
    <row r="297" customFormat="false" ht="15.75" hidden="false" customHeight="false" outlineLevel="0" collapsed="false">
      <c r="N297" s="142"/>
      <c r="X297" s="142"/>
      <c r="Y297" s="142"/>
      <c r="Z297" s="142"/>
      <c r="AA297" s="142"/>
      <c r="AC297" s="142"/>
      <c r="AD297" s="142"/>
      <c r="AE297" s="530"/>
      <c r="AR297" s="142"/>
    </row>
    <row r="298" customFormat="false" ht="15.75" hidden="false" customHeight="false" outlineLevel="0" collapsed="false">
      <c r="N298" s="142"/>
      <c r="X298" s="142"/>
      <c r="Y298" s="142"/>
      <c r="Z298" s="142"/>
      <c r="AA298" s="142"/>
      <c r="AC298" s="142"/>
      <c r="AD298" s="142"/>
      <c r="AE298" s="530"/>
      <c r="AR298" s="142"/>
    </row>
    <row r="299" customFormat="false" ht="15.75" hidden="false" customHeight="false" outlineLevel="0" collapsed="false">
      <c r="N299" s="142"/>
      <c r="X299" s="142"/>
      <c r="Y299" s="142"/>
      <c r="Z299" s="142"/>
      <c r="AA299" s="142"/>
      <c r="AC299" s="142"/>
      <c r="AD299" s="142"/>
      <c r="AE299" s="530"/>
      <c r="AR299" s="142"/>
    </row>
    <row r="300" customFormat="false" ht="15.75" hidden="false" customHeight="false" outlineLevel="0" collapsed="false">
      <c r="N300" s="142"/>
      <c r="X300" s="142"/>
      <c r="Y300" s="142"/>
      <c r="Z300" s="142"/>
      <c r="AA300" s="142"/>
      <c r="AC300" s="142"/>
      <c r="AD300" s="142"/>
      <c r="AE300" s="530"/>
      <c r="AR300" s="142"/>
    </row>
    <row r="301" customFormat="false" ht="15.75" hidden="false" customHeight="false" outlineLevel="0" collapsed="false">
      <c r="N301" s="142"/>
      <c r="X301" s="142"/>
      <c r="Y301" s="142"/>
      <c r="Z301" s="142"/>
      <c r="AA301" s="142"/>
      <c r="AC301" s="142"/>
      <c r="AD301" s="142"/>
      <c r="AE301" s="530"/>
      <c r="AR301" s="142"/>
    </row>
    <row r="302" customFormat="false" ht="15.75" hidden="false" customHeight="false" outlineLevel="0" collapsed="false">
      <c r="N302" s="142"/>
      <c r="X302" s="142"/>
      <c r="Y302" s="142"/>
      <c r="Z302" s="142"/>
      <c r="AA302" s="142"/>
      <c r="AC302" s="142"/>
      <c r="AD302" s="142"/>
      <c r="AE302" s="530"/>
      <c r="AR302" s="142"/>
    </row>
    <row r="303" customFormat="false" ht="15.75" hidden="false" customHeight="false" outlineLevel="0" collapsed="false">
      <c r="N303" s="142"/>
      <c r="X303" s="142"/>
      <c r="Y303" s="142"/>
      <c r="Z303" s="142"/>
      <c r="AA303" s="142"/>
      <c r="AC303" s="142"/>
      <c r="AD303" s="142"/>
      <c r="AE303" s="530"/>
      <c r="AR303" s="142"/>
    </row>
    <row r="304" customFormat="false" ht="15.75" hidden="false" customHeight="false" outlineLevel="0" collapsed="false">
      <c r="N304" s="142"/>
      <c r="X304" s="142"/>
      <c r="Y304" s="142"/>
      <c r="Z304" s="142"/>
      <c r="AA304" s="142"/>
      <c r="AC304" s="142"/>
      <c r="AD304" s="142"/>
      <c r="AE304" s="530"/>
      <c r="AR304" s="142"/>
    </row>
    <row r="305" customFormat="false" ht="15.75" hidden="false" customHeight="false" outlineLevel="0" collapsed="false">
      <c r="N305" s="142"/>
      <c r="X305" s="142"/>
      <c r="Y305" s="142"/>
      <c r="Z305" s="142"/>
      <c r="AA305" s="142"/>
      <c r="AC305" s="142"/>
      <c r="AD305" s="142"/>
      <c r="AE305" s="530"/>
      <c r="AR305" s="142"/>
    </row>
    <row r="306" customFormat="false" ht="15.75" hidden="false" customHeight="false" outlineLevel="0" collapsed="false">
      <c r="N306" s="142"/>
      <c r="X306" s="142"/>
      <c r="Y306" s="142"/>
      <c r="Z306" s="142"/>
      <c r="AA306" s="142"/>
      <c r="AC306" s="142"/>
      <c r="AD306" s="142"/>
      <c r="AE306" s="530"/>
      <c r="AR306" s="142"/>
    </row>
    <row r="307" customFormat="false" ht="15.75" hidden="false" customHeight="false" outlineLevel="0" collapsed="false">
      <c r="N307" s="142"/>
      <c r="X307" s="142"/>
      <c r="Y307" s="142"/>
      <c r="Z307" s="142"/>
      <c r="AA307" s="142"/>
      <c r="AC307" s="142"/>
      <c r="AD307" s="142"/>
      <c r="AE307" s="530"/>
      <c r="AR307" s="142"/>
    </row>
    <row r="308" customFormat="false" ht="15.75" hidden="false" customHeight="false" outlineLevel="0" collapsed="false">
      <c r="N308" s="142"/>
      <c r="X308" s="142"/>
      <c r="Y308" s="142"/>
      <c r="Z308" s="142"/>
      <c r="AA308" s="142"/>
      <c r="AC308" s="142"/>
      <c r="AD308" s="142"/>
      <c r="AE308" s="530"/>
      <c r="AR308" s="142"/>
    </row>
    <row r="309" customFormat="false" ht="15.75" hidden="false" customHeight="false" outlineLevel="0" collapsed="false">
      <c r="N309" s="142"/>
      <c r="X309" s="142"/>
      <c r="Y309" s="142"/>
      <c r="Z309" s="142"/>
      <c r="AA309" s="142"/>
      <c r="AC309" s="142"/>
      <c r="AD309" s="142"/>
      <c r="AE309" s="530"/>
      <c r="AR309" s="142"/>
    </row>
    <row r="310" customFormat="false" ht="15.75" hidden="false" customHeight="false" outlineLevel="0" collapsed="false">
      <c r="N310" s="142"/>
      <c r="X310" s="142"/>
      <c r="Y310" s="142"/>
      <c r="Z310" s="142"/>
      <c r="AA310" s="142"/>
      <c r="AC310" s="142"/>
      <c r="AD310" s="142"/>
      <c r="AE310" s="530"/>
      <c r="AR310" s="142"/>
    </row>
    <row r="311" customFormat="false" ht="15.75" hidden="false" customHeight="false" outlineLevel="0" collapsed="false">
      <c r="N311" s="142"/>
      <c r="X311" s="142"/>
      <c r="Y311" s="142"/>
      <c r="Z311" s="142"/>
      <c r="AA311" s="142"/>
      <c r="AC311" s="142"/>
      <c r="AD311" s="142"/>
      <c r="AE311" s="530"/>
      <c r="AR311" s="142"/>
    </row>
    <row r="312" customFormat="false" ht="15.75" hidden="false" customHeight="false" outlineLevel="0" collapsed="false">
      <c r="N312" s="142"/>
      <c r="X312" s="142"/>
      <c r="Y312" s="142"/>
      <c r="Z312" s="142"/>
      <c r="AA312" s="142"/>
      <c r="AC312" s="142"/>
      <c r="AD312" s="142"/>
      <c r="AE312" s="530"/>
      <c r="AR312" s="142"/>
    </row>
    <row r="313" customFormat="false" ht="15.75" hidden="false" customHeight="false" outlineLevel="0" collapsed="false">
      <c r="N313" s="142"/>
      <c r="X313" s="142"/>
      <c r="Y313" s="142"/>
      <c r="Z313" s="142"/>
      <c r="AA313" s="142"/>
      <c r="AC313" s="142"/>
      <c r="AD313" s="142"/>
      <c r="AE313" s="530"/>
      <c r="AR313" s="142"/>
    </row>
    <row r="314" customFormat="false" ht="15.75" hidden="false" customHeight="false" outlineLevel="0" collapsed="false">
      <c r="N314" s="142"/>
      <c r="X314" s="142"/>
      <c r="Y314" s="142"/>
      <c r="Z314" s="142"/>
      <c r="AA314" s="142"/>
      <c r="AC314" s="142"/>
      <c r="AD314" s="142"/>
      <c r="AE314" s="530"/>
      <c r="AR314" s="142"/>
    </row>
    <row r="315" customFormat="false" ht="15.75" hidden="false" customHeight="false" outlineLevel="0" collapsed="false">
      <c r="N315" s="142"/>
      <c r="X315" s="142"/>
      <c r="Y315" s="142"/>
      <c r="Z315" s="142"/>
      <c r="AA315" s="142"/>
      <c r="AC315" s="142"/>
      <c r="AD315" s="142"/>
      <c r="AE315" s="530"/>
      <c r="AR315" s="142"/>
    </row>
    <row r="316" customFormat="false" ht="15.75" hidden="false" customHeight="false" outlineLevel="0" collapsed="false">
      <c r="N316" s="142"/>
      <c r="X316" s="142"/>
      <c r="Y316" s="142"/>
      <c r="Z316" s="142"/>
      <c r="AA316" s="142"/>
      <c r="AC316" s="142"/>
      <c r="AD316" s="142"/>
      <c r="AE316" s="530"/>
      <c r="AR316" s="142"/>
    </row>
    <row r="317" customFormat="false" ht="15.75" hidden="false" customHeight="false" outlineLevel="0" collapsed="false">
      <c r="N317" s="142"/>
      <c r="X317" s="142"/>
      <c r="Y317" s="142"/>
      <c r="Z317" s="142"/>
      <c r="AA317" s="142"/>
      <c r="AC317" s="142"/>
      <c r="AD317" s="142"/>
      <c r="AE317" s="530"/>
      <c r="AR317" s="142"/>
    </row>
    <row r="318" customFormat="false" ht="15.75" hidden="false" customHeight="false" outlineLevel="0" collapsed="false">
      <c r="N318" s="142"/>
      <c r="X318" s="142"/>
      <c r="Y318" s="142"/>
      <c r="Z318" s="142"/>
      <c r="AA318" s="142"/>
      <c r="AC318" s="142"/>
      <c r="AD318" s="142"/>
      <c r="AE318" s="530"/>
      <c r="AR318" s="142"/>
    </row>
    <row r="319" customFormat="false" ht="15.75" hidden="false" customHeight="false" outlineLevel="0" collapsed="false">
      <c r="N319" s="142"/>
      <c r="X319" s="142"/>
      <c r="Y319" s="142"/>
      <c r="Z319" s="142"/>
      <c r="AA319" s="142"/>
      <c r="AC319" s="142"/>
      <c r="AD319" s="142"/>
      <c r="AE319" s="530"/>
      <c r="AR319" s="142"/>
    </row>
    <row r="320" customFormat="false" ht="15.75" hidden="false" customHeight="false" outlineLevel="0" collapsed="false">
      <c r="N320" s="142"/>
      <c r="X320" s="142"/>
      <c r="Y320" s="142"/>
      <c r="Z320" s="142"/>
      <c r="AA320" s="142"/>
      <c r="AC320" s="142"/>
      <c r="AD320" s="142"/>
      <c r="AE320" s="530"/>
      <c r="AR320" s="142"/>
    </row>
    <row r="321" customFormat="false" ht="15.75" hidden="false" customHeight="false" outlineLevel="0" collapsed="false">
      <c r="N321" s="142"/>
      <c r="X321" s="142"/>
      <c r="Y321" s="142"/>
      <c r="Z321" s="142"/>
      <c r="AA321" s="142"/>
      <c r="AC321" s="142"/>
      <c r="AD321" s="142"/>
      <c r="AE321" s="530"/>
      <c r="AR321" s="142"/>
    </row>
    <row r="322" customFormat="false" ht="15.75" hidden="false" customHeight="false" outlineLevel="0" collapsed="false">
      <c r="N322" s="142"/>
      <c r="X322" s="142"/>
      <c r="Y322" s="142"/>
      <c r="Z322" s="142"/>
      <c r="AA322" s="142"/>
      <c r="AC322" s="142"/>
      <c r="AD322" s="142"/>
      <c r="AE322" s="530"/>
      <c r="AR322" s="142"/>
    </row>
    <row r="323" customFormat="false" ht="15.75" hidden="false" customHeight="false" outlineLevel="0" collapsed="false">
      <c r="N323" s="142"/>
      <c r="X323" s="142"/>
      <c r="Y323" s="142"/>
      <c r="Z323" s="142"/>
      <c r="AA323" s="142"/>
      <c r="AC323" s="142"/>
      <c r="AD323" s="142"/>
      <c r="AE323" s="530"/>
      <c r="AR323" s="142"/>
    </row>
    <row r="324" customFormat="false" ht="15.75" hidden="false" customHeight="false" outlineLevel="0" collapsed="false">
      <c r="N324" s="142"/>
      <c r="X324" s="142"/>
      <c r="Y324" s="142"/>
      <c r="Z324" s="142"/>
      <c r="AA324" s="142"/>
      <c r="AC324" s="142"/>
      <c r="AD324" s="142"/>
      <c r="AE324" s="530"/>
      <c r="AR324" s="142"/>
    </row>
    <row r="325" customFormat="false" ht="15.75" hidden="false" customHeight="false" outlineLevel="0" collapsed="false">
      <c r="N325" s="142"/>
      <c r="X325" s="142"/>
      <c r="Y325" s="142"/>
      <c r="Z325" s="142"/>
      <c r="AA325" s="142"/>
      <c r="AC325" s="142"/>
      <c r="AD325" s="142"/>
      <c r="AE325" s="530"/>
      <c r="AR325" s="142"/>
    </row>
    <row r="326" customFormat="false" ht="15.75" hidden="false" customHeight="false" outlineLevel="0" collapsed="false">
      <c r="N326" s="142"/>
      <c r="X326" s="142"/>
      <c r="Y326" s="142"/>
      <c r="Z326" s="142"/>
      <c r="AA326" s="142"/>
      <c r="AC326" s="142"/>
      <c r="AD326" s="142"/>
      <c r="AE326" s="530"/>
      <c r="AR326" s="142"/>
    </row>
    <row r="327" customFormat="false" ht="15.75" hidden="false" customHeight="false" outlineLevel="0" collapsed="false">
      <c r="N327" s="142"/>
      <c r="X327" s="142"/>
      <c r="Y327" s="142"/>
      <c r="Z327" s="142"/>
      <c r="AA327" s="142"/>
      <c r="AC327" s="142"/>
      <c r="AD327" s="142"/>
      <c r="AE327" s="530"/>
      <c r="AR327" s="142"/>
    </row>
    <row r="328" customFormat="false" ht="15.75" hidden="false" customHeight="false" outlineLevel="0" collapsed="false">
      <c r="N328" s="142"/>
      <c r="X328" s="142"/>
      <c r="Y328" s="142"/>
      <c r="Z328" s="142"/>
      <c r="AA328" s="142"/>
      <c r="AC328" s="142"/>
      <c r="AD328" s="142"/>
      <c r="AE328" s="530"/>
      <c r="AR328" s="142"/>
    </row>
    <row r="329" customFormat="false" ht="15.75" hidden="false" customHeight="false" outlineLevel="0" collapsed="false">
      <c r="N329" s="142"/>
      <c r="X329" s="142"/>
      <c r="Y329" s="142"/>
      <c r="Z329" s="142"/>
      <c r="AA329" s="142"/>
      <c r="AC329" s="142"/>
      <c r="AD329" s="142"/>
      <c r="AE329" s="530"/>
      <c r="AR329" s="142"/>
    </row>
    <row r="330" customFormat="false" ht="15.75" hidden="false" customHeight="false" outlineLevel="0" collapsed="false">
      <c r="N330" s="142"/>
      <c r="X330" s="142"/>
      <c r="Y330" s="142"/>
      <c r="Z330" s="142"/>
      <c r="AA330" s="142"/>
      <c r="AC330" s="142"/>
      <c r="AD330" s="142"/>
      <c r="AE330" s="530"/>
      <c r="AR330" s="142"/>
    </row>
    <row r="331" customFormat="false" ht="15.75" hidden="false" customHeight="false" outlineLevel="0" collapsed="false">
      <c r="N331" s="142"/>
      <c r="X331" s="142"/>
      <c r="Y331" s="142"/>
      <c r="Z331" s="142"/>
      <c r="AA331" s="142"/>
      <c r="AC331" s="142"/>
      <c r="AD331" s="142"/>
      <c r="AE331" s="530"/>
      <c r="AR331" s="142"/>
    </row>
    <row r="332" customFormat="false" ht="15.75" hidden="false" customHeight="false" outlineLevel="0" collapsed="false">
      <c r="N332" s="142"/>
      <c r="X332" s="142"/>
      <c r="Y332" s="142"/>
      <c r="Z332" s="142"/>
      <c r="AA332" s="142"/>
      <c r="AC332" s="142"/>
      <c r="AD332" s="142"/>
      <c r="AE332" s="530"/>
      <c r="AR332" s="142"/>
    </row>
    <row r="333" customFormat="false" ht="15.75" hidden="false" customHeight="false" outlineLevel="0" collapsed="false">
      <c r="N333" s="142"/>
      <c r="X333" s="142"/>
      <c r="Y333" s="142"/>
      <c r="Z333" s="142"/>
      <c r="AA333" s="142"/>
      <c r="AC333" s="142"/>
      <c r="AD333" s="142"/>
      <c r="AE333" s="530"/>
      <c r="AR333" s="142"/>
    </row>
    <row r="334" customFormat="false" ht="15.75" hidden="false" customHeight="false" outlineLevel="0" collapsed="false">
      <c r="N334" s="142"/>
      <c r="X334" s="142"/>
      <c r="Y334" s="142"/>
      <c r="Z334" s="142"/>
      <c r="AA334" s="142"/>
      <c r="AC334" s="142"/>
      <c r="AD334" s="142"/>
      <c r="AE334" s="530"/>
      <c r="AR334" s="142"/>
    </row>
    <row r="335" customFormat="false" ht="15.75" hidden="false" customHeight="false" outlineLevel="0" collapsed="false">
      <c r="N335" s="142"/>
      <c r="X335" s="142"/>
      <c r="Y335" s="142"/>
      <c r="Z335" s="142"/>
      <c r="AA335" s="142"/>
      <c r="AC335" s="142"/>
      <c r="AD335" s="142"/>
      <c r="AE335" s="530"/>
      <c r="AR335" s="142"/>
    </row>
    <row r="336" customFormat="false" ht="15.75" hidden="false" customHeight="false" outlineLevel="0" collapsed="false">
      <c r="N336" s="142"/>
      <c r="X336" s="142"/>
      <c r="Y336" s="142"/>
      <c r="Z336" s="142"/>
      <c r="AA336" s="142"/>
      <c r="AC336" s="142"/>
      <c r="AD336" s="142"/>
      <c r="AE336" s="530"/>
      <c r="AR336" s="142"/>
    </row>
    <row r="337" customFormat="false" ht="15.75" hidden="false" customHeight="false" outlineLevel="0" collapsed="false">
      <c r="N337" s="142"/>
      <c r="X337" s="142"/>
      <c r="Y337" s="142"/>
      <c r="Z337" s="142"/>
      <c r="AA337" s="142"/>
      <c r="AC337" s="142"/>
      <c r="AD337" s="142"/>
      <c r="AE337" s="530"/>
      <c r="AR337" s="142"/>
    </row>
    <row r="338" customFormat="false" ht="15.75" hidden="false" customHeight="false" outlineLevel="0" collapsed="false">
      <c r="N338" s="142"/>
      <c r="X338" s="142"/>
      <c r="Y338" s="142"/>
      <c r="Z338" s="142"/>
      <c r="AA338" s="142"/>
      <c r="AC338" s="142"/>
      <c r="AD338" s="142"/>
      <c r="AE338" s="530"/>
      <c r="AR338" s="142"/>
    </row>
    <row r="339" customFormat="false" ht="15.75" hidden="false" customHeight="false" outlineLevel="0" collapsed="false">
      <c r="N339" s="142"/>
      <c r="X339" s="142"/>
      <c r="Y339" s="142"/>
      <c r="Z339" s="142"/>
      <c r="AA339" s="142"/>
      <c r="AC339" s="142"/>
      <c r="AD339" s="142"/>
      <c r="AE339" s="530"/>
      <c r="AR339" s="142"/>
    </row>
    <row r="340" customFormat="false" ht="15.75" hidden="false" customHeight="false" outlineLevel="0" collapsed="false">
      <c r="N340" s="142"/>
      <c r="X340" s="142"/>
      <c r="Y340" s="142"/>
      <c r="Z340" s="142"/>
      <c r="AA340" s="142"/>
      <c r="AC340" s="142"/>
      <c r="AD340" s="142"/>
      <c r="AE340" s="530"/>
      <c r="AR340" s="142"/>
    </row>
    <row r="341" customFormat="false" ht="15.75" hidden="false" customHeight="false" outlineLevel="0" collapsed="false">
      <c r="N341" s="142"/>
      <c r="X341" s="142"/>
      <c r="Y341" s="142"/>
      <c r="Z341" s="142"/>
      <c r="AA341" s="142"/>
      <c r="AC341" s="142"/>
      <c r="AD341" s="142"/>
      <c r="AE341" s="530"/>
      <c r="AR341" s="142"/>
    </row>
    <row r="342" customFormat="false" ht="15.75" hidden="false" customHeight="false" outlineLevel="0" collapsed="false">
      <c r="N342" s="142"/>
      <c r="X342" s="142"/>
      <c r="Y342" s="142"/>
      <c r="Z342" s="142"/>
      <c r="AA342" s="142"/>
      <c r="AC342" s="142"/>
      <c r="AD342" s="142"/>
      <c r="AE342" s="530"/>
      <c r="AR342" s="142"/>
    </row>
    <row r="343" customFormat="false" ht="15.75" hidden="false" customHeight="false" outlineLevel="0" collapsed="false">
      <c r="N343" s="142"/>
      <c r="X343" s="142"/>
      <c r="Y343" s="142"/>
      <c r="Z343" s="142"/>
      <c r="AA343" s="142"/>
      <c r="AC343" s="142"/>
      <c r="AD343" s="142"/>
      <c r="AE343" s="530"/>
      <c r="AR343" s="142"/>
    </row>
    <row r="344" customFormat="false" ht="15.75" hidden="false" customHeight="false" outlineLevel="0" collapsed="false">
      <c r="N344" s="142"/>
      <c r="X344" s="142"/>
      <c r="Y344" s="142"/>
      <c r="Z344" s="142"/>
      <c r="AA344" s="142"/>
      <c r="AC344" s="142"/>
      <c r="AD344" s="142"/>
      <c r="AE344" s="530"/>
      <c r="AR344" s="142"/>
    </row>
    <row r="345" customFormat="false" ht="15.75" hidden="false" customHeight="false" outlineLevel="0" collapsed="false">
      <c r="N345" s="142"/>
      <c r="X345" s="142"/>
      <c r="Y345" s="142"/>
      <c r="Z345" s="142"/>
      <c r="AA345" s="142"/>
      <c r="AC345" s="142"/>
      <c r="AD345" s="142"/>
      <c r="AE345" s="530"/>
      <c r="AR345" s="142"/>
    </row>
    <row r="346" customFormat="false" ht="15.75" hidden="false" customHeight="false" outlineLevel="0" collapsed="false">
      <c r="N346" s="142"/>
      <c r="X346" s="142"/>
      <c r="Y346" s="142"/>
      <c r="Z346" s="142"/>
      <c r="AA346" s="142"/>
      <c r="AC346" s="142"/>
      <c r="AD346" s="142"/>
      <c r="AE346" s="530"/>
      <c r="AR346" s="142"/>
    </row>
    <row r="347" customFormat="false" ht="15.75" hidden="false" customHeight="false" outlineLevel="0" collapsed="false">
      <c r="N347" s="142"/>
      <c r="X347" s="142"/>
      <c r="Y347" s="142"/>
      <c r="Z347" s="142"/>
      <c r="AA347" s="142"/>
      <c r="AC347" s="142"/>
      <c r="AD347" s="142"/>
      <c r="AE347" s="530"/>
      <c r="AR347" s="142"/>
    </row>
    <row r="348" customFormat="false" ht="15.75" hidden="false" customHeight="false" outlineLevel="0" collapsed="false">
      <c r="N348" s="142"/>
      <c r="X348" s="142"/>
      <c r="Y348" s="142"/>
      <c r="Z348" s="142"/>
      <c r="AA348" s="142"/>
      <c r="AC348" s="142"/>
      <c r="AD348" s="142"/>
      <c r="AE348" s="530"/>
      <c r="AR348" s="142"/>
    </row>
    <row r="349" customFormat="false" ht="15.75" hidden="false" customHeight="false" outlineLevel="0" collapsed="false">
      <c r="N349" s="142"/>
      <c r="X349" s="142"/>
      <c r="Y349" s="142"/>
      <c r="Z349" s="142"/>
      <c r="AA349" s="142"/>
      <c r="AC349" s="142"/>
      <c r="AD349" s="142"/>
      <c r="AE349" s="530"/>
      <c r="AR349" s="142"/>
    </row>
    <row r="350" customFormat="false" ht="15.75" hidden="false" customHeight="false" outlineLevel="0" collapsed="false">
      <c r="N350" s="142"/>
      <c r="X350" s="142"/>
      <c r="Y350" s="142"/>
      <c r="Z350" s="142"/>
      <c r="AA350" s="142"/>
      <c r="AC350" s="142"/>
      <c r="AD350" s="142"/>
      <c r="AE350" s="530"/>
      <c r="AR350" s="142"/>
    </row>
    <row r="351" customFormat="false" ht="15.75" hidden="false" customHeight="false" outlineLevel="0" collapsed="false">
      <c r="N351" s="142"/>
      <c r="X351" s="142"/>
      <c r="Y351" s="142"/>
      <c r="Z351" s="142"/>
      <c r="AA351" s="142"/>
      <c r="AC351" s="142"/>
      <c r="AD351" s="142"/>
      <c r="AE351" s="530"/>
      <c r="AR351" s="142"/>
    </row>
    <row r="352" customFormat="false" ht="15.75" hidden="false" customHeight="false" outlineLevel="0" collapsed="false">
      <c r="N352" s="142"/>
      <c r="X352" s="142"/>
      <c r="Y352" s="142"/>
      <c r="Z352" s="142"/>
      <c r="AA352" s="142"/>
      <c r="AC352" s="142"/>
      <c r="AD352" s="142"/>
      <c r="AE352" s="530"/>
      <c r="AR352" s="142"/>
    </row>
    <row r="353" customFormat="false" ht="15.75" hidden="false" customHeight="false" outlineLevel="0" collapsed="false">
      <c r="N353" s="142"/>
      <c r="X353" s="142"/>
      <c r="Y353" s="142"/>
      <c r="Z353" s="142"/>
      <c r="AA353" s="142"/>
      <c r="AC353" s="142"/>
      <c r="AD353" s="142"/>
      <c r="AE353" s="530"/>
      <c r="AR353" s="142"/>
    </row>
    <row r="354" customFormat="false" ht="15.75" hidden="false" customHeight="false" outlineLevel="0" collapsed="false">
      <c r="N354" s="142"/>
      <c r="X354" s="142"/>
      <c r="Y354" s="142"/>
      <c r="Z354" s="142"/>
      <c r="AA354" s="142"/>
      <c r="AC354" s="142"/>
      <c r="AD354" s="142"/>
      <c r="AE354" s="530"/>
      <c r="AR354" s="142"/>
    </row>
    <row r="355" customFormat="false" ht="15.75" hidden="false" customHeight="false" outlineLevel="0" collapsed="false">
      <c r="N355" s="142"/>
      <c r="X355" s="142"/>
      <c r="Y355" s="142"/>
      <c r="Z355" s="142"/>
      <c r="AA355" s="142"/>
      <c r="AC355" s="142"/>
      <c r="AD355" s="142"/>
      <c r="AE355" s="530"/>
      <c r="AR355" s="142"/>
    </row>
    <row r="356" customFormat="false" ht="15.75" hidden="false" customHeight="false" outlineLevel="0" collapsed="false">
      <c r="N356" s="142"/>
      <c r="X356" s="142"/>
      <c r="Y356" s="142"/>
      <c r="Z356" s="142"/>
      <c r="AA356" s="142"/>
      <c r="AC356" s="142"/>
      <c r="AD356" s="142"/>
      <c r="AE356" s="530"/>
      <c r="AR356" s="142"/>
    </row>
    <row r="357" customFormat="false" ht="15.75" hidden="false" customHeight="false" outlineLevel="0" collapsed="false">
      <c r="N357" s="142"/>
      <c r="X357" s="142"/>
      <c r="Y357" s="142"/>
      <c r="Z357" s="142"/>
      <c r="AA357" s="142"/>
      <c r="AC357" s="142"/>
      <c r="AD357" s="142"/>
      <c r="AE357" s="530"/>
      <c r="AR357" s="142"/>
    </row>
    <row r="358" customFormat="false" ht="15.75" hidden="false" customHeight="false" outlineLevel="0" collapsed="false">
      <c r="N358" s="142"/>
      <c r="X358" s="142"/>
      <c r="Y358" s="142"/>
      <c r="Z358" s="142"/>
      <c r="AA358" s="142"/>
      <c r="AC358" s="142"/>
      <c r="AD358" s="142"/>
      <c r="AE358" s="530"/>
      <c r="AR358" s="142"/>
    </row>
    <row r="359" customFormat="false" ht="15.75" hidden="false" customHeight="false" outlineLevel="0" collapsed="false">
      <c r="N359" s="142"/>
      <c r="X359" s="142"/>
      <c r="Y359" s="142"/>
      <c r="Z359" s="142"/>
      <c r="AA359" s="142"/>
      <c r="AC359" s="142"/>
      <c r="AD359" s="142"/>
      <c r="AE359" s="530"/>
      <c r="AR359" s="142"/>
    </row>
    <row r="360" customFormat="false" ht="15.75" hidden="false" customHeight="false" outlineLevel="0" collapsed="false">
      <c r="N360" s="142"/>
      <c r="X360" s="142"/>
      <c r="Y360" s="142"/>
      <c r="Z360" s="142"/>
      <c r="AA360" s="142"/>
      <c r="AC360" s="142"/>
      <c r="AD360" s="142"/>
      <c r="AE360" s="530"/>
      <c r="AR360" s="142"/>
    </row>
    <row r="361" customFormat="false" ht="15.75" hidden="false" customHeight="false" outlineLevel="0" collapsed="false">
      <c r="N361" s="142"/>
      <c r="X361" s="142"/>
      <c r="Y361" s="142"/>
      <c r="Z361" s="142"/>
      <c r="AA361" s="142"/>
      <c r="AC361" s="142"/>
      <c r="AD361" s="142"/>
      <c r="AE361" s="530"/>
      <c r="AR361" s="142"/>
    </row>
    <row r="362" customFormat="false" ht="15.75" hidden="false" customHeight="false" outlineLevel="0" collapsed="false">
      <c r="N362" s="142"/>
      <c r="X362" s="142"/>
      <c r="Y362" s="142"/>
      <c r="Z362" s="142"/>
      <c r="AA362" s="142"/>
      <c r="AC362" s="142"/>
      <c r="AD362" s="142"/>
      <c r="AE362" s="530"/>
      <c r="AR362" s="142"/>
    </row>
    <row r="363" customFormat="false" ht="15.75" hidden="false" customHeight="false" outlineLevel="0" collapsed="false">
      <c r="N363" s="142"/>
      <c r="X363" s="142"/>
      <c r="Y363" s="142"/>
      <c r="Z363" s="142"/>
      <c r="AA363" s="142"/>
      <c r="AC363" s="142"/>
      <c r="AD363" s="142"/>
      <c r="AE363" s="530"/>
      <c r="AR363" s="142"/>
    </row>
    <row r="364" customFormat="false" ht="15.75" hidden="false" customHeight="false" outlineLevel="0" collapsed="false">
      <c r="N364" s="142"/>
      <c r="X364" s="142"/>
      <c r="Y364" s="142"/>
      <c r="Z364" s="142"/>
      <c r="AA364" s="142"/>
      <c r="AC364" s="142"/>
      <c r="AD364" s="142"/>
      <c r="AE364" s="530"/>
      <c r="AR364" s="142"/>
    </row>
    <row r="365" customFormat="false" ht="15.75" hidden="false" customHeight="false" outlineLevel="0" collapsed="false">
      <c r="N365" s="142"/>
      <c r="X365" s="142"/>
      <c r="Y365" s="142"/>
      <c r="Z365" s="142"/>
      <c r="AA365" s="142"/>
      <c r="AC365" s="142"/>
      <c r="AD365" s="142"/>
      <c r="AE365" s="530"/>
      <c r="AR365" s="142"/>
    </row>
    <row r="366" customFormat="false" ht="15.75" hidden="false" customHeight="false" outlineLevel="0" collapsed="false">
      <c r="N366" s="142"/>
      <c r="X366" s="142"/>
      <c r="Y366" s="142"/>
      <c r="Z366" s="142"/>
      <c r="AA366" s="142"/>
      <c r="AC366" s="142"/>
      <c r="AD366" s="142"/>
      <c r="AE366" s="530"/>
      <c r="AR366" s="142"/>
    </row>
    <row r="367" customFormat="false" ht="15.75" hidden="false" customHeight="false" outlineLevel="0" collapsed="false">
      <c r="N367" s="142"/>
      <c r="X367" s="142"/>
      <c r="Y367" s="142"/>
      <c r="Z367" s="142"/>
      <c r="AA367" s="142"/>
      <c r="AC367" s="142"/>
      <c r="AD367" s="142"/>
      <c r="AE367" s="530"/>
      <c r="AR367" s="142"/>
    </row>
    <row r="368" customFormat="false" ht="15.75" hidden="false" customHeight="false" outlineLevel="0" collapsed="false">
      <c r="N368" s="142"/>
      <c r="X368" s="142"/>
      <c r="Y368" s="142"/>
      <c r="Z368" s="142"/>
      <c r="AA368" s="142"/>
      <c r="AC368" s="142"/>
      <c r="AD368" s="142"/>
      <c r="AE368" s="530"/>
      <c r="AR368" s="142"/>
    </row>
    <row r="369" customFormat="false" ht="15.75" hidden="false" customHeight="false" outlineLevel="0" collapsed="false">
      <c r="N369" s="142"/>
      <c r="X369" s="142"/>
      <c r="Y369" s="142"/>
      <c r="Z369" s="142"/>
      <c r="AA369" s="142"/>
      <c r="AC369" s="142"/>
      <c r="AD369" s="142"/>
      <c r="AE369" s="530"/>
      <c r="AR369" s="142"/>
    </row>
    <row r="370" customFormat="false" ht="15.75" hidden="false" customHeight="false" outlineLevel="0" collapsed="false">
      <c r="N370" s="142"/>
      <c r="X370" s="142"/>
      <c r="Y370" s="142"/>
      <c r="Z370" s="142"/>
      <c r="AA370" s="142"/>
      <c r="AC370" s="142"/>
      <c r="AD370" s="142"/>
      <c r="AE370" s="530"/>
      <c r="AR370" s="142"/>
    </row>
    <row r="371" customFormat="false" ht="15.75" hidden="false" customHeight="false" outlineLevel="0" collapsed="false">
      <c r="N371" s="142"/>
      <c r="X371" s="142"/>
      <c r="Y371" s="142"/>
      <c r="Z371" s="142"/>
      <c r="AA371" s="142"/>
      <c r="AC371" s="142"/>
      <c r="AD371" s="142"/>
      <c r="AE371" s="530"/>
      <c r="AR371" s="142"/>
    </row>
    <row r="372" customFormat="false" ht="15.75" hidden="false" customHeight="false" outlineLevel="0" collapsed="false">
      <c r="N372" s="142"/>
      <c r="X372" s="142"/>
      <c r="Y372" s="142"/>
      <c r="Z372" s="142"/>
      <c r="AA372" s="142"/>
      <c r="AC372" s="142"/>
      <c r="AD372" s="142"/>
      <c r="AE372" s="530"/>
      <c r="AR372" s="142"/>
    </row>
    <row r="373" customFormat="false" ht="15.75" hidden="false" customHeight="false" outlineLevel="0" collapsed="false">
      <c r="N373" s="142"/>
      <c r="X373" s="142"/>
      <c r="Y373" s="142"/>
      <c r="Z373" s="142"/>
      <c r="AA373" s="142"/>
      <c r="AC373" s="142"/>
      <c r="AD373" s="142"/>
      <c r="AE373" s="530"/>
      <c r="AR373" s="142"/>
    </row>
    <row r="374" customFormat="false" ht="15.75" hidden="false" customHeight="false" outlineLevel="0" collapsed="false">
      <c r="N374" s="142"/>
      <c r="X374" s="142"/>
      <c r="Y374" s="142"/>
      <c r="Z374" s="142"/>
      <c r="AA374" s="142"/>
      <c r="AC374" s="142"/>
      <c r="AD374" s="142"/>
      <c r="AE374" s="530"/>
      <c r="AR374" s="142"/>
    </row>
    <row r="375" customFormat="false" ht="15.75" hidden="false" customHeight="false" outlineLevel="0" collapsed="false">
      <c r="N375" s="142"/>
      <c r="X375" s="142"/>
      <c r="Y375" s="142"/>
      <c r="Z375" s="142"/>
      <c r="AA375" s="142"/>
      <c r="AC375" s="142"/>
      <c r="AD375" s="142"/>
      <c r="AE375" s="530"/>
      <c r="AR375" s="142"/>
    </row>
    <row r="376" customFormat="false" ht="15.75" hidden="false" customHeight="false" outlineLevel="0" collapsed="false">
      <c r="N376" s="142"/>
      <c r="X376" s="142"/>
      <c r="Y376" s="142"/>
      <c r="Z376" s="142"/>
      <c r="AA376" s="142"/>
      <c r="AC376" s="142"/>
      <c r="AD376" s="142"/>
      <c r="AE376" s="530"/>
      <c r="AR376" s="142"/>
    </row>
    <row r="377" customFormat="false" ht="15.75" hidden="false" customHeight="false" outlineLevel="0" collapsed="false">
      <c r="N377" s="142"/>
      <c r="X377" s="142"/>
      <c r="Y377" s="142"/>
      <c r="Z377" s="142"/>
      <c r="AA377" s="142"/>
      <c r="AC377" s="142"/>
      <c r="AD377" s="142"/>
      <c r="AE377" s="530"/>
      <c r="AR377" s="142"/>
    </row>
    <row r="378" customFormat="false" ht="15.75" hidden="false" customHeight="false" outlineLevel="0" collapsed="false">
      <c r="N378" s="142"/>
      <c r="X378" s="142"/>
      <c r="Y378" s="142"/>
      <c r="Z378" s="142"/>
      <c r="AA378" s="142"/>
      <c r="AC378" s="142"/>
      <c r="AD378" s="142"/>
      <c r="AE378" s="530"/>
      <c r="AR378" s="142"/>
    </row>
    <row r="379" customFormat="false" ht="15.75" hidden="false" customHeight="false" outlineLevel="0" collapsed="false">
      <c r="N379" s="142"/>
      <c r="X379" s="142"/>
      <c r="Y379" s="142"/>
      <c r="Z379" s="142"/>
      <c r="AA379" s="142"/>
      <c r="AC379" s="142"/>
      <c r="AD379" s="142"/>
      <c r="AE379" s="530"/>
      <c r="AR379" s="142"/>
    </row>
    <row r="380" customFormat="false" ht="15.75" hidden="false" customHeight="false" outlineLevel="0" collapsed="false">
      <c r="N380" s="142"/>
      <c r="X380" s="142"/>
      <c r="Y380" s="142"/>
      <c r="Z380" s="142"/>
      <c r="AA380" s="142"/>
      <c r="AC380" s="142"/>
      <c r="AD380" s="142"/>
      <c r="AE380" s="530"/>
      <c r="AR380" s="142"/>
    </row>
    <row r="381" customFormat="false" ht="15.75" hidden="false" customHeight="false" outlineLevel="0" collapsed="false">
      <c r="N381" s="142"/>
      <c r="X381" s="142"/>
      <c r="Y381" s="142"/>
      <c r="Z381" s="142"/>
      <c r="AA381" s="142"/>
      <c r="AC381" s="142"/>
      <c r="AD381" s="142"/>
      <c r="AE381" s="530"/>
      <c r="AR381" s="142"/>
    </row>
    <row r="382" customFormat="false" ht="15.75" hidden="false" customHeight="false" outlineLevel="0" collapsed="false">
      <c r="N382" s="142"/>
      <c r="X382" s="142"/>
      <c r="Y382" s="142"/>
      <c r="Z382" s="142"/>
      <c r="AA382" s="142"/>
      <c r="AC382" s="142"/>
      <c r="AD382" s="142"/>
      <c r="AE382" s="530"/>
      <c r="AR382" s="142"/>
    </row>
    <row r="383" customFormat="false" ht="15.75" hidden="false" customHeight="false" outlineLevel="0" collapsed="false">
      <c r="N383" s="142"/>
      <c r="X383" s="142"/>
      <c r="Y383" s="142"/>
      <c r="Z383" s="142"/>
      <c r="AA383" s="142"/>
      <c r="AC383" s="142"/>
      <c r="AD383" s="142"/>
      <c r="AE383" s="530"/>
      <c r="AR383" s="142"/>
    </row>
    <row r="384" customFormat="false" ht="15.75" hidden="false" customHeight="false" outlineLevel="0" collapsed="false">
      <c r="N384" s="142"/>
      <c r="X384" s="142"/>
      <c r="Y384" s="142"/>
      <c r="Z384" s="142"/>
      <c r="AA384" s="142"/>
      <c r="AC384" s="142"/>
      <c r="AD384" s="142"/>
      <c r="AE384" s="530"/>
      <c r="AR384" s="142"/>
    </row>
    <row r="385" customFormat="false" ht="15.75" hidden="false" customHeight="false" outlineLevel="0" collapsed="false">
      <c r="N385" s="142"/>
      <c r="X385" s="142"/>
      <c r="Y385" s="142"/>
      <c r="Z385" s="142"/>
      <c r="AA385" s="142"/>
      <c r="AC385" s="142"/>
      <c r="AD385" s="142"/>
      <c r="AE385" s="530"/>
      <c r="AR385" s="142"/>
    </row>
    <row r="386" customFormat="false" ht="15.75" hidden="false" customHeight="false" outlineLevel="0" collapsed="false">
      <c r="N386" s="142"/>
      <c r="X386" s="142"/>
      <c r="Y386" s="142"/>
      <c r="Z386" s="142"/>
      <c r="AA386" s="142"/>
      <c r="AC386" s="142"/>
      <c r="AD386" s="142"/>
      <c r="AE386" s="530"/>
      <c r="AR386" s="142"/>
    </row>
    <row r="387" customFormat="false" ht="15.75" hidden="false" customHeight="false" outlineLevel="0" collapsed="false">
      <c r="N387" s="142"/>
      <c r="X387" s="142"/>
      <c r="Y387" s="142"/>
      <c r="Z387" s="142"/>
      <c r="AA387" s="142"/>
      <c r="AC387" s="142"/>
      <c r="AD387" s="142"/>
      <c r="AE387" s="530"/>
      <c r="AR387" s="142"/>
    </row>
    <row r="388" customFormat="false" ht="15.75" hidden="false" customHeight="false" outlineLevel="0" collapsed="false">
      <c r="N388" s="142"/>
      <c r="X388" s="142"/>
      <c r="Y388" s="142"/>
      <c r="Z388" s="142"/>
      <c r="AA388" s="142"/>
      <c r="AC388" s="142"/>
      <c r="AD388" s="142"/>
      <c r="AE388" s="530"/>
      <c r="AR388" s="142"/>
    </row>
    <row r="389" customFormat="false" ht="15.75" hidden="false" customHeight="false" outlineLevel="0" collapsed="false">
      <c r="N389" s="142"/>
      <c r="X389" s="142"/>
      <c r="Y389" s="142"/>
      <c r="Z389" s="142"/>
      <c r="AA389" s="142"/>
      <c r="AC389" s="142"/>
      <c r="AD389" s="142"/>
      <c r="AE389" s="530"/>
      <c r="AR389" s="142"/>
    </row>
    <row r="390" customFormat="false" ht="15.75" hidden="false" customHeight="false" outlineLevel="0" collapsed="false">
      <c r="N390" s="142"/>
      <c r="X390" s="142"/>
      <c r="Y390" s="142"/>
      <c r="Z390" s="142"/>
      <c r="AA390" s="142"/>
      <c r="AC390" s="142"/>
      <c r="AD390" s="142"/>
      <c r="AE390" s="530"/>
      <c r="AR390" s="142"/>
    </row>
    <row r="391" customFormat="false" ht="15.75" hidden="false" customHeight="false" outlineLevel="0" collapsed="false">
      <c r="N391" s="142"/>
      <c r="X391" s="142"/>
      <c r="Y391" s="142"/>
      <c r="Z391" s="142"/>
      <c r="AA391" s="142"/>
      <c r="AC391" s="142"/>
      <c r="AD391" s="142"/>
      <c r="AE391" s="530"/>
      <c r="AR391" s="142"/>
    </row>
    <row r="392" customFormat="false" ht="15.75" hidden="false" customHeight="false" outlineLevel="0" collapsed="false">
      <c r="N392" s="142"/>
      <c r="X392" s="142"/>
      <c r="Y392" s="142"/>
      <c r="Z392" s="142"/>
      <c r="AA392" s="142"/>
      <c r="AC392" s="142"/>
      <c r="AD392" s="142"/>
      <c r="AE392" s="530"/>
      <c r="AR392" s="142"/>
    </row>
    <row r="393" customFormat="false" ht="15.75" hidden="false" customHeight="false" outlineLevel="0" collapsed="false">
      <c r="N393" s="142"/>
      <c r="X393" s="142"/>
      <c r="Y393" s="142"/>
      <c r="Z393" s="142"/>
      <c r="AA393" s="142"/>
      <c r="AC393" s="142"/>
      <c r="AD393" s="142"/>
      <c r="AE393" s="530"/>
      <c r="AR393" s="142"/>
    </row>
    <row r="394" customFormat="false" ht="15.75" hidden="false" customHeight="false" outlineLevel="0" collapsed="false">
      <c r="N394" s="142"/>
      <c r="X394" s="142"/>
      <c r="Y394" s="142"/>
      <c r="Z394" s="142"/>
      <c r="AA394" s="142"/>
      <c r="AC394" s="142"/>
      <c r="AD394" s="142"/>
      <c r="AE394" s="530"/>
      <c r="AG394" s="543"/>
      <c r="AR394" s="142"/>
    </row>
    <row r="395" customFormat="false" ht="15.75" hidden="false" customHeight="false" outlineLevel="0" collapsed="false">
      <c r="N395" s="142"/>
      <c r="X395" s="142"/>
      <c r="Y395" s="142"/>
      <c r="Z395" s="142"/>
      <c r="AA395" s="142"/>
      <c r="AC395" s="142"/>
      <c r="AD395" s="142"/>
      <c r="AE395" s="530"/>
      <c r="AG395" s="543"/>
      <c r="AR395" s="142"/>
    </row>
    <row r="396" customFormat="false" ht="15.75" hidden="false" customHeight="false" outlineLevel="0" collapsed="false">
      <c r="N396" s="142"/>
      <c r="X396" s="142"/>
      <c r="Y396" s="142"/>
      <c r="Z396" s="142"/>
      <c r="AA396" s="142"/>
      <c r="AC396" s="142"/>
      <c r="AD396" s="142"/>
      <c r="AE396" s="530"/>
      <c r="AG396" s="543"/>
      <c r="AR396" s="142"/>
    </row>
    <row r="397" customFormat="false" ht="15.75" hidden="false" customHeight="false" outlineLevel="0" collapsed="false">
      <c r="N397" s="142"/>
      <c r="X397" s="142"/>
      <c r="Y397" s="142"/>
      <c r="Z397" s="142"/>
      <c r="AA397" s="142"/>
      <c r="AC397" s="142"/>
      <c r="AD397" s="142"/>
      <c r="AE397" s="530"/>
      <c r="AG397" s="543"/>
      <c r="AR397" s="142"/>
    </row>
    <row r="398" customFormat="false" ht="15.75" hidden="false" customHeight="false" outlineLevel="0" collapsed="false">
      <c r="N398" s="142"/>
      <c r="X398" s="142"/>
      <c r="Y398" s="142"/>
      <c r="Z398" s="142"/>
      <c r="AA398" s="142"/>
      <c r="AC398" s="142"/>
      <c r="AD398" s="142"/>
      <c r="AE398" s="530"/>
      <c r="AG398" s="543"/>
      <c r="AR398" s="142"/>
    </row>
    <row r="399" customFormat="false" ht="15.75" hidden="false" customHeight="false" outlineLevel="0" collapsed="false">
      <c r="N399" s="142"/>
      <c r="X399" s="142"/>
      <c r="Y399" s="142"/>
      <c r="Z399" s="142"/>
      <c r="AA399" s="142"/>
      <c r="AC399" s="142"/>
      <c r="AD399" s="142"/>
      <c r="AE399" s="530"/>
      <c r="AG399" s="543"/>
      <c r="AR399" s="142"/>
    </row>
    <row r="400" customFormat="false" ht="15.75" hidden="false" customHeight="false" outlineLevel="0" collapsed="false">
      <c r="N400" s="142"/>
      <c r="X400" s="142"/>
      <c r="Y400" s="142"/>
      <c r="Z400" s="142"/>
      <c r="AA400" s="142"/>
      <c r="AC400" s="142"/>
      <c r="AD400" s="142"/>
      <c r="AE400" s="530"/>
      <c r="AG400" s="543"/>
      <c r="AR400" s="142"/>
    </row>
    <row r="401" customFormat="false" ht="15.75" hidden="false" customHeight="false" outlineLevel="0" collapsed="false">
      <c r="N401" s="142"/>
      <c r="X401" s="142"/>
      <c r="Y401" s="142"/>
      <c r="Z401" s="142"/>
      <c r="AA401" s="142"/>
      <c r="AC401" s="142"/>
      <c r="AD401" s="142"/>
      <c r="AE401" s="530"/>
      <c r="AG401" s="543"/>
      <c r="AR401" s="142"/>
    </row>
    <row r="402" customFormat="false" ht="15.75" hidden="false" customHeight="false" outlineLevel="0" collapsed="false">
      <c r="N402" s="142"/>
      <c r="X402" s="142"/>
      <c r="Y402" s="142"/>
      <c r="Z402" s="142"/>
      <c r="AA402" s="142"/>
      <c r="AC402" s="142"/>
      <c r="AD402" s="142"/>
      <c r="AE402" s="530"/>
      <c r="AG402" s="543"/>
      <c r="AR402" s="142"/>
    </row>
    <row r="403" customFormat="false" ht="15.75" hidden="false" customHeight="false" outlineLevel="0" collapsed="false">
      <c r="N403" s="142"/>
      <c r="X403" s="142"/>
      <c r="Y403" s="142"/>
      <c r="Z403" s="142"/>
      <c r="AA403" s="142"/>
      <c r="AC403" s="142"/>
      <c r="AD403" s="142"/>
      <c r="AE403" s="530"/>
      <c r="AG403" s="543"/>
      <c r="AR403" s="142"/>
    </row>
    <row r="404" customFormat="false" ht="15.75" hidden="false" customHeight="false" outlineLevel="0" collapsed="false">
      <c r="N404" s="142"/>
      <c r="X404" s="142"/>
      <c r="Y404" s="142"/>
      <c r="Z404" s="142"/>
      <c r="AA404" s="142"/>
      <c r="AC404" s="142"/>
      <c r="AD404" s="142"/>
      <c r="AE404" s="530"/>
      <c r="AG404" s="543"/>
      <c r="AR404" s="142"/>
    </row>
    <row r="405" customFormat="false" ht="15.75" hidden="false" customHeight="false" outlineLevel="0" collapsed="false">
      <c r="N405" s="142"/>
      <c r="X405" s="142"/>
      <c r="Y405" s="142"/>
      <c r="Z405" s="142"/>
      <c r="AA405" s="142"/>
      <c r="AC405" s="142"/>
      <c r="AD405" s="142"/>
      <c r="AE405" s="530"/>
      <c r="AG405" s="543"/>
      <c r="AR405" s="142"/>
    </row>
    <row r="406" customFormat="false" ht="15.75" hidden="false" customHeight="false" outlineLevel="0" collapsed="false">
      <c r="N406" s="142"/>
      <c r="X406" s="142"/>
      <c r="Y406" s="142"/>
      <c r="Z406" s="142"/>
      <c r="AA406" s="142"/>
      <c r="AC406" s="142"/>
      <c r="AD406" s="142"/>
      <c r="AE406" s="530"/>
      <c r="AG406" s="543"/>
      <c r="AR406" s="142"/>
    </row>
    <row r="407" customFormat="false" ht="15.75" hidden="false" customHeight="false" outlineLevel="0" collapsed="false">
      <c r="N407" s="142"/>
      <c r="X407" s="142"/>
      <c r="Y407" s="142"/>
      <c r="Z407" s="142"/>
      <c r="AA407" s="142"/>
      <c r="AC407" s="142"/>
      <c r="AD407" s="142"/>
      <c r="AE407" s="530"/>
      <c r="AG407" s="543"/>
      <c r="AR407" s="142"/>
    </row>
    <row r="408" customFormat="false" ht="15.75" hidden="false" customHeight="false" outlineLevel="0" collapsed="false">
      <c r="N408" s="142"/>
      <c r="X408" s="142"/>
      <c r="Y408" s="142"/>
      <c r="Z408" s="142"/>
      <c r="AA408" s="142"/>
      <c r="AC408" s="142"/>
      <c r="AD408" s="142"/>
      <c r="AE408" s="530"/>
      <c r="AG408" s="543"/>
      <c r="AR408" s="142"/>
    </row>
    <row r="409" customFormat="false" ht="15.75" hidden="false" customHeight="false" outlineLevel="0" collapsed="false">
      <c r="N409" s="142"/>
      <c r="X409" s="142"/>
      <c r="Y409" s="142"/>
      <c r="Z409" s="142"/>
      <c r="AA409" s="142"/>
      <c r="AC409" s="142"/>
      <c r="AD409" s="142"/>
      <c r="AE409" s="530"/>
      <c r="AG409" s="543"/>
      <c r="AR409" s="142"/>
    </row>
    <row r="410" customFormat="false" ht="15.75" hidden="false" customHeight="false" outlineLevel="0" collapsed="false">
      <c r="N410" s="142"/>
      <c r="X410" s="142"/>
      <c r="Y410" s="142"/>
      <c r="Z410" s="142"/>
      <c r="AA410" s="142"/>
      <c r="AC410" s="142"/>
      <c r="AD410" s="142"/>
      <c r="AE410" s="530"/>
      <c r="AG410" s="543"/>
      <c r="AR410" s="142"/>
    </row>
    <row r="411" customFormat="false" ht="15.75" hidden="false" customHeight="false" outlineLevel="0" collapsed="false">
      <c r="N411" s="142"/>
      <c r="X411" s="142"/>
      <c r="Y411" s="142"/>
      <c r="Z411" s="142"/>
      <c r="AA411" s="142"/>
      <c r="AC411" s="142"/>
      <c r="AD411" s="142"/>
      <c r="AE411" s="530"/>
      <c r="AG411" s="543"/>
      <c r="AR411" s="142"/>
    </row>
    <row r="412" customFormat="false" ht="15.75" hidden="false" customHeight="false" outlineLevel="0" collapsed="false">
      <c r="N412" s="142"/>
      <c r="X412" s="142"/>
      <c r="Y412" s="142"/>
      <c r="Z412" s="142"/>
      <c r="AA412" s="142"/>
      <c r="AC412" s="142"/>
      <c r="AD412" s="142"/>
      <c r="AE412" s="530"/>
      <c r="AG412" s="543"/>
      <c r="AR412" s="142"/>
    </row>
    <row r="413" customFormat="false" ht="15.75" hidden="false" customHeight="false" outlineLevel="0" collapsed="false">
      <c r="N413" s="142"/>
      <c r="X413" s="142"/>
      <c r="Y413" s="142"/>
      <c r="Z413" s="142"/>
      <c r="AA413" s="142"/>
      <c r="AC413" s="142"/>
      <c r="AD413" s="142"/>
      <c r="AE413" s="530"/>
      <c r="AG413" s="543"/>
      <c r="AR413" s="142"/>
    </row>
    <row r="414" customFormat="false" ht="15.75" hidden="false" customHeight="false" outlineLevel="0" collapsed="false">
      <c r="N414" s="142"/>
      <c r="X414" s="142"/>
      <c r="Y414" s="142"/>
      <c r="Z414" s="142"/>
      <c r="AA414" s="142"/>
      <c r="AC414" s="142"/>
      <c r="AD414" s="142"/>
      <c r="AE414" s="530"/>
      <c r="AG414" s="543"/>
      <c r="AR414" s="142"/>
    </row>
    <row r="415" customFormat="false" ht="15.75" hidden="false" customHeight="false" outlineLevel="0" collapsed="false">
      <c r="N415" s="142"/>
      <c r="X415" s="142"/>
      <c r="Y415" s="142"/>
      <c r="Z415" s="142"/>
      <c r="AA415" s="142"/>
      <c r="AC415" s="142"/>
      <c r="AD415" s="142"/>
      <c r="AE415" s="530"/>
      <c r="AG415" s="543"/>
      <c r="AR415" s="142"/>
    </row>
    <row r="416" customFormat="false" ht="15.75" hidden="false" customHeight="false" outlineLevel="0" collapsed="false">
      <c r="N416" s="142"/>
      <c r="X416" s="142"/>
      <c r="Y416" s="142"/>
      <c r="Z416" s="142"/>
      <c r="AA416" s="142"/>
      <c r="AC416" s="142"/>
      <c r="AD416" s="142"/>
      <c r="AE416" s="530"/>
      <c r="AG416" s="543"/>
      <c r="AR416" s="142"/>
    </row>
    <row r="417" customFormat="false" ht="15.75" hidden="false" customHeight="false" outlineLevel="0" collapsed="false">
      <c r="N417" s="142"/>
      <c r="X417" s="142"/>
      <c r="Y417" s="142"/>
      <c r="Z417" s="142"/>
      <c r="AA417" s="142"/>
      <c r="AC417" s="142"/>
      <c r="AD417" s="142"/>
      <c r="AE417" s="530"/>
      <c r="AG417" s="543"/>
      <c r="AR417" s="142"/>
    </row>
    <row r="418" customFormat="false" ht="15.75" hidden="false" customHeight="false" outlineLevel="0" collapsed="false">
      <c r="N418" s="142"/>
      <c r="X418" s="142"/>
      <c r="Y418" s="142"/>
      <c r="Z418" s="142"/>
      <c r="AA418" s="142"/>
      <c r="AC418" s="142"/>
      <c r="AD418" s="142"/>
      <c r="AE418" s="530"/>
      <c r="AG418" s="543"/>
      <c r="AR418" s="142"/>
    </row>
    <row r="419" customFormat="false" ht="15.75" hidden="false" customHeight="false" outlineLevel="0" collapsed="false">
      <c r="N419" s="142"/>
      <c r="X419" s="142"/>
      <c r="Y419" s="142"/>
      <c r="Z419" s="142"/>
      <c r="AA419" s="142"/>
      <c r="AC419" s="142"/>
      <c r="AD419" s="142"/>
      <c r="AE419" s="530"/>
      <c r="AG419" s="543"/>
      <c r="AR419" s="142"/>
    </row>
    <row r="420" customFormat="false" ht="15.75" hidden="false" customHeight="false" outlineLevel="0" collapsed="false">
      <c r="N420" s="142"/>
      <c r="X420" s="142"/>
      <c r="Y420" s="142"/>
      <c r="Z420" s="142"/>
      <c r="AA420" s="142"/>
      <c r="AC420" s="142"/>
      <c r="AD420" s="142"/>
      <c r="AE420" s="530"/>
      <c r="AG420" s="543"/>
      <c r="AR420" s="142"/>
    </row>
    <row r="421" customFormat="false" ht="15.75" hidden="false" customHeight="false" outlineLevel="0" collapsed="false">
      <c r="N421" s="142"/>
      <c r="X421" s="142"/>
      <c r="Y421" s="142"/>
      <c r="Z421" s="142"/>
      <c r="AA421" s="142"/>
      <c r="AC421" s="142"/>
      <c r="AD421" s="142"/>
      <c r="AE421" s="530"/>
      <c r="AG421" s="543"/>
      <c r="AR421" s="142"/>
    </row>
    <row r="422" customFormat="false" ht="15.75" hidden="false" customHeight="false" outlineLevel="0" collapsed="false">
      <c r="N422" s="142"/>
      <c r="X422" s="142"/>
      <c r="Y422" s="142"/>
      <c r="Z422" s="142"/>
      <c r="AA422" s="142"/>
      <c r="AC422" s="142"/>
      <c r="AD422" s="142"/>
      <c r="AE422" s="530"/>
      <c r="AG422" s="543"/>
      <c r="AR422" s="142"/>
    </row>
    <row r="423" customFormat="false" ht="15.75" hidden="false" customHeight="false" outlineLevel="0" collapsed="false">
      <c r="N423" s="142"/>
      <c r="X423" s="142"/>
      <c r="Y423" s="142"/>
      <c r="Z423" s="142"/>
      <c r="AA423" s="142"/>
      <c r="AC423" s="142"/>
      <c r="AD423" s="142"/>
      <c r="AE423" s="530"/>
      <c r="AG423" s="543"/>
      <c r="AR423" s="142"/>
    </row>
    <row r="424" customFormat="false" ht="15.75" hidden="false" customHeight="false" outlineLevel="0" collapsed="false">
      <c r="N424" s="142"/>
      <c r="X424" s="142"/>
      <c r="Y424" s="142"/>
      <c r="Z424" s="142"/>
      <c r="AA424" s="142"/>
      <c r="AC424" s="142"/>
      <c r="AD424" s="142"/>
      <c r="AE424" s="530"/>
      <c r="AG424" s="543"/>
      <c r="AR424" s="142"/>
    </row>
    <row r="425" customFormat="false" ht="15.75" hidden="false" customHeight="false" outlineLevel="0" collapsed="false">
      <c r="N425" s="142"/>
      <c r="X425" s="142"/>
      <c r="Y425" s="142"/>
      <c r="Z425" s="142"/>
      <c r="AA425" s="142"/>
      <c r="AC425" s="142"/>
      <c r="AD425" s="142"/>
      <c r="AE425" s="530"/>
      <c r="AG425" s="543"/>
      <c r="AR425" s="142"/>
    </row>
    <row r="426" customFormat="false" ht="15.75" hidden="false" customHeight="false" outlineLevel="0" collapsed="false">
      <c r="N426" s="142"/>
      <c r="X426" s="142"/>
      <c r="Y426" s="142"/>
      <c r="Z426" s="142"/>
      <c r="AA426" s="142"/>
      <c r="AC426" s="142"/>
      <c r="AD426" s="142"/>
      <c r="AE426" s="530"/>
      <c r="AG426" s="543"/>
      <c r="AR426" s="142"/>
    </row>
    <row r="427" customFormat="false" ht="15.75" hidden="false" customHeight="false" outlineLevel="0" collapsed="false">
      <c r="N427" s="142"/>
      <c r="X427" s="142"/>
      <c r="Y427" s="142"/>
      <c r="Z427" s="142"/>
      <c r="AA427" s="142"/>
      <c r="AC427" s="142"/>
      <c r="AD427" s="142"/>
      <c r="AE427" s="530"/>
      <c r="AG427" s="543"/>
      <c r="AR427" s="142"/>
    </row>
    <row r="428" customFormat="false" ht="15.75" hidden="false" customHeight="false" outlineLevel="0" collapsed="false">
      <c r="N428" s="142"/>
      <c r="X428" s="142"/>
      <c r="Y428" s="142"/>
      <c r="Z428" s="142"/>
      <c r="AA428" s="142"/>
      <c r="AC428" s="142"/>
      <c r="AD428" s="142"/>
      <c r="AE428" s="530"/>
      <c r="AG428" s="543"/>
      <c r="AR428" s="142"/>
    </row>
    <row r="429" customFormat="false" ht="15.75" hidden="false" customHeight="false" outlineLevel="0" collapsed="false">
      <c r="N429" s="142"/>
      <c r="X429" s="142"/>
      <c r="Y429" s="142"/>
      <c r="Z429" s="142"/>
      <c r="AA429" s="142"/>
      <c r="AC429" s="142"/>
      <c r="AD429" s="142"/>
      <c r="AE429" s="530"/>
      <c r="AG429" s="543"/>
      <c r="AR429" s="142"/>
    </row>
    <row r="430" customFormat="false" ht="15.75" hidden="false" customHeight="false" outlineLevel="0" collapsed="false">
      <c r="N430" s="142"/>
      <c r="X430" s="142"/>
      <c r="Y430" s="142"/>
      <c r="Z430" s="142"/>
      <c r="AA430" s="142"/>
      <c r="AC430" s="142"/>
      <c r="AD430" s="142"/>
      <c r="AE430" s="530"/>
      <c r="AG430" s="543"/>
      <c r="AR430" s="142"/>
    </row>
    <row r="431" customFormat="false" ht="15.75" hidden="false" customHeight="false" outlineLevel="0" collapsed="false">
      <c r="N431" s="142"/>
      <c r="X431" s="142"/>
      <c r="Y431" s="142"/>
      <c r="Z431" s="142"/>
      <c r="AA431" s="142"/>
      <c r="AC431" s="142"/>
      <c r="AD431" s="142"/>
      <c r="AE431" s="530"/>
      <c r="AG431" s="543"/>
      <c r="AR431" s="142"/>
    </row>
    <row r="432" customFormat="false" ht="15.75" hidden="false" customHeight="false" outlineLevel="0" collapsed="false">
      <c r="N432" s="142"/>
      <c r="X432" s="142"/>
      <c r="Y432" s="142"/>
      <c r="Z432" s="142"/>
      <c r="AA432" s="142"/>
      <c r="AC432" s="142"/>
      <c r="AD432" s="142"/>
      <c r="AE432" s="530"/>
      <c r="AG432" s="543"/>
      <c r="AR432" s="142"/>
    </row>
    <row r="433" customFormat="false" ht="15.75" hidden="false" customHeight="false" outlineLevel="0" collapsed="false">
      <c r="N433" s="142"/>
      <c r="X433" s="142"/>
      <c r="Y433" s="142"/>
      <c r="Z433" s="142"/>
      <c r="AA433" s="142"/>
      <c r="AC433" s="142"/>
      <c r="AD433" s="142"/>
      <c r="AE433" s="530"/>
      <c r="AG433" s="543"/>
      <c r="AR433" s="142"/>
    </row>
    <row r="434" customFormat="false" ht="15.75" hidden="false" customHeight="false" outlineLevel="0" collapsed="false">
      <c r="N434" s="142"/>
      <c r="X434" s="142"/>
      <c r="Y434" s="142"/>
      <c r="Z434" s="142"/>
      <c r="AA434" s="142"/>
      <c r="AC434" s="142"/>
      <c r="AD434" s="142"/>
      <c r="AE434" s="530"/>
      <c r="AG434" s="543"/>
      <c r="AR434" s="142"/>
    </row>
    <row r="435" customFormat="false" ht="15.75" hidden="false" customHeight="false" outlineLevel="0" collapsed="false">
      <c r="N435" s="142"/>
      <c r="X435" s="142"/>
      <c r="Y435" s="142"/>
      <c r="Z435" s="142"/>
      <c r="AA435" s="142"/>
      <c r="AC435" s="142"/>
      <c r="AD435" s="142"/>
      <c r="AE435" s="530"/>
      <c r="AG435" s="543"/>
      <c r="AR435" s="142"/>
    </row>
    <row r="436" customFormat="false" ht="15.75" hidden="false" customHeight="false" outlineLevel="0" collapsed="false">
      <c r="N436" s="142"/>
      <c r="X436" s="142"/>
      <c r="Y436" s="142"/>
      <c r="Z436" s="142"/>
      <c r="AA436" s="142"/>
      <c r="AC436" s="142"/>
      <c r="AD436" s="142"/>
      <c r="AE436" s="530"/>
      <c r="AG436" s="543"/>
      <c r="AR436" s="142"/>
    </row>
    <row r="437" customFormat="false" ht="15.75" hidden="false" customHeight="false" outlineLevel="0" collapsed="false">
      <c r="N437" s="142"/>
      <c r="X437" s="142"/>
      <c r="Y437" s="142"/>
      <c r="Z437" s="142"/>
      <c r="AA437" s="142"/>
      <c r="AC437" s="142"/>
      <c r="AD437" s="142"/>
      <c r="AE437" s="530"/>
      <c r="AG437" s="543"/>
      <c r="AR437" s="142"/>
    </row>
    <row r="438" customFormat="false" ht="15.75" hidden="false" customHeight="false" outlineLevel="0" collapsed="false">
      <c r="N438" s="142"/>
      <c r="X438" s="142"/>
      <c r="Y438" s="142"/>
      <c r="Z438" s="142"/>
      <c r="AA438" s="142"/>
      <c r="AC438" s="142"/>
      <c r="AD438" s="142"/>
      <c r="AE438" s="530"/>
      <c r="AG438" s="543"/>
      <c r="AR438" s="142"/>
    </row>
    <row r="439" customFormat="false" ht="15.75" hidden="false" customHeight="false" outlineLevel="0" collapsed="false">
      <c r="N439" s="142"/>
      <c r="X439" s="142"/>
      <c r="Y439" s="142"/>
      <c r="Z439" s="142"/>
      <c r="AA439" s="142"/>
      <c r="AC439" s="142"/>
      <c r="AD439" s="142"/>
      <c r="AE439" s="530"/>
      <c r="AG439" s="543"/>
      <c r="AR439" s="142"/>
    </row>
    <row r="440" customFormat="false" ht="15.75" hidden="false" customHeight="false" outlineLevel="0" collapsed="false">
      <c r="N440" s="142"/>
      <c r="X440" s="142"/>
      <c r="Y440" s="142"/>
      <c r="Z440" s="142"/>
      <c r="AA440" s="142"/>
      <c r="AC440" s="142"/>
      <c r="AD440" s="142"/>
      <c r="AE440" s="530"/>
      <c r="AG440" s="543"/>
      <c r="AR440" s="142"/>
    </row>
    <row r="441" customFormat="false" ht="15.75" hidden="false" customHeight="false" outlineLevel="0" collapsed="false">
      <c r="N441" s="142"/>
      <c r="X441" s="142"/>
      <c r="Y441" s="142"/>
      <c r="Z441" s="142"/>
      <c r="AA441" s="142"/>
      <c r="AC441" s="142"/>
      <c r="AD441" s="142"/>
      <c r="AE441" s="530"/>
      <c r="AG441" s="543"/>
      <c r="AR441" s="142"/>
    </row>
    <row r="442" customFormat="false" ht="15.75" hidden="false" customHeight="false" outlineLevel="0" collapsed="false">
      <c r="N442" s="142"/>
      <c r="X442" s="142"/>
      <c r="Y442" s="142"/>
      <c r="Z442" s="142"/>
      <c r="AA442" s="142"/>
      <c r="AC442" s="142"/>
      <c r="AD442" s="142"/>
      <c r="AE442" s="530"/>
      <c r="AG442" s="543"/>
      <c r="AR442" s="142"/>
    </row>
    <row r="443" customFormat="false" ht="15.75" hidden="false" customHeight="false" outlineLevel="0" collapsed="false">
      <c r="N443" s="142"/>
      <c r="X443" s="142"/>
      <c r="Y443" s="142"/>
      <c r="Z443" s="142"/>
      <c r="AA443" s="142"/>
      <c r="AC443" s="142"/>
      <c r="AD443" s="142"/>
      <c r="AE443" s="530"/>
      <c r="AG443" s="543"/>
      <c r="AR443" s="142"/>
    </row>
    <row r="444" customFormat="false" ht="15.75" hidden="false" customHeight="false" outlineLevel="0" collapsed="false">
      <c r="N444" s="142"/>
      <c r="X444" s="142"/>
      <c r="Y444" s="142"/>
      <c r="Z444" s="142"/>
      <c r="AA444" s="142"/>
      <c r="AC444" s="142"/>
      <c r="AD444" s="142"/>
      <c r="AE444" s="530"/>
      <c r="AG444" s="543"/>
      <c r="AR444" s="142"/>
    </row>
    <row r="445" customFormat="false" ht="15.75" hidden="false" customHeight="false" outlineLevel="0" collapsed="false">
      <c r="N445" s="142"/>
      <c r="X445" s="142"/>
      <c r="Y445" s="142"/>
      <c r="Z445" s="142"/>
      <c r="AA445" s="142"/>
      <c r="AC445" s="142"/>
      <c r="AD445" s="142"/>
      <c r="AE445" s="530"/>
      <c r="AG445" s="543"/>
      <c r="AR445" s="142"/>
    </row>
    <row r="446" customFormat="false" ht="15.75" hidden="false" customHeight="false" outlineLevel="0" collapsed="false">
      <c r="N446" s="142"/>
      <c r="X446" s="142"/>
      <c r="Y446" s="142"/>
      <c r="Z446" s="142"/>
      <c r="AA446" s="142"/>
      <c r="AC446" s="142"/>
      <c r="AD446" s="142"/>
      <c r="AE446" s="530"/>
      <c r="AG446" s="543"/>
      <c r="AR446" s="142"/>
    </row>
    <row r="447" customFormat="false" ht="15.75" hidden="false" customHeight="false" outlineLevel="0" collapsed="false">
      <c r="N447" s="142"/>
      <c r="X447" s="142"/>
      <c r="Y447" s="142"/>
      <c r="Z447" s="142"/>
      <c r="AA447" s="142"/>
      <c r="AC447" s="142"/>
      <c r="AD447" s="142"/>
      <c r="AE447" s="530"/>
      <c r="AG447" s="543"/>
      <c r="AR447" s="142"/>
    </row>
    <row r="448" customFormat="false" ht="15.75" hidden="false" customHeight="false" outlineLevel="0" collapsed="false">
      <c r="N448" s="142"/>
      <c r="X448" s="142"/>
      <c r="Y448" s="142"/>
      <c r="Z448" s="142"/>
      <c r="AA448" s="142"/>
      <c r="AC448" s="142"/>
      <c r="AD448" s="142"/>
      <c r="AE448" s="530"/>
      <c r="AG448" s="543"/>
      <c r="AR448" s="142"/>
    </row>
    <row r="449" customFormat="false" ht="15.75" hidden="false" customHeight="false" outlineLevel="0" collapsed="false">
      <c r="N449" s="142"/>
      <c r="X449" s="142"/>
      <c r="Y449" s="142"/>
      <c r="Z449" s="142"/>
      <c r="AA449" s="142"/>
      <c r="AC449" s="142"/>
      <c r="AD449" s="142"/>
      <c r="AE449" s="530"/>
      <c r="AG449" s="543"/>
      <c r="AR449" s="142"/>
    </row>
    <row r="450" customFormat="false" ht="15.75" hidden="false" customHeight="false" outlineLevel="0" collapsed="false">
      <c r="N450" s="142"/>
      <c r="X450" s="142"/>
      <c r="Y450" s="142"/>
      <c r="Z450" s="142"/>
      <c r="AA450" s="142"/>
      <c r="AC450" s="142"/>
      <c r="AD450" s="142"/>
      <c r="AE450" s="530"/>
      <c r="AG450" s="543"/>
      <c r="AR450" s="142"/>
    </row>
    <row r="451" customFormat="false" ht="15.75" hidden="false" customHeight="false" outlineLevel="0" collapsed="false">
      <c r="N451" s="142"/>
      <c r="X451" s="142"/>
      <c r="Y451" s="142"/>
      <c r="Z451" s="142"/>
      <c r="AA451" s="142"/>
      <c r="AC451" s="142"/>
      <c r="AD451" s="142"/>
      <c r="AE451" s="530"/>
      <c r="AG451" s="543"/>
      <c r="AR451" s="142"/>
    </row>
    <row r="452" customFormat="false" ht="15.75" hidden="false" customHeight="false" outlineLevel="0" collapsed="false">
      <c r="N452" s="142"/>
      <c r="X452" s="142"/>
      <c r="Y452" s="142"/>
      <c r="Z452" s="142"/>
      <c r="AA452" s="142"/>
      <c r="AC452" s="142"/>
      <c r="AD452" s="142"/>
      <c r="AE452" s="530"/>
      <c r="AG452" s="543"/>
      <c r="AR452" s="142"/>
    </row>
    <row r="453" customFormat="false" ht="15.75" hidden="false" customHeight="false" outlineLevel="0" collapsed="false">
      <c r="N453" s="142"/>
      <c r="X453" s="142"/>
      <c r="Y453" s="142"/>
      <c r="Z453" s="142"/>
      <c r="AA453" s="142"/>
      <c r="AC453" s="142"/>
      <c r="AD453" s="142"/>
      <c r="AE453" s="530"/>
      <c r="AG453" s="543"/>
      <c r="AR453" s="142"/>
    </row>
    <row r="454" customFormat="false" ht="15.75" hidden="false" customHeight="false" outlineLevel="0" collapsed="false">
      <c r="N454" s="142"/>
      <c r="X454" s="142"/>
      <c r="Y454" s="142"/>
      <c r="Z454" s="142"/>
      <c r="AA454" s="142"/>
      <c r="AC454" s="142"/>
      <c r="AD454" s="142"/>
      <c r="AE454" s="530"/>
      <c r="AG454" s="543"/>
      <c r="AR454" s="142"/>
    </row>
    <row r="455" customFormat="false" ht="15.75" hidden="false" customHeight="false" outlineLevel="0" collapsed="false">
      <c r="N455" s="142"/>
      <c r="X455" s="142"/>
      <c r="Y455" s="142"/>
      <c r="Z455" s="142"/>
      <c r="AA455" s="142"/>
      <c r="AC455" s="142"/>
      <c r="AD455" s="142"/>
      <c r="AE455" s="530"/>
      <c r="AG455" s="543"/>
      <c r="AR455" s="142"/>
    </row>
    <row r="456" customFormat="false" ht="15.75" hidden="false" customHeight="false" outlineLevel="0" collapsed="false">
      <c r="N456" s="142"/>
      <c r="X456" s="142"/>
      <c r="Y456" s="142"/>
      <c r="Z456" s="142"/>
      <c r="AA456" s="142"/>
      <c r="AC456" s="142"/>
      <c r="AD456" s="142"/>
      <c r="AE456" s="530"/>
      <c r="AG456" s="543"/>
      <c r="AR456" s="142"/>
    </row>
    <row r="457" customFormat="false" ht="15.75" hidden="false" customHeight="false" outlineLevel="0" collapsed="false">
      <c r="N457" s="142"/>
      <c r="X457" s="142"/>
      <c r="Y457" s="142"/>
      <c r="Z457" s="142"/>
      <c r="AA457" s="142"/>
      <c r="AC457" s="142"/>
      <c r="AD457" s="142"/>
      <c r="AE457" s="530"/>
      <c r="AG457" s="543"/>
      <c r="AR457" s="142"/>
    </row>
    <row r="458" customFormat="false" ht="15.75" hidden="false" customHeight="false" outlineLevel="0" collapsed="false">
      <c r="N458" s="142"/>
      <c r="X458" s="142"/>
      <c r="Y458" s="142"/>
      <c r="Z458" s="142"/>
      <c r="AA458" s="142"/>
      <c r="AC458" s="142"/>
      <c r="AD458" s="142"/>
      <c r="AE458" s="530"/>
      <c r="AG458" s="543"/>
      <c r="AR458" s="142"/>
    </row>
    <row r="459" customFormat="false" ht="15.75" hidden="false" customHeight="false" outlineLevel="0" collapsed="false">
      <c r="N459" s="142"/>
      <c r="X459" s="142"/>
      <c r="Y459" s="142"/>
      <c r="Z459" s="142"/>
      <c r="AA459" s="142"/>
      <c r="AC459" s="142"/>
      <c r="AD459" s="142"/>
      <c r="AE459" s="530"/>
      <c r="AG459" s="543"/>
      <c r="AR459" s="142"/>
    </row>
    <row r="460" customFormat="false" ht="15.75" hidden="false" customHeight="false" outlineLevel="0" collapsed="false">
      <c r="N460" s="142"/>
      <c r="X460" s="142"/>
      <c r="Y460" s="142"/>
      <c r="Z460" s="142"/>
      <c r="AA460" s="142"/>
      <c r="AC460" s="142"/>
      <c r="AD460" s="142"/>
      <c r="AE460" s="530"/>
      <c r="AG460" s="543"/>
      <c r="AR460" s="142"/>
    </row>
    <row r="461" customFormat="false" ht="15.75" hidden="false" customHeight="false" outlineLevel="0" collapsed="false">
      <c r="N461" s="142"/>
      <c r="X461" s="142"/>
      <c r="Y461" s="142"/>
      <c r="Z461" s="142"/>
      <c r="AA461" s="142"/>
      <c r="AC461" s="142"/>
      <c r="AD461" s="142"/>
      <c r="AE461" s="530"/>
      <c r="AG461" s="543"/>
      <c r="AR461" s="142"/>
    </row>
    <row r="462" customFormat="false" ht="15.75" hidden="false" customHeight="false" outlineLevel="0" collapsed="false">
      <c r="N462" s="142"/>
      <c r="X462" s="142"/>
      <c r="Y462" s="142"/>
      <c r="Z462" s="142"/>
      <c r="AA462" s="142"/>
      <c r="AC462" s="142"/>
      <c r="AD462" s="142"/>
      <c r="AE462" s="530"/>
      <c r="AG462" s="543"/>
      <c r="AR462" s="142"/>
    </row>
    <row r="463" customFormat="false" ht="15.75" hidden="false" customHeight="false" outlineLevel="0" collapsed="false">
      <c r="N463" s="142"/>
      <c r="X463" s="142"/>
      <c r="Y463" s="142"/>
      <c r="Z463" s="142"/>
      <c r="AA463" s="142"/>
      <c r="AC463" s="142"/>
      <c r="AD463" s="142"/>
      <c r="AE463" s="530"/>
      <c r="AG463" s="543"/>
      <c r="AR463" s="142"/>
    </row>
    <row r="464" customFormat="false" ht="15.75" hidden="false" customHeight="false" outlineLevel="0" collapsed="false">
      <c r="N464" s="142"/>
      <c r="X464" s="142"/>
      <c r="Y464" s="142"/>
      <c r="Z464" s="142"/>
      <c r="AA464" s="142"/>
      <c r="AC464" s="142"/>
      <c r="AD464" s="142"/>
      <c r="AE464" s="530"/>
      <c r="AG464" s="543"/>
      <c r="AR464" s="142"/>
    </row>
    <row r="465" customFormat="false" ht="15.75" hidden="false" customHeight="false" outlineLevel="0" collapsed="false">
      <c r="N465" s="142"/>
      <c r="X465" s="142"/>
      <c r="Y465" s="142"/>
      <c r="Z465" s="142"/>
      <c r="AA465" s="142"/>
      <c r="AC465" s="142"/>
      <c r="AD465" s="142"/>
      <c r="AE465" s="530"/>
      <c r="AG465" s="543"/>
      <c r="AR465" s="142"/>
    </row>
    <row r="466" customFormat="false" ht="15.75" hidden="false" customHeight="false" outlineLevel="0" collapsed="false">
      <c r="N466" s="142"/>
      <c r="X466" s="142"/>
      <c r="Y466" s="142"/>
      <c r="Z466" s="142"/>
      <c r="AA466" s="142"/>
      <c r="AC466" s="142"/>
      <c r="AD466" s="142"/>
      <c r="AE466" s="530"/>
      <c r="AG466" s="543"/>
      <c r="AR466" s="142"/>
    </row>
    <row r="467" customFormat="false" ht="15.75" hidden="false" customHeight="false" outlineLevel="0" collapsed="false">
      <c r="N467" s="142"/>
      <c r="X467" s="142"/>
      <c r="Y467" s="142"/>
      <c r="Z467" s="142"/>
      <c r="AA467" s="142"/>
      <c r="AC467" s="142"/>
      <c r="AD467" s="142"/>
      <c r="AE467" s="530"/>
      <c r="AG467" s="543"/>
      <c r="AR467" s="142"/>
    </row>
    <row r="468" customFormat="false" ht="15.75" hidden="false" customHeight="false" outlineLevel="0" collapsed="false">
      <c r="N468" s="142"/>
      <c r="X468" s="142"/>
      <c r="Y468" s="142"/>
      <c r="Z468" s="142"/>
      <c r="AA468" s="142"/>
      <c r="AC468" s="142"/>
      <c r="AD468" s="142"/>
      <c r="AE468" s="530"/>
      <c r="AG468" s="543"/>
      <c r="AR468" s="142"/>
    </row>
    <row r="469" customFormat="false" ht="15.75" hidden="false" customHeight="false" outlineLevel="0" collapsed="false">
      <c r="N469" s="142"/>
      <c r="X469" s="142"/>
      <c r="Y469" s="142"/>
      <c r="Z469" s="142"/>
      <c r="AA469" s="142"/>
      <c r="AC469" s="142"/>
      <c r="AD469" s="142"/>
      <c r="AE469" s="530"/>
      <c r="AG469" s="543"/>
      <c r="AR469" s="142"/>
    </row>
    <row r="470" customFormat="false" ht="15.75" hidden="false" customHeight="false" outlineLevel="0" collapsed="false">
      <c r="N470" s="142"/>
      <c r="X470" s="142"/>
      <c r="Y470" s="142"/>
      <c r="Z470" s="142"/>
      <c r="AA470" s="142"/>
      <c r="AC470" s="142"/>
      <c r="AD470" s="142"/>
      <c r="AE470" s="530"/>
      <c r="AG470" s="543"/>
      <c r="AR470" s="142"/>
    </row>
    <row r="471" customFormat="false" ht="15.75" hidden="false" customHeight="false" outlineLevel="0" collapsed="false">
      <c r="N471" s="142"/>
      <c r="X471" s="142"/>
      <c r="Y471" s="142"/>
      <c r="Z471" s="142"/>
      <c r="AA471" s="142"/>
      <c r="AC471" s="142"/>
      <c r="AD471" s="142"/>
      <c r="AE471" s="530"/>
      <c r="AG471" s="543"/>
      <c r="AR471" s="142"/>
    </row>
    <row r="472" customFormat="false" ht="15.75" hidden="false" customHeight="false" outlineLevel="0" collapsed="false">
      <c r="N472" s="142"/>
      <c r="X472" s="142"/>
      <c r="Y472" s="142"/>
      <c r="Z472" s="142"/>
      <c r="AA472" s="142"/>
      <c r="AC472" s="142"/>
      <c r="AD472" s="142"/>
      <c r="AE472" s="530"/>
      <c r="AG472" s="543"/>
      <c r="AR472" s="142"/>
    </row>
    <row r="473" customFormat="false" ht="15.75" hidden="false" customHeight="false" outlineLevel="0" collapsed="false">
      <c r="N473" s="142"/>
      <c r="X473" s="142"/>
      <c r="Y473" s="142"/>
      <c r="Z473" s="142"/>
      <c r="AA473" s="142"/>
      <c r="AC473" s="142"/>
      <c r="AD473" s="142"/>
      <c r="AE473" s="530"/>
      <c r="AG473" s="543"/>
      <c r="AR473" s="142"/>
    </row>
    <row r="474" customFormat="false" ht="15.75" hidden="false" customHeight="false" outlineLevel="0" collapsed="false">
      <c r="N474" s="142"/>
      <c r="X474" s="142"/>
      <c r="Y474" s="142"/>
      <c r="Z474" s="142"/>
      <c r="AA474" s="142"/>
      <c r="AC474" s="142"/>
      <c r="AD474" s="142"/>
      <c r="AE474" s="530"/>
      <c r="AG474" s="543"/>
      <c r="AR474" s="142"/>
    </row>
    <row r="475" customFormat="false" ht="15.75" hidden="false" customHeight="false" outlineLevel="0" collapsed="false">
      <c r="N475" s="142"/>
      <c r="X475" s="142"/>
      <c r="Y475" s="142"/>
      <c r="Z475" s="142"/>
      <c r="AA475" s="142"/>
      <c r="AC475" s="142"/>
      <c r="AD475" s="142"/>
      <c r="AE475" s="530"/>
      <c r="AG475" s="543"/>
      <c r="AR475" s="142"/>
    </row>
    <row r="476" customFormat="false" ht="15.75" hidden="false" customHeight="false" outlineLevel="0" collapsed="false">
      <c r="N476" s="142"/>
      <c r="X476" s="142"/>
      <c r="Y476" s="142"/>
      <c r="Z476" s="142"/>
      <c r="AA476" s="142"/>
      <c r="AC476" s="142"/>
      <c r="AD476" s="142"/>
      <c r="AE476" s="530"/>
      <c r="AG476" s="543"/>
      <c r="AR476" s="142"/>
    </row>
    <row r="477" customFormat="false" ht="15.75" hidden="false" customHeight="false" outlineLevel="0" collapsed="false">
      <c r="N477" s="142"/>
      <c r="X477" s="142"/>
      <c r="Y477" s="142"/>
      <c r="Z477" s="142"/>
      <c r="AA477" s="142"/>
      <c r="AC477" s="142"/>
      <c r="AD477" s="142"/>
      <c r="AE477" s="530"/>
      <c r="AG477" s="543"/>
      <c r="AR477" s="142"/>
    </row>
    <row r="478" customFormat="false" ht="15.75" hidden="false" customHeight="false" outlineLevel="0" collapsed="false">
      <c r="N478" s="142"/>
      <c r="X478" s="142"/>
      <c r="Y478" s="142"/>
      <c r="Z478" s="142"/>
      <c r="AA478" s="142"/>
      <c r="AC478" s="142"/>
      <c r="AD478" s="142"/>
      <c r="AE478" s="530"/>
      <c r="AG478" s="543"/>
      <c r="AR478" s="142"/>
    </row>
    <row r="479" customFormat="false" ht="15.75" hidden="false" customHeight="false" outlineLevel="0" collapsed="false">
      <c r="N479" s="142"/>
      <c r="X479" s="142"/>
      <c r="Y479" s="142"/>
      <c r="Z479" s="142"/>
      <c r="AA479" s="142"/>
      <c r="AC479" s="142"/>
      <c r="AD479" s="142"/>
      <c r="AE479" s="530"/>
      <c r="AG479" s="543"/>
      <c r="AR479" s="142"/>
    </row>
    <row r="480" customFormat="false" ht="15.75" hidden="false" customHeight="false" outlineLevel="0" collapsed="false">
      <c r="N480" s="142"/>
      <c r="X480" s="142"/>
      <c r="Y480" s="142"/>
      <c r="Z480" s="142"/>
      <c r="AA480" s="142"/>
      <c r="AC480" s="142"/>
      <c r="AD480" s="142"/>
      <c r="AE480" s="530"/>
      <c r="AG480" s="543"/>
      <c r="AR480" s="142"/>
    </row>
    <row r="481" customFormat="false" ht="15.75" hidden="false" customHeight="false" outlineLevel="0" collapsed="false">
      <c r="N481" s="142"/>
      <c r="X481" s="142"/>
      <c r="Y481" s="142"/>
      <c r="Z481" s="142"/>
      <c r="AA481" s="142"/>
      <c r="AC481" s="142"/>
      <c r="AD481" s="142"/>
      <c r="AE481" s="530"/>
      <c r="AG481" s="543"/>
      <c r="AR481" s="142"/>
    </row>
    <row r="482" customFormat="false" ht="15.75" hidden="false" customHeight="false" outlineLevel="0" collapsed="false">
      <c r="N482" s="142"/>
      <c r="X482" s="142"/>
      <c r="Y482" s="142"/>
      <c r="Z482" s="142"/>
      <c r="AA482" s="142"/>
      <c r="AC482" s="142"/>
      <c r="AD482" s="142"/>
      <c r="AE482" s="530"/>
      <c r="AG482" s="543"/>
      <c r="AR482" s="142"/>
    </row>
    <row r="483" customFormat="false" ht="15.75" hidden="false" customHeight="false" outlineLevel="0" collapsed="false">
      <c r="N483" s="142"/>
      <c r="X483" s="142"/>
      <c r="Y483" s="142"/>
      <c r="Z483" s="142"/>
      <c r="AA483" s="142"/>
      <c r="AC483" s="142"/>
      <c r="AD483" s="142"/>
      <c r="AE483" s="530"/>
      <c r="AG483" s="543"/>
      <c r="AR483" s="142"/>
    </row>
    <row r="484" customFormat="false" ht="15.75" hidden="false" customHeight="false" outlineLevel="0" collapsed="false">
      <c r="N484" s="142"/>
      <c r="X484" s="142"/>
      <c r="Y484" s="142"/>
      <c r="Z484" s="142"/>
      <c r="AA484" s="142"/>
      <c r="AC484" s="142"/>
      <c r="AD484" s="142"/>
      <c r="AE484" s="530"/>
      <c r="AG484" s="543"/>
      <c r="AR484" s="142"/>
    </row>
    <row r="485" customFormat="false" ht="15.75" hidden="false" customHeight="false" outlineLevel="0" collapsed="false">
      <c r="N485" s="142"/>
      <c r="X485" s="142"/>
      <c r="Y485" s="142"/>
      <c r="Z485" s="142"/>
      <c r="AA485" s="142"/>
      <c r="AC485" s="142"/>
      <c r="AD485" s="142"/>
      <c r="AE485" s="530"/>
      <c r="AG485" s="543"/>
      <c r="AR485" s="142"/>
    </row>
    <row r="486" customFormat="false" ht="15.75" hidden="false" customHeight="false" outlineLevel="0" collapsed="false">
      <c r="N486" s="142"/>
      <c r="X486" s="142"/>
      <c r="Y486" s="142"/>
      <c r="Z486" s="142"/>
      <c r="AA486" s="142"/>
      <c r="AC486" s="142"/>
      <c r="AD486" s="142"/>
      <c r="AE486" s="530"/>
      <c r="AG486" s="543"/>
      <c r="AR486" s="142"/>
    </row>
    <row r="487" customFormat="false" ht="15.75" hidden="false" customHeight="false" outlineLevel="0" collapsed="false">
      <c r="N487" s="142"/>
      <c r="X487" s="142"/>
      <c r="Y487" s="142"/>
      <c r="Z487" s="142"/>
      <c r="AA487" s="142"/>
      <c r="AC487" s="142"/>
      <c r="AD487" s="142"/>
      <c r="AE487" s="530"/>
      <c r="AG487" s="543"/>
      <c r="AR487" s="142"/>
    </row>
    <row r="488" customFormat="false" ht="15.75" hidden="false" customHeight="false" outlineLevel="0" collapsed="false">
      <c r="N488" s="142"/>
      <c r="X488" s="142"/>
      <c r="Y488" s="142"/>
      <c r="Z488" s="142"/>
      <c r="AA488" s="142"/>
      <c r="AC488" s="142"/>
      <c r="AD488" s="142"/>
      <c r="AE488" s="530"/>
      <c r="AG488" s="543"/>
      <c r="AR488" s="142"/>
    </row>
    <row r="489" customFormat="false" ht="15.75" hidden="false" customHeight="false" outlineLevel="0" collapsed="false">
      <c r="N489" s="142"/>
      <c r="X489" s="142"/>
      <c r="Y489" s="142"/>
      <c r="Z489" s="142"/>
      <c r="AA489" s="142"/>
      <c r="AC489" s="142"/>
      <c r="AD489" s="142"/>
      <c r="AE489" s="530"/>
      <c r="AG489" s="543"/>
      <c r="AR489" s="142"/>
    </row>
    <row r="490" customFormat="false" ht="15.75" hidden="false" customHeight="false" outlineLevel="0" collapsed="false">
      <c r="N490" s="142"/>
      <c r="X490" s="142"/>
      <c r="Y490" s="142"/>
      <c r="Z490" s="142"/>
      <c r="AA490" s="142"/>
      <c r="AC490" s="142"/>
      <c r="AD490" s="142"/>
      <c r="AE490" s="530"/>
      <c r="AG490" s="543"/>
      <c r="AR490" s="142"/>
    </row>
    <row r="491" customFormat="false" ht="15.75" hidden="false" customHeight="false" outlineLevel="0" collapsed="false">
      <c r="N491" s="142"/>
      <c r="X491" s="142"/>
      <c r="Y491" s="142"/>
      <c r="Z491" s="142"/>
      <c r="AA491" s="142"/>
      <c r="AC491" s="142"/>
      <c r="AD491" s="142"/>
      <c r="AE491" s="530"/>
      <c r="AG491" s="543"/>
      <c r="AR491" s="142"/>
    </row>
    <row r="492" customFormat="false" ht="15.75" hidden="false" customHeight="false" outlineLevel="0" collapsed="false">
      <c r="N492" s="142"/>
      <c r="X492" s="142"/>
      <c r="Y492" s="142"/>
      <c r="Z492" s="142"/>
      <c r="AA492" s="142"/>
      <c r="AC492" s="142"/>
      <c r="AD492" s="142"/>
      <c r="AE492" s="530"/>
      <c r="AG492" s="543"/>
      <c r="AR492" s="142"/>
    </row>
    <row r="493" customFormat="false" ht="15.75" hidden="false" customHeight="false" outlineLevel="0" collapsed="false">
      <c r="N493" s="142"/>
      <c r="X493" s="142"/>
      <c r="Y493" s="142"/>
      <c r="Z493" s="142"/>
      <c r="AA493" s="142"/>
      <c r="AC493" s="142"/>
      <c r="AD493" s="142"/>
      <c r="AE493" s="530"/>
      <c r="AG493" s="543"/>
      <c r="AR493" s="142"/>
    </row>
    <row r="494" customFormat="false" ht="15.75" hidden="false" customHeight="false" outlineLevel="0" collapsed="false">
      <c r="N494" s="142"/>
      <c r="X494" s="142"/>
      <c r="Y494" s="142"/>
      <c r="Z494" s="142"/>
      <c r="AA494" s="142"/>
      <c r="AC494" s="142"/>
      <c r="AD494" s="142"/>
      <c r="AE494" s="530"/>
      <c r="AG494" s="543"/>
      <c r="AR494" s="142"/>
    </row>
    <row r="495" customFormat="false" ht="15.75" hidden="false" customHeight="false" outlineLevel="0" collapsed="false">
      <c r="N495" s="142"/>
      <c r="X495" s="142"/>
      <c r="Y495" s="142"/>
      <c r="Z495" s="142"/>
      <c r="AA495" s="142"/>
      <c r="AC495" s="142"/>
      <c r="AD495" s="142"/>
      <c r="AE495" s="530"/>
      <c r="AG495" s="543"/>
      <c r="AR495" s="142"/>
    </row>
    <row r="496" customFormat="false" ht="15.75" hidden="false" customHeight="false" outlineLevel="0" collapsed="false">
      <c r="N496" s="142"/>
      <c r="X496" s="142"/>
      <c r="Y496" s="142"/>
      <c r="Z496" s="142"/>
      <c r="AA496" s="142"/>
      <c r="AC496" s="142"/>
      <c r="AD496" s="142"/>
      <c r="AE496" s="530"/>
      <c r="AG496" s="543"/>
      <c r="AR496" s="142"/>
    </row>
    <row r="497" customFormat="false" ht="15.75" hidden="false" customHeight="false" outlineLevel="0" collapsed="false">
      <c r="N497" s="142"/>
      <c r="X497" s="142"/>
      <c r="Y497" s="142"/>
      <c r="Z497" s="142"/>
      <c r="AA497" s="142"/>
      <c r="AC497" s="142"/>
      <c r="AD497" s="142"/>
      <c r="AE497" s="530"/>
      <c r="AG497" s="543"/>
      <c r="AR497" s="142"/>
    </row>
    <row r="498" customFormat="false" ht="15.75" hidden="false" customHeight="false" outlineLevel="0" collapsed="false">
      <c r="N498" s="142"/>
      <c r="X498" s="142"/>
      <c r="Y498" s="142"/>
      <c r="Z498" s="142"/>
      <c r="AA498" s="142"/>
      <c r="AC498" s="142"/>
      <c r="AD498" s="142"/>
      <c r="AE498" s="530"/>
      <c r="AG498" s="543"/>
      <c r="AR498" s="142"/>
    </row>
    <row r="499" customFormat="false" ht="15.75" hidden="false" customHeight="false" outlineLevel="0" collapsed="false">
      <c r="N499" s="142"/>
      <c r="X499" s="142"/>
      <c r="Y499" s="142"/>
      <c r="Z499" s="142"/>
      <c r="AA499" s="142"/>
      <c r="AC499" s="142"/>
      <c r="AD499" s="142"/>
      <c r="AE499" s="530"/>
      <c r="AG499" s="543"/>
      <c r="AR499" s="142"/>
    </row>
    <row r="500" customFormat="false" ht="15.75" hidden="false" customHeight="false" outlineLevel="0" collapsed="false">
      <c r="N500" s="142"/>
      <c r="X500" s="142"/>
      <c r="Y500" s="142"/>
      <c r="Z500" s="142"/>
      <c r="AA500" s="142"/>
      <c r="AC500" s="142"/>
      <c r="AD500" s="142"/>
      <c r="AE500" s="530"/>
      <c r="AG500" s="543"/>
      <c r="AR500" s="142"/>
    </row>
    <row r="501" customFormat="false" ht="15.75" hidden="false" customHeight="false" outlineLevel="0" collapsed="false">
      <c r="N501" s="142"/>
      <c r="X501" s="142"/>
      <c r="Y501" s="142"/>
      <c r="Z501" s="142"/>
      <c r="AA501" s="142"/>
      <c r="AC501" s="142"/>
      <c r="AD501" s="142"/>
      <c r="AE501" s="530"/>
      <c r="AG501" s="543"/>
      <c r="AR501" s="142"/>
    </row>
    <row r="502" customFormat="false" ht="15.75" hidden="false" customHeight="false" outlineLevel="0" collapsed="false">
      <c r="N502" s="142"/>
      <c r="X502" s="142"/>
      <c r="Y502" s="142"/>
      <c r="Z502" s="142"/>
      <c r="AA502" s="142"/>
      <c r="AC502" s="142"/>
      <c r="AD502" s="142"/>
      <c r="AE502" s="530"/>
      <c r="AG502" s="543"/>
      <c r="AR502" s="142"/>
    </row>
    <row r="503" customFormat="false" ht="15.75" hidden="false" customHeight="false" outlineLevel="0" collapsed="false">
      <c r="N503" s="142"/>
      <c r="X503" s="142"/>
      <c r="Y503" s="142"/>
      <c r="Z503" s="142"/>
      <c r="AA503" s="142"/>
      <c r="AC503" s="142"/>
      <c r="AD503" s="142"/>
      <c r="AE503" s="530"/>
      <c r="AG503" s="543"/>
      <c r="AR503" s="142"/>
    </row>
    <row r="504" customFormat="false" ht="15.75" hidden="false" customHeight="false" outlineLevel="0" collapsed="false">
      <c r="N504" s="142"/>
      <c r="X504" s="142"/>
      <c r="Y504" s="142"/>
      <c r="Z504" s="142"/>
      <c r="AA504" s="142"/>
      <c r="AC504" s="142"/>
      <c r="AD504" s="142"/>
      <c r="AE504" s="530"/>
      <c r="AG504" s="543"/>
      <c r="AR504" s="142"/>
    </row>
    <row r="505" customFormat="false" ht="15.75" hidden="false" customHeight="false" outlineLevel="0" collapsed="false">
      <c r="N505" s="142"/>
      <c r="X505" s="142"/>
      <c r="Y505" s="142"/>
      <c r="Z505" s="142"/>
      <c r="AA505" s="142"/>
      <c r="AC505" s="142"/>
      <c r="AD505" s="142"/>
      <c r="AE505" s="530"/>
      <c r="AG505" s="543"/>
      <c r="AR505" s="142"/>
    </row>
    <row r="506" customFormat="false" ht="15.75" hidden="false" customHeight="false" outlineLevel="0" collapsed="false">
      <c r="N506" s="142"/>
      <c r="X506" s="142"/>
      <c r="Y506" s="142"/>
      <c r="Z506" s="142"/>
      <c r="AA506" s="142"/>
      <c r="AC506" s="142"/>
      <c r="AD506" s="142"/>
      <c r="AE506" s="530"/>
      <c r="AG506" s="543"/>
      <c r="AR506" s="142"/>
    </row>
    <row r="507" customFormat="false" ht="15.75" hidden="false" customHeight="false" outlineLevel="0" collapsed="false">
      <c r="N507" s="142"/>
      <c r="X507" s="142"/>
      <c r="Y507" s="142"/>
      <c r="Z507" s="142"/>
      <c r="AA507" s="142"/>
      <c r="AC507" s="142"/>
      <c r="AD507" s="142"/>
      <c r="AE507" s="530"/>
      <c r="AG507" s="543"/>
      <c r="AR507" s="142"/>
    </row>
    <row r="508" customFormat="false" ht="15.75" hidden="false" customHeight="false" outlineLevel="0" collapsed="false">
      <c r="N508" s="142"/>
      <c r="X508" s="142"/>
      <c r="Y508" s="142"/>
      <c r="Z508" s="142"/>
      <c r="AA508" s="142"/>
      <c r="AC508" s="142"/>
      <c r="AD508" s="142"/>
      <c r="AE508" s="530"/>
      <c r="AG508" s="543"/>
      <c r="AR508" s="142"/>
    </row>
    <row r="509" customFormat="false" ht="15.75" hidden="false" customHeight="false" outlineLevel="0" collapsed="false">
      <c r="N509" s="142"/>
      <c r="X509" s="142"/>
      <c r="Y509" s="142"/>
      <c r="Z509" s="142"/>
      <c r="AA509" s="142"/>
      <c r="AC509" s="142"/>
      <c r="AD509" s="142"/>
      <c r="AE509" s="530"/>
      <c r="AG509" s="543"/>
      <c r="AR509" s="142"/>
    </row>
    <row r="510" customFormat="false" ht="15.75" hidden="false" customHeight="false" outlineLevel="0" collapsed="false">
      <c r="N510" s="142"/>
      <c r="X510" s="142"/>
      <c r="Y510" s="142"/>
      <c r="Z510" s="142"/>
      <c r="AA510" s="142"/>
      <c r="AC510" s="142"/>
      <c r="AD510" s="142"/>
      <c r="AE510" s="530"/>
      <c r="AG510" s="543"/>
      <c r="AR510" s="142"/>
    </row>
    <row r="511" customFormat="false" ht="15.75" hidden="false" customHeight="false" outlineLevel="0" collapsed="false">
      <c r="N511" s="142"/>
      <c r="X511" s="142"/>
      <c r="Y511" s="142"/>
      <c r="Z511" s="142"/>
      <c r="AA511" s="142"/>
      <c r="AC511" s="142"/>
      <c r="AD511" s="142"/>
      <c r="AE511" s="530"/>
      <c r="AG511" s="543"/>
      <c r="AR511" s="142"/>
    </row>
    <row r="512" customFormat="false" ht="15.75" hidden="false" customHeight="false" outlineLevel="0" collapsed="false">
      <c r="N512" s="142"/>
      <c r="X512" s="142"/>
      <c r="Y512" s="142"/>
      <c r="Z512" s="142"/>
      <c r="AA512" s="142"/>
      <c r="AC512" s="142"/>
      <c r="AD512" s="142"/>
      <c r="AE512" s="544"/>
      <c r="AG512" s="543"/>
      <c r="AR512" s="142"/>
    </row>
    <row r="513" customFormat="false" ht="15.75" hidden="false" customHeight="false" outlineLevel="0" collapsed="false">
      <c r="N513" s="142"/>
      <c r="X513" s="142"/>
      <c r="Y513" s="142"/>
      <c r="Z513" s="142"/>
      <c r="AA513" s="142"/>
      <c r="AC513" s="142"/>
      <c r="AD513" s="142"/>
      <c r="AE513" s="544"/>
      <c r="AG513" s="543"/>
      <c r="AR513" s="142"/>
    </row>
    <row r="514" customFormat="false" ht="15.75" hidden="false" customHeight="false" outlineLevel="0" collapsed="false">
      <c r="N514" s="142"/>
      <c r="X514" s="142"/>
      <c r="Y514" s="142"/>
      <c r="Z514" s="142"/>
      <c r="AA514" s="142"/>
      <c r="AC514" s="142"/>
      <c r="AD514" s="142"/>
      <c r="AE514" s="544"/>
      <c r="AG514" s="543"/>
      <c r="AR514" s="142"/>
    </row>
    <row r="515" customFormat="false" ht="15.75" hidden="false" customHeight="false" outlineLevel="0" collapsed="false">
      <c r="N515" s="142"/>
      <c r="X515" s="142"/>
      <c r="Y515" s="142"/>
      <c r="Z515" s="142"/>
      <c r="AA515" s="142"/>
      <c r="AC515" s="142"/>
      <c r="AD515" s="142"/>
      <c r="AE515" s="544"/>
      <c r="AG515" s="543"/>
      <c r="AR515" s="142"/>
    </row>
    <row r="516" customFormat="false" ht="15.75" hidden="false" customHeight="false" outlineLevel="0" collapsed="false">
      <c r="N516" s="142"/>
      <c r="X516" s="142"/>
      <c r="Y516" s="142"/>
      <c r="Z516" s="142"/>
      <c r="AA516" s="142"/>
      <c r="AC516" s="142"/>
      <c r="AD516" s="142"/>
      <c r="AE516" s="544"/>
      <c r="AG516" s="543"/>
      <c r="AR516" s="142"/>
    </row>
    <row r="517" customFormat="false" ht="15.75" hidden="false" customHeight="false" outlineLevel="0" collapsed="false">
      <c r="N517" s="142"/>
      <c r="X517" s="142"/>
      <c r="Y517" s="142"/>
      <c r="Z517" s="142"/>
      <c r="AA517" s="142"/>
      <c r="AC517" s="142"/>
      <c r="AD517" s="142"/>
      <c r="AE517" s="544"/>
      <c r="AG517" s="543"/>
      <c r="AR517" s="142"/>
    </row>
    <row r="518" customFormat="false" ht="15.75" hidden="false" customHeight="false" outlineLevel="0" collapsed="false">
      <c r="N518" s="142"/>
      <c r="X518" s="142"/>
      <c r="Y518" s="142"/>
      <c r="Z518" s="142"/>
      <c r="AA518" s="142"/>
      <c r="AC518" s="142"/>
      <c r="AD518" s="142"/>
      <c r="AE518" s="544"/>
      <c r="AG518" s="543"/>
      <c r="AR518" s="142"/>
    </row>
    <row r="519" customFormat="false" ht="15.75" hidden="false" customHeight="false" outlineLevel="0" collapsed="false">
      <c r="N519" s="142"/>
      <c r="X519" s="142"/>
      <c r="Y519" s="142"/>
      <c r="Z519" s="142"/>
      <c r="AA519" s="142"/>
      <c r="AC519" s="142"/>
      <c r="AD519" s="142"/>
      <c r="AE519" s="544"/>
      <c r="AG519" s="543"/>
      <c r="AR519" s="142"/>
    </row>
    <row r="520" customFormat="false" ht="15.75" hidden="false" customHeight="false" outlineLevel="0" collapsed="false">
      <c r="N520" s="142"/>
      <c r="X520" s="142"/>
      <c r="Y520" s="142"/>
      <c r="Z520" s="142"/>
      <c r="AA520" s="142"/>
      <c r="AC520" s="142"/>
      <c r="AD520" s="142"/>
      <c r="AE520" s="544"/>
      <c r="AG520" s="543"/>
      <c r="AR520" s="142"/>
    </row>
    <row r="521" customFormat="false" ht="15.75" hidden="false" customHeight="false" outlineLevel="0" collapsed="false">
      <c r="N521" s="142"/>
      <c r="X521" s="142"/>
      <c r="Y521" s="142"/>
      <c r="Z521" s="142"/>
      <c r="AA521" s="142"/>
      <c r="AC521" s="142"/>
      <c r="AD521" s="142"/>
      <c r="AE521" s="544"/>
      <c r="AG521" s="543"/>
      <c r="AR521" s="142"/>
    </row>
    <row r="522" customFormat="false" ht="15.75" hidden="false" customHeight="false" outlineLevel="0" collapsed="false">
      <c r="N522" s="142"/>
      <c r="X522" s="142"/>
      <c r="Y522" s="142"/>
      <c r="Z522" s="142"/>
      <c r="AA522" s="142"/>
      <c r="AC522" s="142"/>
      <c r="AD522" s="142"/>
      <c r="AE522" s="544"/>
      <c r="AG522" s="543"/>
      <c r="AR522" s="142"/>
    </row>
    <row r="523" customFormat="false" ht="15.75" hidden="false" customHeight="false" outlineLevel="0" collapsed="false">
      <c r="N523" s="142"/>
      <c r="X523" s="142"/>
      <c r="Y523" s="142"/>
      <c r="Z523" s="142"/>
      <c r="AA523" s="142"/>
      <c r="AC523" s="142"/>
      <c r="AD523" s="142"/>
      <c r="AE523" s="544"/>
      <c r="AG523" s="543"/>
      <c r="AR523" s="142"/>
    </row>
    <row r="524" customFormat="false" ht="15.75" hidden="false" customHeight="false" outlineLevel="0" collapsed="false">
      <c r="N524" s="142"/>
      <c r="X524" s="142"/>
      <c r="Y524" s="142"/>
      <c r="Z524" s="142"/>
      <c r="AA524" s="142"/>
      <c r="AC524" s="142"/>
      <c r="AD524" s="142"/>
      <c r="AE524" s="544"/>
      <c r="AG524" s="543"/>
      <c r="AR524" s="142"/>
    </row>
    <row r="525" customFormat="false" ht="15.75" hidden="false" customHeight="false" outlineLevel="0" collapsed="false">
      <c r="N525" s="142"/>
      <c r="X525" s="142"/>
      <c r="Y525" s="142"/>
      <c r="Z525" s="142"/>
      <c r="AA525" s="142"/>
      <c r="AC525" s="142"/>
      <c r="AD525" s="142"/>
      <c r="AE525" s="544"/>
      <c r="AG525" s="543"/>
      <c r="AR525" s="142"/>
    </row>
    <row r="526" customFormat="false" ht="15.75" hidden="false" customHeight="false" outlineLevel="0" collapsed="false">
      <c r="N526" s="142"/>
      <c r="X526" s="142"/>
      <c r="Y526" s="142"/>
      <c r="Z526" s="142"/>
      <c r="AA526" s="142"/>
      <c r="AC526" s="142"/>
      <c r="AD526" s="142"/>
      <c r="AE526" s="544"/>
      <c r="AG526" s="543"/>
      <c r="AR526" s="142"/>
    </row>
    <row r="527" customFormat="false" ht="15.75" hidden="false" customHeight="false" outlineLevel="0" collapsed="false">
      <c r="N527" s="142"/>
      <c r="X527" s="142"/>
      <c r="Y527" s="142"/>
      <c r="Z527" s="142"/>
      <c r="AA527" s="142"/>
      <c r="AC527" s="142"/>
      <c r="AD527" s="142"/>
      <c r="AE527" s="544"/>
      <c r="AG527" s="543"/>
      <c r="AR527" s="142"/>
    </row>
    <row r="528" customFormat="false" ht="15.75" hidden="false" customHeight="false" outlineLevel="0" collapsed="false">
      <c r="N528" s="142"/>
      <c r="X528" s="142"/>
      <c r="Y528" s="142"/>
      <c r="Z528" s="142"/>
      <c r="AA528" s="142"/>
      <c r="AC528" s="142"/>
      <c r="AD528" s="142"/>
      <c r="AE528" s="544"/>
      <c r="AG528" s="543"/>
      <c r="AR528" s="142"/>
    </row>
    <row r="529" customFormat="false" ht="15.75" hidden="false" customHeight="false" outlineLevel="0" collapsed="false">
      <c r="N529" s="142"/>
      <c r="X529" s="142"/>
      <c r="Y529" s="142"/>
      <c r="Z529" s="142"/>
      <c r="AA529" s="142"/>
      <c r="AC529" s="142"/>
      <c r="AD529" s="142"/>
      <c r="AE529" s="544"/>
      <c r="AG529" s="543"/>
      <c r="AR529" s="142"/>
    </row>
    <row r="530" customFormat="false" ht="15.75" hidden="false" customHeight="false" outlineLevel="0" collapsed="false">
      <c r="N530" s="142"/>
      <c r="X530" s="142"/>
      <c r="Y530" s="142"/>
      <c r="Z530" s="142"/>
      <c r="AA530" s="142"/>
      <c r="AC530" s="142"/>
      <c r="AD530" s="142"/>
      <c r="AE530" s="544"/>
      <c r="AG530" s="543"/>
      <c r="AR530" s="142"/>
    </row>
    <row r="531" customFormat="false" ht="15.75" hidden="false" customHeight="false" outlineLevel="0" collapsed="false">
      <c r="N531" s="142"/>
      <c r="X531" s="142"/>
      <c r="Y531" s="142"/>
      <c r="Z531" s="142"/>
      <c r="AA531" s="142"/>
      <c r="AC531" s="142"/>
      <c r="AD531" s="142"/>
      <c r="AE531" s="544"/>
      <c r="AG531" s="543"/>
      <c r="AR531" s="142"/>
    </row>
    <row r="532" customFormat="false" ht="15.75" hidden="false" customHeight="false" outlineLevel="0" collapsed="false">
      <c r="N532" s="142"/>
      <c r="X532" s="142"/>
      <c r="Y532" s="142"/>
      <c r="Z532" s="142"/>
      <c r="AA532" s="142"/>
      <c r="AC532" s="142"/>
      <c r="AD532" s="142"/>
      <c r="AE532" s="544"/>
      <c r="AG532" s="543"/>
      <c r="AR532" s="142"/>
    </row>
    <row r="533" customFormat="false" ht="15.75" hidden="false" customHeight="false" outlineLevel="0" collapsed="false">
      <c r="N533" s="142"/>
      <c r="X533" s="142"/>
      <c r="Y533" s="142"/>
      <c r="Z533" s="142"/>
      <c r="AA533" s="142"/>
      <c r="AC533" s="142"/>
      <c r="AD533" s="142"/>
      <c r="AE533" s="544"/>
      <c r="AG533" s="543"/>
      <c r="AR533" s="142"/>
    </row>
    <row r="534" customFormat="false" ht="15.75" hidden="false" customHeight="false" outlineLevel="0" collapsed="false">
      <c r="N534" s="142"/>
      <c r="X534" s="142"/>
      <c r="Y534" s="142"/>
      <c r="Z534" s="142"/>
      <c r="AA534" s="142"/>
      <c r="AC534" s="142"/>
      <c r="AD534" s="142"/>
      <c r="AE534" s="544"/>
      <c r="AG534" s="543"/>
      <c r="AR534" s="142"/>
    </row>
    <row r="535" customFormat="false" ht="15.75" hidden="false" customHeight="false" outlineLevel="0" collapsed="false">
      <c r="N535" s="142"/>
      <c r="X535" s="142"/>
      <c r="Y535" s="142"/>
      <c r="Z535" s="142"/>
      <c r="AA535" s="142"/>
      <c r="AC535" s="142"/>
      <c r="AD535" s="142"/>
      <c r="AE535" s="544"/>
      <c r="AG535" s="543"/>
      <c r="AR535" s="142"/>
    </row>
    <row r="536" customFormat="false" ht="15.75" hidden="false" customHeight="false" outlineLevel="0" collapsed="false">
      <c r="N536" s="142"/>
      <c r="X536" s="142"/>
      <c r="Y536" s="142"/>
      <c r="Z536" s="142"/>
      <c r="AA536" s="142"/>
      <c r="AC536" s="142"/>
      <c r="AD536" s="142"/>
      <c r="AE536" s="544"/>
      <c r="AG536" s="543"/>
      <c r="AR536" s="142"/>
    </row>
    <row r="537" customFormat="false" ht="15.75" hidden="false" customHeight="false" outlineLevel="0" collapsed="false">
      <c r="N537" s="142"/>
      <c r="X537" s="142"/>
      <c r="Y537" s="142"/>
      <c r="Z537" s="142"/>
      <c r="AA537" s="142"/>
      <c r="AC537" s="142"/>
      <c r="AD537" s="142"/>
      <c r="AE537" s="544"/>
      <c r="AG537" s="543"/>
      <c r="AR537" s="142"/>
    </row>
    <row r="538" customFormat="false" ht="15.75" hidden="false" customHeight="false" outlineLevel="0" collapsed="false">
      <c r="N538" s="142"/>
      <c r="X538" s="142"/>
      <c r="Y538" s="142"/>
      <c r="Z538" s="142"/>
      <c r="AA538" s="142"/>
      <c r="AC538" s="142"/>
      <c r="AD538" s="142"/>
      <c r="AE538" s="544"/>
      <c r="AG538" s="543"/>
      <c r="AR538" s="142"/>
    </row>
    <row r="539" customFormat="false" ht="15.75" hidden="false" customHeight="false" outlineLevel="0" collapsed="false">
      <c r="N539" s="142"/>
      <c r="X539" s="142"/>
      <c r="Y539" s="142"/>
      <c r="Z539" s="142"/>
      <c r="AA539" s="142"/>
      <c r="AC539" s="142"/>
      <c r="AD539" s="142"/>
      <c r="AE539" s="544"/>
      <c r="AG539" s="543"/>
      <c r="AR539" s="142"/>
    </row>
    <row r="540" customFormat="false" ht="15.75" hidden="false" customHeight="false" outlineLevel="0" collapsed="false">
      <c r="N540" s="142"/>
      <c r="X540" s="142"/>
      <c r="Y540" s="142"/>
      <c r="Z540" s="142"/>
      <c r="AA540" s="142"/>
      <c r="AC540" s="142"/>
      <c r="AD540" s="142"/>
      <c r="AE540" s="544"/>
      <c r="AG540" s="543"/>
      <c r="AR540" s="142"/>
    </row>
    <row r="541" customFormat="false" ht="15.75" hidden="false" customHeight="false" outlineLevel="0" collapsed="false">
      <c r="N541" s="142"/>
      <c r="X541" s="142"/>
      <c r="Y541" s="142"/>
      <c r="Z541" s="142"/>
      <c r="AA541" s="142"/>
      <c r="AC541" s="142"/>
      <c r="AD541" s="142"/>
      <c r="AE541" s="544"/>
      <c r="AG541" s="543"/>
      <c r="AR541" s="142"/>
    </row>
    <row r="542" customFormat="false" ht="15.75" hidden="false" customHeight="false" outlineLevel="0" collapsed="false">
      <c r="N542" s="142"/>
      <c r="X542" s="142"/>
      <c r="Y542" s="142"/>
      <c r="Z542" s="142"/>
      <c r="AA542" s="142"/>
      <c r="AC542" s="142"/>
      <c r="AD542" s="142"/>
      <c r="AE542" s="544"/>
      <c r="AG542" s="543"/>
      <c r="AR542" s="142"/>
    </row>
    <row r="543" customFormat="false" ht="15.75" hidden="false" customHeight="false" outlineLevel="0" collapsed="false">
      <c r="N543" s="142"/>
      <c r="X543" s="142"/>
      <c r="Y543" s="142"/>
      <c r="Z543" s="142"/>
      <c r="AA543" s="142"/>
      <c r="AC543" s="142"/>
      <c r="AD543" s="142"/>
      <c r="AE543" s="544"/>
      <c r="AG543" s="543"/>
      <c r="AR543" s="142"/>
    </row>
    <row r="544" customFormat="false" ht="15.75" hidden="false" customHeight="false" outlineLevel="0" collapsed="false">
      <c r="N544" s="142"/>
      <c r="X544" s="142"/>
      <c r="Y544" s="142"/>
      <c r="Z544" s="142"/>
      <c r="AA544" s="142"/>
      <c r="AC544" s="142"/>
      <c r="AD544" s="142"/>
      <c r="AE544" s="544"/>
      <c r="AG544" s="543"/>
      <c r="AR544" s="142"/>
    </row>
    <row r="545" customFormat="false" ht="15.75" hidden="false" customHeight="false" outlineLevel="0" collapsed="false">
      <c r="N545" s="142"/>
      <c r="X545" s="142"/>
      <c r="Y545" s="142"/>
      <c r="Z545" s="142"/>
      <c r="AA545" s="142"/>
      <c r="AC545" s="142"/>
      <c r="AD545" s="142"/>
      <c r="AE545" s="544"/>
      <c r="AG545" s="543"/>
      <c r="AR545" s="142"/>
    </row>
    <row r="546" customFormat="false" ht="15.75" hidden="false" customHeight="false" outlineLevel="0" collapsed="false">
      <c r="N546" s="142"/>
      <c r="X546" s="142"/>
      <c r="Y546" s="142"/>
      <c r="Z546" s="142"/>
      <c r="AA546" s="142"/>
      <c r="AC546" s="142"/>
      <c r="AD546" s="142"/>
      <c r="AE546" s="544"/>
      <c r="AG546" s="543"/>
      <c r="AR546" s="142"/>
    </row>
    <row r="547" customFormat="false" ht="15.75" hidden="false" customHeight="false" outlineLevel="0" collapsed="false">
      <c r="N547" s="142"/>
      <c r="X547" s="142"/>
      <c r="Y547" s="142"/>
      <c r="Z547" s="142"/>
      <c r="AA547" s="142"/>
      <c r="AC547" s="142"/>
      <c r="AD547" s="142"/>
      <c r="AE547" s="544"/>
      <c r="AG547" s="543"/>
      <c r="AR547" s="142"/>
    </row>
    <row r="548" customFormat="false" ht="15.75" hidden="false" customHeight="false" outlineLevel="0" collapsed="false">
      <c r="N548" s="142"/>
      <c r="X548" s="142"/>
      <c r="Y548" s="142"/>
      <c r="Z548" s="142"/>
      <c r="AA548" s="142"/>
      <c r="AC548" s="142"/>
      <c r="AD548" s="142"/>
      <c r="AE548" s="544"/>
      <c r="AG548" s="543"/>
      <c r="AR548" s="142"/>
    </row>
    <row r="549" customFormat="false" ht="15.75" hidden="false" customHeight="false" outlineLevel="0" collapsed="false">
      <c r="N549" s="142"/>
      <c r="X549" s="142"/>
      <c r="Y549" s="142"/>
      <c r="Z549" s="142"/>
      <c r="AA549" s="142"/>
      <c r="AC549" s="142"/>
      <c r="AD549" s="142"/>
      <c r="AE549" s="544"/>
      <c r="AG549" s="543"/>
      <c r="AR549" s="142"/>
    </row>
    <row r="550" customFormat="false" ht="15.75" hidden="false" customHeight="false" outlineLevel="0" collapsed="false">
      <c r="N550" s="142"/>
      <c r="X550" s="142"/>
      <c r="Y550" s="142"/>
      <c r="Z550" s="142"/>
      <c r="AA550" s="142"/>
      <c r="AC550" s="142"/>
      <c r="AD550" s="142"/>
      <c r="AE550" s="544"/>
      <c r="AG550" s="543"/>
      <c r="AR550" s="142"/>
    </row>
    <row r="551" customFormat="false" ht="15.75" hidden="false" customHeight="false" outlineLevel="0" collapsed="false">
      <c r="N551" s="142"/>
      <c r="X551" s="142"/>
      <c r="Y551" s="142"/>
      <c r="Z551" s="142"/>
      <c r="AA551" s="142"/>
      <c r="AC551" s="142"/>
      <c r="AD551" s="142"/>
      <c r="AE551" s="544"/>
      <c r="AG551" s="543"/>
      <c r="AR551" s="142"/>
    </row>
    <row r="552" customFormat="false" ht="15.75" hidden="false" customHeight="false" outlineLevel="0" collapsed="false">
      <c r="N552" s="142"/>
      <c r="X552" s="142"/>
      <c r="Y552" s="142"/>
      <c r="Z552" s="142"/>
      <c r="AA552" s="142"/>
      <c r="AC552" s="142"/>
      <c r="AD552" s="142"/>
      <c r="AE552" s="544"/>
      <c r="AG552" s="543"/>
      <c r="AR552" s="142"/>
    </row>
    <row r="553" customFormat="false" ht="15.75" hidden="false" customHeight="false" outlineLevel="0" collapsed="false">
      <c r="N553" s="142"/>
      <c r="X553" s="142"/>
      <c r="Y553" s="142"/>
      <c r="Z553" s="142"/>
      <c r="AA553" s="142"/>
      <c r="AC553" s="142"/>
      <c r="AD553" s="142"/>
      <c r="AE553" s="544"/>
      <c r="AG553" s="543"/>
      <c r="AR553" s="142"/>
    </row>
    <row r="554" customFormat="false" ht="15.75" hidden="false" customHeight="false" outlineLevel="0" collapsed="false">
      <c r="N554" s="142"/>
      <c r="X554" s="142"/>
      <c r="Y554" s="142"/>
      <c r="Z554" s="142"/>
      <c r="AA554" s="142"/>
      <c r="AC554" s="142"/>
      <c r="AD554" s="142"/>
      <c r="AE554" s="544"/>
      <c r="AG554" s="543"/>
      <c r="AR554" s="142"/>
    </row>
    <row r="555" customFormat="false" ht="15.75" hidden="false" customHeight="false" outlineLevel="0" collapsed="false">
      <c r="N555" s="142"/>
      <c r="X555" s="142"/>
      <c r="Y555" s="142"/>
      <c r="Z555" s="142"/>
      <c r="AA555" s="142"/>
      <c r="AC555" s="142"/>
      <c r="AD555" s="142"/>
      <c r="AE555" s="544"/>
      <c r="AG555" s="543"/>
      <c r="AR555" s="142"/>
    </row>
    <row r="556" customFormat="false" ht="15.75" hidden="false" customHeight="false" outlineLevel="0" collapsed="false">
      <c r="N556" s="142"/>
      <c r="X556" s="142"/>
      <c r="Y556" s="142"/>
      <c r="Z556" s="142"/>
      <c r="AA556" s="142"/>
      <c r="AC556" s="142"/>
      <c r="AD556" s="142"/>
      <c r="AE556" s="544"/>
      <c r="AG556" s="543"/>
      <c r="AR556" s="142"/>
    </row>
    <row r="557" customFormat="false" ht="15.75" hidden="false" customHeight="false" outlineLevel="0" collapsed="false">
      <c r="N557" s="142"/>
      <c r="X557" s="142"/>
      <c r="Y557" s="142"/>
      <c r="Z557" s="142"/>
      <c r="AA557" s="142"/>
      <c r="AC557" s="142"/>
      <c r="AD557" s="142"/>
      <c r="AE557" s="544"/>
      <c r="AG557" s="543"/>
      <c r="AR557" s="142"/>
    </row>
    <row r="558" customFormat="false" ht="15.75" hidden="false" customHeight="false" outlineLevel="0" collapsed="false">
      <c r="N558" s="142"/>
      <c r="X558" s="142"/>
      <c r="Y558" s="142"/>
      <c r="Z558" s="142"/>
      <c r="AA558" s="142"/>
      <c r="AC558" s="142"/>
      <c r="AD558" s="142"/>
      <c r="AE558" s="544"/>
      <c r="AG558" s="543"/>
      <c r="AR558" s="142"/>
    </row>
    <row r="559" customFormat="false" ht="15.75" hidden="false" customHeight="false" outlineLevel="0" collapsed="false">
      <c r="N559" s="142"/>
      <c r="X559" s="142"/>
      <c r="Y559" s="142"/>
      <c r="Z559" s="142"/>
      <c r="AA559" s="142"/>
      <c r="AC559" s="142"/>
      <c r="AD559" s="142"/>
      <c r="AE559" s="544"/>
      <c r="AG559" s="543"/>
      <c r="AR559" s="142"/>
    </row>
    <row r="560" customFormat="false" ht="15.75" hidden="false" customHeight="false" outlineLevel="0" collapsed="false">
      <c r="N560" s="142"/>
      <c r="X560" s="142"/>
      <c r="Y560" s="142"/>
      <c r="Z560" s="142"/>
      <c r="AA560" s="142"/>
      <c r="AC560" s="142"/>
      <c r="AD560" s="142"/>
      <c r="AE560" s="544"/>
      <c r="AG560" s="543"/>
      <c r="AR560" s="142"/>
    </row>
    <row r="561" customFormat="false" ht="15.75" hidden="false" customHeight="false" outlineLevel="0" collapsed="false">
      <c r="N561" s="142"/>
      <c r="X561" s="142"/>
      <c r="Y561" s="142"/>
      <c r="Z561" s="142"/>
      <c r="AA561" s="142"/>
      <c r="AC561" s="142"/>
      <c r="AD561" s="142"/>
      <c r="AE561" s="544"/>
      <c r="AG561" s="543"/>
      <c r="AR561" s="142"/>
    </row>
    <row r="562" customFormat="false" ht="15.75" hidden="false" customHeight="false" outlineLevel="0" collapsed="false">
      <c r="N562" s="142"/>
      <c r="X562" s="142"/>
      <c r="Y562" s="142"/>
      <c r="Z562" s="142"/>
      <c r="AA562" s="142"/>
      <c r="AC562" s="142"/>
      <c r="AD562" s="142"/>
      <c r="AE562" s="544"/>
      <c r="AG562" s="543"/>
      <c r="AR562" s="142"/>
    </row>
    <row r="563" customFormat="false" ht="15.75" hidden="false" customHeight="false" outlineLevel="0" collapsed="false">
      <c r="N563" s="142"/>
      <c r="X563" s="142"/>
      <c r="Y563" s="142"/>
      <c r="Z563" s="142"/>
      <c r="AA563" s="142"/>
      <c r="AC563" s="142"/>
      <c r="AD563" s="142"/>
      <c r="AE563" s="544"/>
      <c r="AG563" s="543"/>
      <c r="AR563" s="142"/>
    </row>
    <row r="564" customFormat="false" ht="15.75" hidden="false" customHeight="false" outlineLevel="0" collapsed="false">
      <c r="N564" s="142"/>
      <c r="X564" s="142"/>
      <c r="Y564" s="142"/>
      <c r="Z564" s="142"/>
      <c r="AA564" s="142"/>
      <c r="AC564" s="142"/>
      <c r="AD564" s="142"/>
      <c r="AE564" s="544"/>
      <c r="AG564" s="543"/>
      <c r="AR564" s="142"/>
    </row>
    <row r="565" customFormat="false" ht="15.75" hidden="false" customHeight="false" outlineLevel="0" collapsed="false">
      <c r="N565" s="142"/>
      <c r="X565" s="142"/>
      <c r="Y565" s="142"/>
      <c r="Z565" s="142"/>
      <c r="AA565" s="142"/>
      <c r="AC565" s="142"/>
      <c r="AD565" s="142"/>
      <c r="AE565" s="544"/>
      <c r="AG565" s="543"/>
      <c r="AR565" s="142"/>
    </row>
    <row r="566" customFormat="false" ht="15.75" hidden="false" customHeight="false" outlineLevel="0" collapsed="false">
      <c r="N566" s="142"/>
      <c r="X566" s="142"/>
      <c r="Y566" s="142"/>
      <c r="Z566" s="142"/>
      <c r="AA566" s="142"/>
      <c r="AC566" s="142"/>
      <c r="AD566" s="142"/>
      <c r="AE566" s="544"/>
      <c r="AG566" s="543"/>
      <c r="AR566" s="142"/>
    </row>
    <row r="567" customFormat="false" ht="15.75" hidden="false" customHeight="false" outlineLevel="0" collapsed="false">
      <c r="N567" s="142"/>
      <c r="X567" s="142"/>
      <c r="Y567" s="142"/>
      <c r="Z567" s="142"/>
      <c r="AA567" s="142"/>
      <c r="AC567" s="142"/>
      <c r="AD567" s="142"/>
      <c r="AE567" s="544"/>
      <c r="AG567" s="543"/>
      <c r="AR567" s="142"/>
    </row>
    <row r="568" customFormat="false" ht="15.75" hidden="false" customHeight="false" outlineLevel="0" collapsed="false">
      <c r="N568" s="142"/>
      <c r="X568" s="142"/>
      <c r="Y568" s="142"/>
      <c r="Z568" s="142"/>
      <c r="AA568" s="142"/>
      <c r="AC568" s="142"/>
      <c r="AD568" s="142"/>
      <c r="AE568" s="544"/>
      <c r="AG568" s="543"/>
      <c r="AR568" s="142"/>
    </row>
    <row r="569" customFormat="false" ht="15.75" hidden="false" customHeight="false" outlineLevel="0" collapsed="false">
      <c r="N569" s="142"/>
      <c r="X569" s="142"/>
      <c r="Y569" s="142"/>
      <c r="Z569" s="142"/>
      <c r="AA569" s="142"/>
      <c r="AC569" s="142"/>
      <c r="AD569" s="142"/>
      <c r="AE569" s="544"/>
      <c r="AG569" s="543"/>
      <c r="AR569" s="142"/>
    </row>
    <row r="570" customFormat="false" ht="15.75" hidden="false" customHeight="false" outlineLevel="0" collapsed="false">
      <c r="N570" s="142"/>
      <c r="X570" s="142"/>
      <c r="Y570" s="142"/>
      <c r="Z570" s="142"/>
      <c r="AA570" s="142"/>
      <c r="AC570" s="142"/>
      <c r="AD570" s="142"/>
      <c r="AE570" s="544"/>
      <c r="AG570" s="543"/>
      <c r="AR570" s="142"/>
    </row>
    <row r="571" customFormat="false" ht="15.75" hidden="false" customHeight="false" outlineLevel="0" collapsed="false">
      <c r="N571" s="142"/>
      <c r="X571" s="142"/>
      <c r="Y571" s="142"/>
      <c r="Z571" s="142"/>
      <c r="AA571" s="142"/>
      <c r="AC571" s="142"/>
      <c r="AD571" s="142"/>
      <c r="AE571" s="544"/>
      <c r="AG571" s="543"/>
      <c r="AR571" s="142"/>
    </row>
    <row r="572" customFormat="false" ht="15.75" hidden="false" customHeight="false" outlineLevel="0" collapsed="false">
      <c r="N572" s="142"/>
      <c r="X572" s="142"/>
      <c r="Y572" s="142"/>
      <c r="Z572" s="142"/>
      <c r="AA572" s="142"/>
      <c r="AC572" s="142"/>
      <c r="AD572" s="142"/>
      <c r="AE572" s="544"/>
      <c r="AG572" s="543"/>
      <c r="AR572" s="142"/>
    </row>
    <row r="573" customFormat="false" ht="15.75" hidden="false" customHeight="false" outlineLevel="0" collapsed="false">
      <c r="N573" s="142"/>
      <c r="X573" s="142"/>
      <c r="Y573" s="142"/>
      <c r="Z573" s="142"/>
      <c r="AA573" s="142"/>
      <c r="AC573" s="142"/>
      <c r="AD573" s="142"/>
      <c r="AE573" s="544"/>
      <c r="AG573" s="543"/>
      <c r="AR573" s="142"/>
    </row>
    <row r="574" customFormat="false" ht="15.75" hidden="false" customHeight="false" outlineLevel="0" collapsed="false">
      <c r="N574" s="142"/>
      <c r="X574" s="142"/>
      <c r="Y574" s="142"/>
      <c r="Z574" s="142"/>
      <c r="AA574" s="142"/>
      <c r="AC574" s="142"/>
      <c r="AD574" s="142"/>
      <c r="AE574" s="544"/>
      <c r="AG574" s="543"/>
      <c r="AR574" s="142"/>
    </row>
    <row r="575" customFormat="false" ht="15.75" hidden="false" customHeight="false" outlineLevel="0" collapsed="false">
      <c r="N575" s="142"/>
      <c r="X575" s="142"/>
      <c r="Y575" s="142"/>
      <c r="Z575" s="142"/>
      <c r="AA575" s="142"/>
      <c r="AC575" s="142"/>
      <c r="AD575" s="142"/>
      <c r="AE575" s="544"/>
      <c r="AG575" s="543"/>
      <c r="AR575" s="142"/>
    </row>
    <row r="576" customFormat="false" ht="15.75" hidden="false" customHeight="false" outlineLevel="0" collapsed="false">
      <c r="N576" s="142"/>
      <c r="X576" s="142"/>
      <c r="Y576" s="142"/>
      <c r="Z576" s="142"/>
      <c r="AA576" s="142"/>
      <c r="AC576" s="142"/>
      <c r="AD576" s="142"/>
      <c r="AE576" s="544"/>
      <c r="AG576" s="543"/>
      <c r="AR576" s="142"/>
    </row>
    <row r="577" customFormat="false" ht="15.75" hidden="false" customHeight="false" outlineLevel="0" collapsed="false">
      <c r="N577" s="142"/>
      <c r="X577" s="142"/>
      <c r="Y577" s="142"/>
      <c r="Z577" s="142"/>
      <c r="AA577" s="142"/>
      <c r="AC577" s="142"/>
      <c r="AD577" s="142"/>
      <c r="AE577" s="544"/>
      <c r="AG577" s="543"/>
      <c r="AR577" s="142"/>
    </row>
    <row r="578" customFormat="false" ht="15.75" hidden="false" customHeight="false" outlineLevel="0" collapsed="false">
      <c r="N578" s="142"/>
      <c r="X578" s="142"/>
      <c r="Y578" s="142"/>
      <c r="Z578" s="142"/>
      <c r="AA578" s="142"/>
      <c r="AC578" s="142"/>
      <c r="AD578" s="142"/>
      <c r="AE578" s="544"/>
      <c r="AG578" s="543"/>
      <c r="AR578" s="142"/>
    </row>
    <row r="579" customFormat="false" ht="15.75" hidden="false" customHeight="false" outlineLevel="0" collapsed="false">
      <c r="N579" s="142"/>
      <c r="X579" s="142"/>
      <c r="Y579" s="142"/>
      <c r="Z579" s="142"/>
      <c r="AA579" s="142"/>
      <c r="AC579" s="142"/>
      <c r="AD579" s="142"/>
      <c r="AE579" s="544"/>
      <c r="AG579" s="543"/>
      <c r="AR579" s="142"/>
    </row>
    <row r="580" customFormat="false" ht="15.75" hidden="false" customHeight="false" outlineLevel="0" collapsed="false">
      <c r="N580" s="142"/>
      <c r="X580" s="142"/>
      <c r="Y580" s="142"/>
      <c r="Z580" s="142"/>
      <c r="AA580" s="142"/>
      <c r="AC580" s="142"/>
      <c r="AD580" s="142"/>
      <c r="AE580" s="544"/>
      <c r="AG580" s="543"/>
      <c r="AR580" s="142"/>
    </row>
    <row r="581" customFormat="false" ht="15.75" hidden="false" customHeight="false" outlineLevel="0" collapsed="false">
      <c r="N581" s="142"/>
      <c r="X581" s="142"/>
      <c r="Y581" s="142"/>
      <c r="Z581" s="142"/>
      <c r="AA581" s="142"/>
      <c r="AC581" s="142"/>
      <c r="AD581" s="142"/>
      <c r="AE581" s="544"/>
      <c r="AG581" s="543"/>
      <c r="AR581" s="142"/>
    </row>
    <row r="582" customFormat="false" ht="15.75" hidden="false" customHeight="false" outlineLevel="0" collapsed="false">
      <c r="N582" s="142"/>
      <c r="X582" s="142"/>
      <c r="Y582" s="142"/>
      <c r="Z582" s="142"/>
      <c r="AA582" s="142"/>
      <c r="AC582" s="142"/>
      <c r="AD582" s="142"/>
      <c r="AE582" s="544"/>
      <c r="AG582" s="543"/>
      <c r="AR582" s="142"/>
    </row>
    <row r="583" customFormat="false" ht="15.75" hidden="false" customHeight="false" outlineLevel="0" collapsed="false">
      <c r="N583" s="142"/>
      <c r="X583" s="142"/>
      <c r="Y583" s="142"/>
      <c r="Z583" s="142"/>
      <c r="AA583" s="142"/>
      <c r="AC583" s="142"/>
      <c r="AD583" s="142"/>
      <c r="AE583" s="544"/>
      <c r="AG583" s="543"/>
      <c r="AR583" s="142"/>
    </row>
    <row r="584" customFormat="false" ht="15.75" hidden="false" customHeight="false" outlineLevel="0" collapsed="false">
      <c r="N584" s="142"/>
      <c r="X584" s="142"/>
      <c r="Y584" s="142"/>
      <c r="Z584" s="142"/>
      <c r="AA584" s="142"/>
      <c r="AC584" s="142"/>
      <c r="AD584" s="142"/>
      <c r="AE584" s="544"/>
      <c r="AG584" s="543"/>
      <c r="AR584" s="142"/>
    </row>
    <row r="585" customFormat="false" ht="15.75" hidden="false" customHeight="false" outlineLevel="0" collapsed="false">
      <c r="N585" s="142"/>
      <c r="X585" s="142"/>
      <c r="Y585" s="142"/>
      <c r="Z585" s="142"/>
      <c r="AA585" s="142"/>
      <c r="AC585" s="142"/>
      <c r="AD585" s="142"/>
      <c r="AE585" s="544"/>
      <c r="AG585" s="543"/>
      <c r="AR585" s="142"/>
    </row>
    <row r="586" customFormat="false" ht="15.75" hidden="false" customHeight="false" outlineLevel="0" collapsed="false">
      <c r="N586" s="142"/>
      <c r="X586" s="142"/>
      <c r="Y586" s="142"/>
      <c r="Z586" s="142"/>
      <c r="AA586" s="142"/>
      <c r="AC586" s="142"/>
      <c r="AD586" s="142"/>
      <c r="AE586" s="544"/>
      <c r="AG586" s="543"/>
      <c r="AR586" s="142"/>
    </row>
    <row r="587" customFormat="false" ht="15.75" hidden="false" customHeight="false" outlineLevel="0" collapsed="false">
      <c r="N587" s="142"/>
      <c r="X587" s="142"/>
      <c r="Y587" s="142"/>
      <c r="Z587" s="142"/>
      <c r="AA587" s="142"/>
      <c r="AC587" s="142"/>
      <c r="AD587" s="142"/>
      <c r="AE587" s="544"/>
      <c r="AG587" s="543"/>
      <c r="AR587" s="142"/>
    </row>
    <row r="588" customFormat="false" ht="15.75" hidden="false" customHeight="false" outlineLevel="0" collapsed="false">
      <c r="N588" s="142"/>
      <c r="X588" s="142"/>
      <c r="Y588" s="142"/>
      <c r="Z588" s="142"/>
      <c r="AA588" s="142"/>
      <c r="AC588" s="142"/>
      <c r="AD588" s="142"/>
      <c r="AE588" s="544"/>
      <c r="AG588" s="543"/>
      <c r="AR588" s="142"/>
    </row>
    <row r="589" customFormat="false" ht="15.75" hidden="false" customHeight="false" outlineLevel="0" collapsed="false">
      <c r="N589" s="142"/>
      <c r="X589" s="142"/>
      <c r="Y589" s="142"/>
      <c r="Z589" s="142"/>
      <c r="AA589" s="142"/>
      <c r="AC589" s="142"/>
      <c r="AD589" s="142"/>
      <c r="AE589" s="544"/>
      <c r="AG589" s="543"/>
      <c r="AR589" s="142"/>
    </row>
    <row r="590" customFormat="false" ht="15.75" hidden="false" customHeight="false" outlineLevel="0" collapsed="false">
      <c r="N590" s="142"/>
      <c r="X590" s="142"/>
      <c r="Y590" s="142"/>
      <c r="Z590" s="142"/>
      <c r="AA590" s="142"/>
      <c r="AC590" s="142"/>
      <c r="AD590" s="142"/>
      <c r="AE590" s="544"/>
      <c r="AG590" s="543"/>
      <c r="AR590" s="142"/>
    </row>
    <row r="591" customFormat="false" ht="15.75" hidden="false" customHeight="false" outlineLevel="0" collapsed="false">
      <c r="N591" s="142"/>
      <c r="X591" s="142"/>
      <c r="Y591" s="142"/>
      <c r="Z591" s="142"/>
      <c r="AA591" s="142"/>
      <c r="AC591" s="142"/>
      <c r="AD591" s="142"/>
      <c r="AE591" s="544"/>
      <c r="AG591" s="543"/>
      <c r="AR591" s="142"/>
    </row>
    <row r="592" customFormat="false" ht="15.75" hidden="false" customHeight="false" outlineLevel="0" collapsed="false">
      <c r="N592" s="142"/>
      <c r="X592" s="142"/>
      <c r="Y592" s="142"/>
      <c r="Z592" s="142"/>
      <c r="AA592" s="142"/>
      <c r="AC592" s="142"/>
      <c r="AD592" s="142"/>
      <c r="AE592" s="544"/>
      <c r="AG592" s="543"/>
      <c r="AR592" s="142"/>
    </row>
    <row r="593" customFormat="false" ht="15.75" hidden="false" customHeight="false" outlineLevel="0" collapsed="false">
      <c r="N593" s="142"/>
      <c r="X593" s="142"/>
      <c r="Y593" s="142"/>
      <c r="Z593" s="142"/>
      <c r="AA593" s="142"/>
      <c r="AC593" s="142"/>
      <c r="AD593" s="142"/>
      <c r="AE593" s="544"/>
      <c r="AG593" s="543"/>
      <c r="AR593" s="142"/>
    </row>
    <row r="594" customFormat="false" ht="15.75" hidden="false" customHeight="false" outlineLevel="0" collapsed="false">
      <c r="N594" s="142"/>
      <c r="X594" s="142"/>
      <c r="Y594" s="142"/>
      <c r="Z594" s="142"/>
      <c r="AA594" s="142"/>
      <c r="AC594" s="142"/>
      <c r="AD594" s="142"/>
      <c r="AE594" s="544"/>
      <c r="AG594" s="543"/>
      <c r="AR594" s="142"/>
    </row>
    <row r="595" customFormat="false" ht="15.75" hidden="false" customHeight="false" outlineLevel="0" collapsed="false">
      <c r="N595" s="142"/>
      <c r="X595" s="142"/>
      <c r="Y595" s="142"/>
      <c r="Z595" s="142"/>
      <c r="AA595" s="142"/>
      <c r="AC595" s="142"/>
      <c r="AD595" s="142"/>
      <c r="AE595" s="544"/>
      <c r="AG595" s="543"/>
      <c r="AR595" s="142"/>
    </row>
    <row r="596" customFormat="false" ht="15.75" hidden="false" customHeight="false" outlineLevel="0" collapsed="false">
      <c r="N596" s="142"/>
      <c r="X596" s="142"/>
      <c r="Y596" s="142"/>
      <c r="Z596" s="142"/>
      <c r="AA596" s="142"/>
      <c r="AC596" s="142"/>
      <c r="AD596" s="142"/>
      <c r="AE596" s="544"/>
      <c r="AG596" s="543"/>
      <c r="AR596" s="142"/>
    </row>
    <row r="597" customFormat="false" ht="15.75" hidden="false" customHeight="false" outlineLevel="0" collapsed="false">
      <c r="N597" s="142"/>
      <c r="X597" s="142"/>
      <c r="Y597" s="142"/>
      <c r="Z597" s="142"/>
      <c r="AA597" s="142"/>
      <c r="AC597" s="142"/>
      <c r="AD597" s="142"/>
      <c r="AE597" s="544"/>
      <c r="AG597" s="543"/>
      <c r="AR597" s="142"/>
    </row>
    <row r="598" customFormat="false" ht="15.75" hidden="false" customHeight="false" outlineLevel="0" collapsed="false">
      <c r="N598" s="142"/>
      <c r="X598" s="142"/>
      <c r="Y598" s="142"/>
      <c r="Z598" s="142"/>
      <c r="AA598" s="142"/>
      <c r="AC598" s="142"/>
      <c r="AD598" s="142"/>
      <c r="AE598" s="544"/>
      <c r="AG598" s="543"/>
      <c r="AR598" s="142"/>
    </row>
    <row r="599" customFormat="false" ht="15.75" hidden="false" customHeight="false" outlineLevel="0" collapsed="false">
      <c r="N599" s="142"/>
      <c r="X599" s="142"/>
      <c r="Y599" s="142"/>
      <c r="Z599" s="142"/>
      <c r="AA599" s="142"/>
      <c r="AC599" s="142"/>
      <c r="AD599" s="142"/>
      <c r="AE599" s="544"/>
      <c r="AG599" s="543"/>
      <c r="AR599" s="142"/>
    </row>
    <row r="600" customFormat="false" ht="15.75" hidden="false" customHeight="false" outlineLevel="0" collapsed="false">
      <c r="N600" s="142"/>
      <c r="X600" s="142"/>
      <c r="Y600" s="142"/>
      <c r="Z600" s="142"/>
      <c r="AA600" s="142"/>
      <c r="AC600" s="142"/>
      <c r="AD600" s="142"/>
      <c r="AE600" s="544"/>
      <c r="AG600" s="543"/>
      <c r="AR600" s="142"/>
    </row>
    <row r="601" customFormat="false" ht="15.75" hidden="false" customHeight="false" outlineLevel="0" collapsed="false">
      <c r="N601" s="142"/>
      <c r="X601" s="142"/>
      <c r="Y601" s="142"/>
      <c r="Z601" s="142"/>
      <c r="AA601" s="142"/>
      <c r="AC601" s="142"/>
      <c r="AD601" s="142"/>
      <c r="AE601" s="544"/>
      <c r="AG601" s="543"/>
      <c r="AR601" s="142"/>
    </row>
    <row r="602" customFormat="false" ht="15.75" hidden="false" customHeight="false" outlineLevel="0" collapsed="false">
      <c r="N602" s="142"/>
      <c r="X602" s="142"/>
      <c r="Y602" s="142"/>
      <c r="Z602" s="142"/>
      <c r="AA602" s="142"/>
      <c r="AC602" s="142"/>
      <c r="AD602" s="142"/>
      <c r="AE602" s="544"/>
      <c r="AG602" s="543"/>
      <c r="AR602" s="142"/>
    </row>
    <row r="603" customFormat="false" ht="15.75" hidden="false" customHeight="false" outlineLevel="0" collapsed="false">
      <c r="N603" s="142"/>
      <c r="X603" s="142"/>
      <c r="Y603" s="142"/>
      <c r="Z603" s="142"/>
      <c r="AA603" s="142"/>
      <c r="AC603" s="142"/>
      <c r="AD603" s="142"/>
      <c r="AE603" s="544"/>
      <c r="AG603" s="543"/>
      <c r="AR603" s="142"/>
    </row>
    <row r="604" customFormat="false" ht="15.75" hidden="false" customHeight="false" outlineLevel="0" collapsed="false">
      <c r="N604" s="142"/>
      <c r="X604" s="142"/>
      <c r="Y604" s="142"/>
      <c r="Z604" s="142"/>
      <c r="AA604" s="142"/>
      <c r="AC604" s="142"/>
      <c r="AD604" s="142"/>
      <c r="AE604" s="544"/>
      <c r="AG604" s="543"/>
      <c r="AR604" s="142"/>
    </row>
    <row r="605" customFormat="false" ht="15.75" hidden="false" customHeight="false" outlineLevel="0" collapsed="false">
      <c r="N605" s="142"/>
      <c r="X605" s="142"/>
      <c r="Y605" s="142"/>
      <c r="Z605" s="142"/>
      <c r="AA605" s="142"/>
      <c r="AC605" s="142"/>
      <c r="AD605" s="142"/>
      <c r="AE605" s="544"/>
      <c r="AG605" s="543"/>
      <c r="AR605" s="142"/>
    </row>
    <row r="606" customFormat="false" ht="15.75" hidden="false" customHeight="false" outlineLevel="0" collapsed="false">
      <c r="N606" s="142"/>
      <c r="X606" s="142"/>
      <c r="Y606" s="142"/>
      <c r="Z606" s="142"/>
      <c r="AA606" s="142"/>
      <c r="AC606" s="142"/>
      <c r="AD606" s="142"/>
      <c r="AE606" s="544"/>
      <c r="AG606" s="543"/>
      <c r="AR606" s="142"/>
    </row>
    <row r="607" customFormat="false" ht="15.75" hidden="false" customHeight="false" outlineLevel="0" collapsed="false">
      <c r="N607" s="142"/>
      <c r="X607" s="142"/>
      <c r="Y607" s="142"/>
      <c r="Z607" s="142"/>
      <c r="AA607" s="142"/>
      <c r="AC607" s="142"/>
      <c r="AD607" s="142"/>
      <c r="AE607" s="544"/>
      <c r="AG607" s="543"/>
      <c r="AR607" s="142"/>
    </row>
    <row r="608" customFormat="false" ht="15.75" hidden="false" customHeight="false" outlineLevel="0" collapsed="false">
      <c r="N608" s="142"/>
      <c r="X608" s="142"/>
      <c r="Y608" s="142"/>
      <c r="Z608" s="142"/>
      <c r="AA608" s="142"/>
      <c r="AC608" s="142"/>
      <c r="AD608" s="142"/>
      <c r="AE608" s="544"/>
      <c r="AG608" s="543"/>
      <c r="AR608" s="142"/>
    </row>
    <row r="609" customFormat="false" ht="15.75" hidden="false" customHeight="false" outlineLevel="0" collapsed="false">
      <c r="N609" s="142"/>
      <c r="X609" s="142"/>
      <c r="Y609" s="142"/>
      <c r="Z609" s="142"/>
      <c r="AA609" s="142"/>
      <c r="AC609" s="142"/>
      <c r="AD609" s="142"/>
      <c r="AE609" s="544"/>
      <c r="AG609" s="543"/>
      <c r="AR609" s="142"/>
    </row>
    <row r="610" customFormat="false" ht="15.75" hidden="false" customHeight="false" outlineLevel="0" collapsed="false">
      <c r="N610" s="142"/>
      <c r="X610" s="142"/>
      <c r="Y610" s="142"/>
      <c r="Z610" s="142"/>
      <c r="AA610" s="142"/>
      <c r="AC610" s="142"/>
      <c r="AD610" s="142"/>
      <c r="AE610" s="544"/>
      <c r="AG610" s="543"/>
      <c r="AR610" s="142"/>
    </row>
    <row r="611" customFormat="false" ht="15.75" hidden="false" customHeight="false" outlineLevel="0" collapsed="false">
      <c r="N611" s="142"/>
      <c r="X611" s="142"/>
      <c r="Y611" s="142"/>
      <c r="Z611" s="142"/>
      <c r="AA611" s="142"/>
      <c r="AC611" s="142"/>
      <c r="AD611" s="142"/>
      <c r="AE611" s="544"/>
      <c r="AG611" s="543"/>
      <c r="AR611" s="142"/>
    </row>
    <row r="612" customFormat="false" ht="15.75" hidden="false" customHeight="false" outlineLevel="0" collapsed="false">
      <c r="N612" s="142"/>
      <c r="X612" s="142"/>
      <c r="Y612" s="142"/>
      <c r="Z612" s="142"/>
      <c r="AA612" s="142"/>
      <c r="AC612" s="142"/>
      <c r="AD612" s="142"/>
      <c r="AE612" s="544"/>
      <c r="AG612" s="543"/>
      <c r="AR612" s="142"/>
    </row>
    <row r="613" customFormat="false" ht="15.75" hidden="false" customHeight="false" outlineLevel="0" collapsed="false">
      <c r="N613" s="142"/>
      <c r="X613" s="142"/>
      <c r="Y613" s="142"/>
      <c r="Z613" s="142"/>
      <c r="AA613" s="142"/>
      <c r="AC613" s="142"/>
      <c r="AD613" s="142"/>
      <c r="AE613" s="544"/>
      <c r="AG613" s="543"/>
      <c r="AR613" s="142"/>
    </row>
    <row r="614" customFormat="false" ht="15.75" hidden="false" customHeight="false" outlineLevel="0" collapsed="false">
      <c r="N614" s="142"/>
      <c r="X614" s="142"/>
      <c r="Y614" s="142"/>
      <c r="Z614" s="142"/>
      <c r="AA614" s="142"/>
      <c r="AC614" s="142"/>
      <c r="AD614" s="142"/>
      <c r="AE614" s="544"/>
      <c r="AG614" s="543"/>
      <c r="AR614" s="142"/>
    </row>
    <row r="615" customFormat="false" ht="15.75" hidden="false" customHeight="false" outlineLevel="0" collapsed="false">
      <c r="N615" s="142"/>
      <c r="X615" s="142"/>
      <c r="Y615" s="142"/>
      <c r="Z615" s="142"/>
      <c r="AA615" s="142"/>
      <c r="AC615" s="142"/>
      <c r="AD615" s="142"/>
      <c r="AE615" s="544"/>
      <c r="AG615" s="543"/>
      <c r="AR615" s="142"/>
    </row>
    <row r="616" customFormat="false" ht="15.75" hidden="false" customHeight="false" outlineLevel="0" collapsed="false">
      <c r="N616" s="142"/>
      <c r="X616" s="142"/>
      <c r="Y616" s="142"/>
      <c r="Z616" s="142"/>
      <c r="AA616" s="142"/>
      <c r="AC616" s="142"/>
      <c r="AD616" s="142"/>
      <c r="AE616" s="544"/>
      <c r="AG616" s="543"/>
      <c r="AR616" s="142"/>
    </row>
    <row r="617" customFormat="false" ht="15.75" hidden="false" customHeight="false" outlineLevel="0" collapsed="false">
      <c r="N617" s="142"/>
      <c r="X617" s="142"/>
      <c r="Y617" s="142"/>
      <c r="Z617" s="142"/>
      <c r="AA617" s="142"/>
      <c r="AC617" s="142"/>
      <c r="AD617" s="142"/>
      <c r="AE617" s="544"/>
      <c r="AG617" s="543"/>
      <c r="AR617" s="142"/>
    </row>
    <row r="618" customFormat="false" ht="15.75" hidden="false" customHeight="false" outlineLevel="0" collapsed="false">
      <c r="N618" s="142"/>
      <c r="X618" s="142"/>
      <c r="Y618" s="142"/>
      <c r="Z618" s="142"/>
      <c r="AA618" s="142"/>
      <c r="AC618" s="142"/>
      <c r="AD618" s="142"/>
      <c r="AE618" s="544"/>
      <c r="AG618" s="543"/>
      <c r="AR618" s="142"/>
    </row>
    <row r="619" customFormat="false" ht="15.75" hidden="false" customHeight="false" outlineLevel="0" collapsed="false">
      <c r="N619" s="142"/>
      <c r="X619" s="142"/>
      <c r="Y619" s="142"/>
      <c r="Z619" s="142"/>
      <c r="AA619" s="142"/>
      <c r="AC619" s="142"/>
      <c r="AD619" s="142"/>
      <c r="AE619" s="544"/>
      <c r="AG619" s="543"/>
      <c r="AR619" s="142"/>
    </row>
    <row r="620" customFormat="false" ht="15.75" hidden="false" customHeight="false" outlineLevel="0" collapsed="false">
      <c r="N620" s="142"/>
      <c r="X620" s="142"/>
      <c r="Y620" s="142"/>
      <c r="Z620" s="142"/>
      <c r="AA620" s="142"/>
      <c r="AC620" s="142"/>
      <c r="AD620" s="142"/>
      <c r="AE620" s="544"/>
      <c r="AG620" s="543"/>
      <c r="AR620" s="142"/>
    </row>
    <row r="621" customFormat="false" ht="15.75" hidden="false" customHeight="false" outlineLevel="0" collapsed="false">
      <c r="N621" s="142"/>
      <c r="X621" s="142"/>
      <c r="Y621" s="142"/>
      <c r="Z621" s="142"/>
      <c r="AA621" s="142"/>
      <c r="AC621" s="142"/>
      <c r="AD621" s="142"/>
      <c r="AE621" s="544"/>
      <c r="AG621" s="543"/>
      <c r="AR621" s="142"/>
    </row>
    <row r="622" customFormat="false" ht="15.75" hidden="false" customHeight="false" outlineLevel="0" collapsed="false">
      <c r="N622" s="142"/>
      <c r="X622" s="142"/>
      <c r="Y622" s="142"/>
      <c r="Z622" s="142"/>
      <c r="AA622" s="142"/>
      <c r="AC622" s="142"/>
      <c r="AD622" s="142"/>
      <c r="AE622" s="544"/>
      <c r="AG622" s="543"/>
      <c r="AR622" s="142"/>
    </row>
    <row r="623" customFormat="false" ht="15.75" hidden="false" customHeight="false" outlineLevel="0" collapsed="false">
      <c r="N623" s="142"/>
      <c r="X623" s="142"/>
      <c r="Y623" s="142"/>
      <c r="Z623" s="142"/>
      <c r="AA623" s="142"/>
      <c r="AC623" s="142"/>
      <c r="AD623" s="142"/>
      <c r="AE623" s="544"/>
      <c r="AG623" s="543"/>
      <c r="AR623" s="142"/>
    </row>
    <row r="624" customFormat="false" ht="15.75" hidden="false" customHeight="false" outlineLevel="0" collapsed="false">
      <c r="N624" s="142"/>
      <c r="O624" s="142"/>
      <c r="P624" s="142"/>
      <c r="Q624" s="142"/>
      <c r="R624" s="142"/>
      <c r="S624" s="142"/>
      <c r="T624" s="142"/>
      <c r="U624" s="142"/>
      <c r="V624" s="142"/>
      <c r="W624" s="142"/>
      <c r="X624" s="142"/>
      <c r="Y624" s="142"/>
      <c r="Z624" s="142"/>
      <c r="AA624" s="142"/>
      <c r="AC624" s="142"/>
      <c r="AD624" s="142"/>
      <c r="AE624" s="544"/>
      <c r="AG624" s="543"/>
      <c r="AH624" s="541"/>
      <c r="AI624" s="541"/>
    </row>
    <row r="625" customFormat="false" ht="15.75" hidden="false" customHeight="false" outlineLevel="0" collapsed="false">
      <c r="AE625" s="530"/>
      <c r="AH625" s="541"/>
      <c r="AI625" s="541"/>
    </row>
    <row r="626" customFormat="false" ht="15.75" hidden="false" customHeight="false" outlineLevel="0" collapsed="false">
      <c r="AE626" s="530"/>
      <c r="AH626" s="541"/>
      <c r="AI626" s="541"/>
    </row>
    <row r="627" customFormat="false" ht="15.75" hidden="false" customHeight="false" outlineLevel="0" collapsed="false">
      <c r="AE627" s="530"/>
      <c r="AH627" s="541"/>
      <c r="AI627" s="541"/>
    </row>
    <row r="628" customFormat="false" ht="15.75" hidden="false" customHeight="false" outlineLevel="0" collapsed="false">
      <c r="AE628" s="530"/>
      <c r="AH628" s="541"/>
      <c r="AI628" s="541"/>
    </row>
    <row r="629" customFormat="false" ht="15.75" hidden="false" customHeight="false" outlineLevel="0" collapsed="false">
      <c r="AE629" s="530"/>
      <c r="AH629" s="541"/>
      <c r="AI629" s="541"/>
    </row>
    <row r="630" customFormat="false" ht="15.75" hidden="false" customHeight="false" outlineLevel="0" collapsed="false">
      <c r="AE630" s="530"/>
      <c r="AH630" s="541"/>
      <c r="AI630" s="541"/>
    </row>
    <row r="631" customFormat="false" ht="15.75" hidden="false" customHeight="false" outlineLevel="0" collapsed="false">
      <c r="AE631" s="530"/>
      <c r="AH631" s="541"/>
      <c r="AI631" s="541"/>
    </row>
    <row r="632" customFormat="false" ht="15.75" hidden="false" customHeight="false" outlineLevel="0" collapsed="false">
      <c r="AE632" s="530"/>
      <c r="AH632" s="541"/>
      <c r="AI632" s="541"/>
    </row>
    <row r="633" customFormat="false" ht="15.75" hidden="false" customHeight="false" outlineLevel="0" collapsed="false">
      <c r="AE633" s="530"/>
      <c r="AH633" s="541"/>
      <c r="AI633" s="541"/>
    </row>
    <row r="634" customFormat="false" ht="15.75" hidden="false" customHeight="false" outlineLevel="0" collapsed="false">
      <c r="AE634" s="530"/>
      <c r="AH634" s="541"/>
      <c r="AI634" s="541"/>
    </row>
    <row r="635" customFormat="false" ht="15.75" hidden="false" customHeight="false" outlineLevel="0" collapsed="false">
      <c r="AE635" s="530"/>
      <c r="AH635" s="541"/>
      <c r="AI635" s="541"/>
    </row>
    <row r="636" customFormat="false" ht="15.75" hidden="false" customHeight="false" outlineLevel="0" collapsed="false">
      <c r="AE636" s="530"/>
      <c r="AH636" s="541"/>
      <c r="AI636" s="541"/>
    </row>
    <row r="637" customFormat="false" ht="15.75" hidden="false" customHeight="false" outlineLevel="0" collapsed="false">
      <c r="AE637" s="530"/>
      <c r="AH637" s="541"/>
      <c r="AI637" s="541"/>
    </row>
    <row r="638" customFormat="false" ht="15.75" hidden="false" customHeight="false" outlineLevel="0" collapsed="false">
      <c r="AE638" s="530"/>
      <c r="AH638" s="541"/>
      <c r="AI638" s="541"/>
    </row>
    <row r="639" customFormat="false" ht="15.75" hidden="false" customHeight="false" outlineLevel="0" collapsed="false">
      <c r="AE639" s="530"/>
      <c r="AH639" s="541"/>
      <c r="AI639" s="541"/>
    </row>
    <row r="640" customFormat="false" ht="15.75" hidden="false" customHeight="false" outlineLevel="0" collapsed="false">
      <c r="AE640" s="530"/>
      <c r="AH640" s="541"/>
      <c r="AI640" s="541"/>
    </row>
    <row r="641" customFormat="false" ht="15.75" hidden="false" customHeight="false" outlineLevel="0" collapsed="false">
      <c r="AE641" s="530"/>
      <c r="AH641" s="541"/>
      <c r="AI641" s="541"/>
    </row>
    <row r="642" customFormat="false" ht="15.75" hidden="false" customHeight="false" outlineLevel="0" collapsed="false">
      <c r="AE642" s="530"/>
      <c r="AH642" s="541"/>
      <c r="AI642" s="541"/>
    </row>
    <row r="643" customFormat="false" ht="15.75" hidden="false" customHeight="false" outlineLevel="0" collapsed="false">
      <c r="AE643" s="530"/>
      <c r="AH643" s="541"/>
      <c r="AI643" s="541"/>
    </row>
    <row r="644" customFormat="false" ht="15.75" hidden="false" customHeight="false" outlineLevel="0" collapsed="false">
      <c r="AE644" s="530"/>
      <c r="AH644" s="541"/>
      <c r="AI644" s="541"/>
    </row>
    <row r="645" customFormat="false" ht="15.75" hidden="false" customHeight="false" outlineLevel="0" collapsed="false">
      <c r="AE645" s="530"/>
      <c r="AH645" s="541"/>
      <c r="AI645" s="541"/>
    </row>
    <row r="646" customFormat="false" ht="15.75" hidden="false" customHeight="false" outlineLevel="0" collapsed="false">
      <c r="AE646" s="530"/>
      <c r="AH646" s="541"/>
      <c r="AI646" s="541"/>
    </row>
    <row r="647" customFormat="false" ht="15.75" hidden="false" customHeight="false" outlineLevel="0" collapsed="false">
      <c r="AE647" s="530"/>
      <c r="AH647" s="541"/>
      <c r="AI647" s="541"/>
    </row>
    <row r="648" customFormat="false" ht="15.75" hidden="false" customHeight="false" outlineLevel="0" collapsed="false">
      <c r="AE648" s="530"/>
      <c r="AH648" s="541"/>
      <c r="AI648" s="541"/>
    </row>
    <row r="649" customFormat="false" ht="15.75" hidden="false" customHeight="false" outlineLevel="0" collapsed="false">
      <c r="AE649" s="530"/>
      <c r="AH649" s="541"/>
      <c r="AI649" s="541"/>
    </row>
    <row r="650" customFormat="false" ht="15.75" hidden="false" customHeight="false" outlineLevel="0" collapsed="false">
      <c r="AE650" s="530"/>
      <c r="AH650" s="541"/>
      <c r="AI650" s="541"/>
    </row>
    <row r="651" customFormat="false" ht="15.75" hidden="false" customHeight="false" outlineLevel="0" collapsed="false">
      <c r="AE651" s="530"/>
      <c r="AH651" s="541"/>
      <c r="AI651" s="541"/>
    </row>
    <row r="652" customFormat="false" ht="15.75" hidden="false" customHeight="false" outlineLevel="0" collapsed="false">
      <c r="AE652" s="530"/>
      <c r="AH652" s="541"/>
      <c r="AI652" s="541"/>
    </row>
    <row r="653" customFormat="false" ht="15.75" hidden="false" customHeight="false" outlineLevel="0" collapsed="false">
      <c r="AE653" s="530"/>
      <c r="AH653" s="541"/>
      <c r="AI653" s="541"/>
    </row>
    <row r="654" customFormat="false" ht="15.75" hidden="false" customHeight="false" outlineLevel="0" collapsed="false">
      <c r="AE654" s="530"/>
      <c r="AH654" s="541"/>
      <c r="AI654" s="541"/>
    </row>
    <row r="655" customFormat="false" ht="15.75" hidden="false" customHeight="false" outlineLevel="0" collapsed="false">
      <c r="AE655" s="530"/>
      <c r="AH655" s="541"/>
      <c r="AI655" s="541"/>
    </row>
    <row r="656" customFormat="false" ht="15.75" hidden="false" customHeight="false" outlineLevel="0" collapsed="false">
      <c r="AE656" s="530"/>
      <c r="AH656" s="541"/>
      <c r="AI656" s="541"/>
    </row>
    <row r="657" customFormat="false" ht="15.75" hidden="false" customHeight="false" outlineLevel="0" collapsed="false">
      <c r="AE657" s="530"/>
      <c r="AH657" s="541"/>
      <c r="AI657" s="541"/>
    </row>
    <row r="658" customFormat="false" ht="15.75" hidden="false" customHeight="false" outlineLevel="0" collapsed="false">
      <c r="AE658" s="530"/>
      <c r="AH658" s="541"/>
      <c r="AI658" s="541"/>
    </row>
    <row r="659" customFormat="false" ht="15.75" hidden="false" customHeight="false" outlineLevel="0" collapsed="false">
      <c r="AE659" s="530"/>
      <c r="AH659" s="541"/>
      <c r="AI659" s="541"/>
    </row>
    <row r="660" customFormat="false" ht="15.75" hidden="false" customHeight="false" outlineLevel="0" collapsed="false">
      <c r="AE660" s="530"/>
      <c r="AH660" s="541"/>
      <c r="AI660" s="541"/>
    </row>
    <row r="661" customFormat="false" ht="15.75" hidden="false" customHeight="false" outlineLevel="0" collapsed="false">
      <c r="AE661" s="530"/>
      <c r="AH661" s="541"/>
      <c r="AI661" s="541"/>
    </row>
    <row r="662" customFormat="false" ht="15.75" hidden="false" customHeight="false" outlineLevel="0" collapsed="false">
      <c r="AE662" s="530"/>
      <c r="AH662" s="541"/>
      <c r="AI662" s="541"/>
    </row>
    <row r="663" customFormat="false" ht="15.75" hidden="false" customHeight="false" outlineLevel="0" collapsed="false">
      <c r="AE663" s="530"/>
      <c r="AH663" s="541"/>
      <c r="AI663" s="541"/>
    </row>
    <row r="664" customFormat="false" ht="15.75" hidden="false" customHeight="false" outlineLevel="0" collapsed="false">
      <c r="AE664" s="530"/>
      <c r="AH664" s="541"/>
      <c r="AI664" s="541"/>
    </row>
    <row r="665" customFormat="false" ht="15.75" hidden="false" customHeight="false" outlineLevel="0" collapsed="false">
      <c r="AE665" s="530"/>
      <c r="AH665" s="541"/>
      <c r="AI665" s="541"/>
    </row>
    <row r="666" customFormat="false" ht="15.75" hidden="false" customHeight="false" outlineLevel="0" collapsed="false">
      <c r="AE666" s="530"/>
      <c r="AH666" s="541"/>
      <c r="AI666" s="541"/>
    </row>
    <row r="667" customFormat="false" ht="15.75" hidden="false" customHeight="false" outlineLevel="0" collapsed="false">
      <c r="AE667" s="530"/>
      <c r="AH667" s="541"/>
      <c r="AI667" s="541"/>
    </row>
    <row r="668" customFormat="false" ht="15.75" hidden="false" customHeight="false" outlineLevel="0" collapsed="false">
      <c r="AE668" s="530"/>
      <c r="AH668" s="541"/>
      <c r="AI668" s="541"/>
    </row>
    <row r="669" customFormat="false" ht="15.75" hidden="false" customHeight="false" outlineLevel="0" collapsed="false">
      <c r="AE669" s="530"/>
      <c r="AH669" s="541"/>
      <c r="AI669" s="541"/>
    </row>
    <row r="670" customFormat="false" ht="15.75" hidden="false" customHeight="false" outlineLevel="0" collapsed="false">
      <c r="AE670" s="530"/>
      <c r="AH670" s="541"/>
      <c r="AI670" s="541"/>
    </row>
    <row r="671" customFormat="false" ht="15.75" hidden="false" customHeight="false" outlineLevel="0" collapsed="false">
      <c r="AE671" s="530"/>
      <c r="AH671" s="541"/>
      <c r="AI671" s="541"/>
    </row>
    <row r="672" customFormat="false" ht="15.75" hidden="false" customHeight="false" outlineLevel="0" collapsed="false">
      <c r="AE672" s="530"/>
      <c r="AH672" s="541"/>
      <c r="AI672" s="541"/>
    </row>
    <row r="673" customFormat="false" ht="15.75" hidden="false" customHeight="false" outlineLevel="0" collapsed="false">
      <c r="AE673" s="530"/>
      <c r="AH673" s="541"/>
      <c r="AI673" s="541"/>
    </row>
    <row r="674" customFormat="false" ht="15.75" hidden="false" customHeight="false" outlineLevel="0" collapsed="false">
      <c r="AE674" s="530"/>
      <c r="AH674" s="541"/>
      <c r="AI674" s="541"/>
    </row>
    <row r="675" customFormat="false" ht="15.75" hidden="false" customHeight="false" outlineLevel="0" collapsed="false">
      <c r="AE675" s="530"/>
      <c r="AH675" s="541"/>
      <c r="AI675" s="541"/>
    </row>
    <row r="676" customFormat="false" ht="15.75" hidden="false" customHeight="false" outlineLevel="0" collapsed="false">
      <c r="AE676" s="530"/>
      <c r="AH676" s="541"/>
      <c r="AI676" s="541"/>
    </row>
    <row r="677" customFormat="false" ht="15.75" hidden="false" customHeight="false" outlineLevel="0" collapsed="false">
      <c r="AE677" s="530"/>
      <c r="AH677" s="541"/>
      <c r="AI677" s="541"/>
    </row>
    <row r="678" customFormat="false" ht="15.75" hidden="false" customHeight="false" outlineLevel="0" collapsed="false">
      <c r="AE678" s="530"/>
      <c r="AH678" s="541"/>
      <c r="AI678" s="541"/>
    </row>
    <row r="679" customFormat="false" ht="15.75" hidden="false" customHeight="false" outlineLevel="0" collapsed="false">
      <c r="AE679" s="530"/>
      <c r="AH679" s="541"/>
      <c r="AI679" s="541"/>
    </row>
    <row r="680" customFormat="false" ht="15.75" hidden="false" customHeight="false" outlineLevel="0" collapsed="false">
      <c r="AE680" s="530"/>
      <c r="AH680" s="541"/>
      <c r="AI680" s="541"/>
    </row>
    <row r="681" customFormat="false" ht="15.75" hidden="false" customHeight="false" outlineLevel="0" collapsed="false">
      <c r="AE681" s="530"/>
      <c r="AH681" s="541"/>
      <c r="AI681" s="541"/>
    </row>
    <row r="682" customFormat="false" ht="15.75" hidden="false" customHeight="false" outlineLevel="0" collapsed="false">
      <c r="AE682" s="530"/>
      <c r="AH682" s="541"/>
      <c r="AI682" s="541"/>
    </row>
    <row r="683" customFormat="false" ht="15.75" hidden="false" customHeight="false" outlineLevel="0" collapsed="false">
      <c r="AE683" s="530"/>
      <c r="AH683" s="541"/>
      <c r="AI683" s="541"/>
    </row>
    <row r="684" customFormat="false" ht="15.75" hidden="false" customHeight="false" outlineLevel="0" collapsed="false">
      <c r="AE684" s="530"/>
      <c r="AH684" s="541"/>
      <c r="AI684" s="541"/>
    </row>
    <row r="685" customFormat="false" ht="15.75" hidden="false" customHeight="false" outlineLevel="0" collapsed="false">
      <c r="AE685" s="530"/>
      <c r="AH685" s="541"/>
      <c r="AI685" s="541"/>
    </row>
    <row r="686" customFormat="false" ht="15.75" hidden="false" customHeight="false" outlineLevel="0" collapsed="false">
      <c r="AE686" s="530"/>
      <c r="AH686" s="541"/>
      <c r="AI686" s="541"/>
    </row>
    <row r="687" customFormat="false" ht="15.75" hidden="false" customHeight="false" outlineLevel="0" collapsed="false">
      <c r="AE687" s="530"/>
      <c r="AH687" s="541"/>
      <c r="AI687" s="541"/>
    </row>
    <row r="688" customFormat="false" ht="15.75" hidden="false" customHeight="false" outlineLevel="0" collapsed="false">
      <c r="AE688" s="530"/>
      <c r="AH688" s="541"/>
      <c r="AI688" s="541"/>
    </row>
    <row r="689" customFormat="false" ht="15.75" hidden="false" customHeight="false" outlineLevel="0" collapsed="false">
      <c r="AE689" s="530"/>
      <c r="AH689" s="541"/>
      <c r="AI689" s="541"/>
    </row>
    <row r="690" customFormat="false" ht="15.75" hidden="false" customHeight="false" outlineLevel="0" collapsed="false">
      <c r="AE690" s="530"/>
      <c r="AH690" s="541"/>
      <c r="AI690" s="541"/>
    </row>
    <row r="691" customFormat="false" ht="15.75" hidden="false" customHeight="false" outlineLevel="0" collapsed="false">
      <c r="AE691" s="530"/>
      <c r="AH691" s="541"/>
      <c r="AI691" s="541"/>
    </row>
    <row r="692" customFormat="false" ht="15.75" hidden="false" customHeight="false" outlineLevel="0" collapsed="false">
      <c r="AE692" s="530"/>
      <c r="AH692" s="541"/>
      <c r="AI692" s="541"/>
    </row>
    <row r="693" customFormat="false" ht="15.75" hidden="false" customHeight="false" outlineLevel="0" collapsed="false">
      <c r="AE693" s="530"/>
      <c r="AH693" s="541"/>
      <c r="AI693" s="541"/>
    </row>
    <row r="694" customFormat="false" ht="15.75" hidden="false" customHeight="false" outlineLevel="0" collapsed="false">
      <c r="AE694" s="530"/>
      <c r="AH694" s="541"/>
      <c r="AI694" s="541"/>
    </row>
    <row r="695" customFormat="false" ht="15.75" hidden="false" customHeight="false" outlineLevel="0" collapsed="false">
      <c r="AE695" s="530"/>
      <c r="AH695" s="541"/>
      <c r="AI695" s="541"/>
    </row>
    <row r="696" customFormat="false" ht="15.75" hidden="false" customHeight="false" outlineLevel="0" collapsed="false">
      <c r="AE696" s="530"/>
      <c r="AH696" s="541"/>
      <c r="AI696" s="541"/>
    </row>
    <row r="697" customFormat="false" ht="15.75" hidden="false" customHeight="false" outlineLevel="0" collapsed="false">
      <c r="AE697" s="530"/>
      <c r="AH697" s="541"/>
      <c r="AI697" s="541"/>
    </row>
    <row r="698" customFormat="false" ht="15.75" hidden="false" customHeight="false" outlineLevel="0" collapsed="false">
      <c r="AE698" s="530"/>
      <c r="AH698" s="541"/>
      <c r="AI698" s="541"/>
    </row>
    <row r="699" customFormat="false" ht="15.75" hidden="false" customHeight="false" outlineLevel="0" collapsed="false">
      <c r="AE699" s="530"/>
      <c r="AH699" s="541"/>
      <c r="AI699" s="541"/>
    </row>
    <row r="700" customFormat="false" ht="15.75" hidden="false" customHeight="false" outlineLevel="0" collapsed="false">
      <c r="AE700" s="530"/>
      <c r="AH700" s="541"/>
      <c r="AI700" s="541"/>
    </row>
    <row r="701" customFormat="false" ht="15.75" hidden="false" customHeight="false" outlineLevel="0" collapsed="false">
      <c r="AE701" s="530"/>
      <c r="AH701" s="541"/>
      <c r="AI701" s="541"/>
    </row>
    <row r="702" customFormat="false" ht="15.75" hidden="false" customHeight="false" outlineLevel="0" collapsed="false">
      <c r="AE702" s="530"/>
      <c r="AH702" s="541"/>
      <c r="AI702" s="541"/>
    </row>
    <row r="703" customFormat="false" ht="15.75" hidden="false" customHeight="false" outlineLevel="0" collapsed="false">
      <c r="AE703" s="530"/>
      <c r="AH703" s="541"/>
      <c r="AI703" s="541"/>
    </row>
    <row r="704" customFormat="false" ht="15.75" hidden="false" customHeight="false" outlineLevel="0" collapsed="false">
      <c r="AE704" s="530"/>
      <c r="AH704" s="541"/>
      <c r="AI704" s="541"/>
    </row>
    <row r="705" customFormat="false" ht="15.75" hidden="false" customHeight="false" outlineLevel="0" collapsed="false">
      <c r="AE705" s="530"/>
      <c r="AH705" s="541"/>
      <c r="AI705" s="541"/>
    </row>
    <row r="706" customFormat="false" ht="15.75" hidden="false" customHeight="false" outlineLevel="0" collapsed="false">
      <c r="AE706" s="530"/>
      <c r="AH706" s="541"/>
      <c r="AI706" s="541"/>
    </row>
    <row r="707" customFormat="false" ht="15.75" hidden="false" customHeight="false" outlineLevel="0" collapsed="false">
      <c r="AE707" s="530"/>
      <c r="AH707" s="541"/>
      <c r="AI707" s="541"/>
    </row>
    <row r="708" customFormat="false" ht="15.75" hidden="false" customHeight="false" outlineLevel="0" collapsed="false">
      <c r="AE708" s="530"/>
      <c r="AH708" s="541"/>
      <c r="AI708" s="541"/>
    </row>
    <row r="709" customFormat="false" ht="15.75" hidden="false" customHeight="false" outlineLevel="0" collapsed="false">
      <c r="AE709" s="530"/>
      <c r="AH709" s="541"/>
      <c r="AI709" s="541"/>
    </row>
    <row r="710" customFormat="false" ht="15.75" hidden="false" customHeight="false" outlineLevel="0" collapsed="false">
      <c r="AE710" s="530"/>
      <c r="AH710" s="541"/>
      <c r="AI710" s="541"/>
    </row>
    <row r="711" customFormat="false" ht="15.75" hidden="false" customHeight="false" outlineLevel="0" collapsed="false">
      <c r="AE711" s="530"/>
      <c r="AH711" s="541"/>
      <c r="AI711" s="541"/>
    </row>
    <row r="712" customFormat="false" ht="15.75" hidden="false" customHeight="false" outlineLevel="0" collapsed="false">
      <c r="AE712" s="530"/>
      <c r="AH712" s="541"/>
      <c r="AI712" s="541"/>
    </row>
    <row r="713" customFormat="false" ht="15.75" hidden="false" customHeight="false" outlineLevel="0" collapsed="false">
      <c r="AE713" s="530"/>
      <c r="AH713" s="541"/>
      <c r="AI713" s="541"/>
    </row>
    <row r="714" customFormat="false" ht="15.75" hidden="false" customHeight="false" outlineLevel="0" collapsed="false">
      <c r="AE714" s="530"/>
      <c r="AH714" s="541"/>
      <c r="AI714" s="541"/>
    </row>
    <row r="715" customFormat="false" ht="15.75" hidden="false" customHeight="false" outlineLevel="0" collapsed="false">
      <c r="AE715" s="530"/>
      <c r="AH715" s="541"/>
      <c r="AI715" s="541"/>
    </row>
    <row r="716" customFormat="false" ht="15.75" hidden="false" customHeight="false" outlineLevel="0" collapsed="false">
      <c r="AE716" s="530"/>
      <c r="AH716" s="541"/>
      <c r="AI716" s="541"/>
    </row>
    <row r="717" customFormat="false" ht="15.75" hidden="false" customHeight="false" outlineLevel="0" collapsed="false">
      <c r="AE717" s="530"/>
      <c r="AH717" s="541"/>
      <c r="AI717" s="541"/>
    </row>
    <row r="718" customFormat="false" ht="15.75" hidden="false" customHeight="false" outlineLevel="0" collapsed="false">
      <c r="AE718" s="530"/>
      <c r="AH718" s="541"/>
      <c r="AI718" s="541"/>
    </row>
    <row r="719" customFormat="false" ht="15.75" hidden="false" customHeight="false" outlineLevel="0" collapsed="false">
      <c r="AE719" s="530"/>
      <c r="AH719" s="541"/>
      <c r="AI719" s="541"/>
    </row>
    <row r="720" customFormat="false" ht="15.75" hidden="false" customHeight="false" outlineLevel="0" collapsed="false">
      <c r="AE720" s="530"/>
      <c r="AH720" s="541"/>
      <c r="AI720" s="541"/>
    </row>
    <row r="721" customFormat="false" ht="15.75" hidden="false" customHeight="false" outlineLevel="0" collapsed="false">
      <c r="AE721" s="530"/>
      <c r="AH721" s="541"/>
      <c r="AI721" s="541"/>
    </row>
    <row r="722" customFormat="false" ht="15.75" hidden="false" customHeight="false" outlineLevel="0" collapsed="false">
      <c r="AE722" s="530"/>
      <c r="AH722" s="541"/>
      <c r="AI722" s="541"/>
    </row>
    <row r="723" customFormat="false" ht="15.75" hidden="false" customHeight="false" outlineLevel="0" collapsed="false">
      <c r="AE723" s="530"/>
      <c r="AH723" s="541"/>
      <c r="AI723" s="541"/>
    </row>
    <row r="724" customFormat="false" ht="15.75" hidden="false" customHeight="false" outlineLevel="0" collapsed="false">
      <c r="AE724" s="530"/>
      <c r="AH724" s="541"/>
      <c r="AI724" s="541"/>
    </row>
    <row r="725" customFormat="false" ht="15.75" hidden="false" customHeight="false" outlineLevel="0" collapsed="false">
      <c r="AE725" s="530"/>
      <c r="AH725" s="541"/>
      <c r="AI725" s="541"/>
    </row>
    <row r="726" customFormat="false" ht="15.75" hidden="false" customHeight="false" outlineLevel="0" collapsed="false">
      <c r="AE726" s="530"/>
      <c r="AH726" s="541"/>
      <c r="AI726" s="541"/>
    </row>
    <row r="727" customFormat="false" ht="15.75" hidden="false" customHeight="false" outlineLevel="0" collapsed="false">
      <c r="AE727" s="530"/>
      <c r="AH727" s="541"/>
      <c r="AI727" s="541"/>
    </row>
    <row r="728" customFormat="false" ht="15.75" hidden="false" customHeight="false" outlineLevel="0" collapsed="false">
      <c r="AE728" s="530"/>
      <c r="AH728" s="541"/>
      <c r="AI728" s="541"/>
    </row>
    <row r="729" customFormat="false" ht="15.75" hidden="false" customHeight="false" outlineLevel="0" collapsed="false">
      <c r="AE729" s="530"/>
      <c r="AH729" s="541"/>
      <c r="AI729" s="541"/>
    </row>
    <row r="730" customFormat="false" ht="15.75" hidden="false" customHeight="false" outlineLevel="0" collapsed="false">
      <c r="AE730" s="530"/>
      <c r="AH730" s="541"/>
      <c r="AI730" s="541"/>
    </row>
    <row r="731" customFormat="false" ht="15.75" hidden="false" customHeight="false" outlineLevel="0" collapsed="false">
      <c r="AE731" s="530"/>
      <c r="AH731" s="541"/>
      <c r="AI731" s="541"/>
    </row>
    <row r="732" customFormat="false" ht="15.75" hidden="false" customHeight="false" outlineLevel="0" collapsed="false">
      <c r="AE732" s="530"/>
      <c r="AH732" s="541"/>
      <c r="AI732" s="541"/>
    </row>
    <row r="733" customFormat="false" ht="15.75" hidden="false" customHeight="false" outlineLevel="0" collapsed="false">
      <c r="AE733" s="530"/>
      <c r="AH733" s="541"/>
      <c r="AI733" s="541"/>
    </row>
    <row r="734" customFormat="false" ht="15.75" hidden="false" customHeight="false" outlineLevel="0" collapsed="false">
      <c r="AE734" s="530"/>
      <c r="AH734" s="541"/>
      <c r="AI734" s="541"/>
    </row>
    <row r="735" customFormat="false" ht="15.75" hidden="false" customHeight="false" outlineLevel="0" collapsed="false">
      <c r="AE735" s="530"/>
      <c r="AH735" s="541"/>
      <c r="AI735" s="541"/>
    </row>
    <row r="736" customFormat="false" ht="15.75" hidden="false" customHeight="false" outlineLevel="0" collapsed="false">
      <c r="AE736" s="530"/>
      <c r="AH736" s="541"/>
      <c r="AI736" s="541"/>
    </row>
    <row r="737" customFormat="false" ht="15.75" hidden="false" customHeight="false" outlineLevel="0" collapsed="false">
      <c r="AE737" s="530"/>
      <c r="AH737" s="541"/>
      <c r="AI737" s="541"/>
    </row>
    <row r="738" customFormat="false" ht="15.75" hidden="false" customHeight="false" outlineLevel="0" collapsed="false">
      <c r="AE738" s="530"/>
      <c r="AH738" s="541"/>
      <c r="AI738" s="541"/>
    </row>
    <row r="739" customFormat="false" ht="15.75" hidden="false" customHeight="false" outlineLevel="0" collapsed="false">
      <c r="AE739" s="530"/>
      <c r="AH739" s="541"/>
      <c r="AI739" s="541"/>
    </row>
    <row r="740" customFormat="false" ht="15.75" hidden="false" customHeight="false" outlineLevel="0" collapsed="false">
      <c r="AE740" s="530"/>
      <c r="AH740" s="541"/>
      <c r="AI740" s="541"/>
    </row>
    <row r="741" customFormat="false" ht="15.75" hidden="false" customHeight="false" outlineLevel="0" collapsed="false">
      <c r="AE741" s="530"/>
      <c r="AH741" s="541"/>
      <c r="AI741" s="541"/>
    </row>
    <row r="742" customFormat="false" ht="15.75" hidden="false" customHeight="false" outlineLevel="0" collapsed="false">
      <c r="AE742" s="530"/>
      <c r="AH742" s="541"/>
      <c r="AI742" s="541"/>
    </row>
    <row r="743" customFormat="false" ht="15.75" hidden="false" customHeight="false" outlineLevel="0" collapsed="false">
      <c r="AE743" s="530"/>
      <c r="AH743" s="541"/>
      <c r="AI743" s="541"/>
    </row>
    <row r="744" customFormat="false" ht="15.75" hidden="false" customHeight="false" outlineLevel="0" collapsed="false">
      <c r="AE744" s="530"/>
      <c r="AH744" s="541"/>
      <c r="AI744" s="541"/>
    </row>
    <row r="745" customFormat="false" ht="15.75" hidden="false" customHeight="false" outlineLevel="0" collapsed="false">
      <c r="AE745" s="530"/>
      <c r="AH745" s="541"/>
      <c r="AI745" s="541"/>
    </row>
    <row r="746" customFormat="false" ht="15.75" hidden="false" customHeight="false" outlineLevel="0" collapsed="false">
      <c r="AE746" s="530"/>
      <c r="AH746" s="541"/>
      <c r="AI746" s="541"/>
    </row>
    <row r="747" customFormat="false" ht="15.75" hidden="false" customHeight="false" outlineLevel="0" collapsed="false">
      <c r="AE747" s="530"/>
      <c r="AH747" s="541"/>
      <c r="AI747" s="541"/>
    </row>
    <row r="748" customFormat="false" ht="15.75" hidden="false" customHeight="false" outlineLevel="0" collapsed="false">
      <c r="AE748" s="530"/>
      <c r="AH748" s="541"/>
      <c r="AI748" s="541"/>
    </row>
    <row r="749" customFormat="false" ht="15.75" hidden="false" customHeight="false" outlineLevel="0" collapsed="false">
      <c r="AE749" s="530"/>
      <c r="AH749" s="541"/>
      <c r="AI749" s="541"/>
    </row>
    <row r="750" customFormat="false" ht="15.75" hidden="false" customHeight="false" outlineLevel="0" collapsed="false">
      <c r="AE750" s="530"/>
      <c r="AH750" s="541"/>
      <c r="AI750" s="541"/>
    </row>
    <row r="751" customFormat="false" ht="15.75" hidden="false" customHeight="false" outlineLevel="0" collapsed="false">
      <c r="AE751" s="530"/>
      <c r="AH751" s="541"/>
      <c r="AI751" s="541"/>
    </row>
    <row r="752" customFormat="false" ht="15.75" hidden="false" customHeight="false" outlineLevel="0" collapsed="false">
      <c r="AE752" s="530"/>
      <c r="AH752" s="541"/>
      <c r="AI752" s="541"/>
    </row>
    <row r="753" customFormat="false" ht="15.75" hidden="false" customHeight="false" outlineLevel="0" collapsed="false">
      <c r="AE753" s="530"/>
      <c r="AH753" s="541"/>
      <c r="AI753" s="541"/>
    </row>
    <row r="754" customFormat="false" ht="15.75" hidden="false" customHeight="false" outlineLevel="0" collapsed="false">
      <c r="AE754" s="530"/>
      <c r="AH754" s="541"/>
      <c r="AI754" s="541"/>
    </row>
    <row r="755" customFormat="false" ht="15.75" hidden="false" customHeight="false" outlineLevel="0" collapsed="false">
      <c r="AE755" s="530"/>
      <c r="AH755" s="541"/>
      <c r="AI755" s="541"/>
    </row>
    <row r="756" customFormat="false" ht="15.75" hidden="false" customHeight="false" outlineLevel="0" collapsed="false">
      <c r="AE756" s="530"/>
      <c r="AH756" s="541"/>
      <c r="AI756" s="541"/>
    </row>
    <row r="757" customFormat="false" ht="15.75" hidden="false" customHeight="false" outlineLevel="0" collapsed="false">
      <c r="AE757" s="530"/>
      <c r="AH757" s="541"/>
      <c r="AI757" s="541"/>
    </row>
    <row r="758" customFormat="false" ht="15.75" hidden="false" customHeight="false" outlineLevel="0" collapsed="false">
      <c r="AE758" s="530"/>
      <c r="AH758" s="541"/>
      <c r="AI758" s="541"/>
    </row>
    <row r="759" customFormat="false" ht="15.75" hidden="false" customHeight="false" outlineLevel="0" collapsed="false">
      <c r="AE759" s="530"/>
      <c r="AH759" s="541"/>
      <c r="AI759" s="541"/>
    </row>
    <row r="760" customFormat="false" ht="15.75" hidden="false" customHeight="false" outlineLevel="0" collapsed="false">
      <c r="AE760" s="530"/>
      <c r="AH760" s="541"/>
      <c r="AI760" s="541"/>
    </row>
    <row r="761" customFormat="false" ht="15.75" hidden="false" customHeight="false" outlineLevel="0" collapsed="false">
      <c r="AE761" s="530"/>
      <c r="AH761" s="541"/>
      <c r="AI761" s="541"/>
    </row>
    <row r="762" customFormat="false" ht="15.75" hidden="false" customHeight="false" outlineLevel="0" collapsed="false">
      <c r="AE762" s="530"/>
      <c r="AH762" s="541"/>
      <c r="AI762" s="541"/>
    </row>
    <row r="763" customFormat="false" ht="15.75" hidden="false" customHeight="false" outlineLevel="0" collapsed="false">
      <c r="AE763" s="530"/>
      <c r="AH763" s="541"/>
      <c r="AI763" s="541"/>
    </row>
    <row r="764" customFormat="false" ht="15.75" hidden="false" customHeight="false" outlineLevel="0" collapsed="false">
      <c r="AE764" s="530"/>
      <c r="AH764" s="541"/>
      <c r="AI764" s="541"/>
    </row>
    <row r="765" customFormat="false" ht="15.75" hidden="false" customHeight="false" outlineLevel="0" collapsed="false">
      <c r="AE765" s="530"/>
      <c r="AH765" s="541"/>
      <c r="AI765" s="541"/>
    </row>
    <row r="766" customFormat="false" ht="15.75" hidden="false" customHeight="false" outlineLevel="0" collapsed="false">
      <c r="AE766" s="530"/>
      <c r="AH766" s="541"/>
      <c r="AI766" s="541"/>
    </row>
    <row r="767" customFormat="false" ht="15.75" hidden="false" customHeight="false" outlineLevel="0" collapsed="false">
      <c r="AE767" s="530"/>
      <c r="AH767" s="541"/>
      <c r="AI767" s="541"/>
    </row>
    <row r="768" customFormat="false" ht="15.75" hidden="false" customHeight="false" outlineLevel="0" collapsed="false">
      <c r="AE768" s="530"/>
      <c r="AH768" s="541"/>
      <c r="AI768" s="541"/>
    </row>
    <row r="769" customFormat="false" ht="15.75" hidden="false" customHeight="false" outlineLevel="0" collapsed="false">
      <c r="AE769" s="530"/>
      <c r="AH769" s="541"/>
      <c r="AI769" s="541"/>
    </row>
    <row r="770" customFormat="false" ht="15.75" hidden="false" customHeight="false" outlineLevel="0" collapsed="false">
      <c r="AE770" s="530"/>
      <c r="AH770" s="541"/>
      <c r="AI770" s="541"/>
    </row>
    <row r="771" customFormat="false" ht="15.75" hidden="false" customHeight="false" outlineLevel="0" collapsed="false">
      <c r="AE771" s="530"/>
      <c r="AH771" s="541"/>
      <c r="AI771" s="541"/>
    </row>
    <row r="772" customFormat="false" ht="15.75" hidden="false" customHeight="false" outlineLevel="0" collapsed="false">
      <c r="AE772" s="530"/>
      <c r="AH772" s="541"/>
      <c r="AI772" s="541"/>
    </row>
    <row r="773" customFormat="false" ht="15.75" hidden="false" customHeight="false" outlineLevel="0" collapsed="false">
      <c r="AE773" s="530"/>
      <c r="AH773" s="541"/>
      <c r="AI773" s="541"/>
    </row>
    <row r="774" customFormat="false" ht="15.75" hidden="false" customHeight="false" outlineLevel="0" collapsed="false">
      <c r="AE774" s="530"/>
      <c r="AH774" s="541"/>
      <c r="AI774" s="541"/>
    </row>
    <row r="775" customFormat="false" ht="15.75" hidden="false" customHeight="false" outlineLevel="0" collapsed="false">
      <c r="AE775" s="530"/>
      <c r="AH775" s="541"/>
      <c r="AI775" s="541"/>
    </row>
    <row r="776" customFormat="false" ht="15.75" hidden="false" customHeight="false" outlineLevel="0" collapsed="false">
      <c r="AE776" s="530"/>
      <c r="AH776" s="541"/>
      <c r="AI776" s="541"/>
    </row>
    <row r="777" customFormat="false" ht="15.75" hidden="false" customHeight="false" outlineLevel="0" collapsed="false">
      <c r="AE777" s="530"/>
      <c r="AH777" s="541"/>
      <c r="AI777" s="541"/>
    </row>
    <row r="778" customFormat="false" ht="15.75" hidden="false" customHeight="false" outlineLevel="0" collapsed="false">
      <c r="AE778" s="530"/>
      <c r="AH778" s="541"/>
      <c r="AI778" s="541"/>
    </row>
    <row r="779" customFormat="false" ht="15.75" hidden="false" customHeight="false" outlineLevel="0" collapsed="false">
      <c r="AE779" s="530"/>
      <c r="AH779" s="541"/>
      <c r="AI779" s="541"/>
    </row>
    <row r="780" customFormat="false" ht="15.75" hidden="false" customHeight="false" outlineLevel="0" collapsed="false">
      <c r="AE780" s="530"/>
      <c r="AH780" s="541"/>
      <c r="AI780" s="541"/>
    </row>
    <row r="781" customFormat="false" ht="15.75" hidden="false" customHeight="false" outlineLevel="0" collapsed="false">
      <c r="AE781" s="530"/>
      <c r="AH781" s="541"/>
      <c r="AI781" s="541"/>
    </row>
    <row r="782" customFormat="false" ht="15.75" hidden="false" customHeight="false" outlineLevel="0" collapsed="false">
      <c r="AE782" s="530"/>
      <c r="AH782" s="541"/>
      <c r="AI782" s="541"/>
    </row>
    <row r="783" customFormat="false" ht="15.75" hidden="false" customHeight="false" outlineLevel="0" collapsed="false">
      <c r="AE783" s="530"/>
      <c r="AH783" s="541"/>
      <c r="AI783" s="541"/>
    </row>
    <row r="784" customFormat="false" ht="15.75" hidden="false" customHeight="false" outlineLevel="0" collapsed="false">
      <c r="AE784" s="530"/>
      <c r="AH784" s="541"/>
      <c r="AI784" s="541"/>
    </row>
    <row r="785" customFormat="false" ht="15.75" hidden="false" customHeight="false" outlineLevel="0" collapsed="false">
      <c r="AE785" s="530"/>
      <c r="AH785" s="541"/>
      <c r="AI785" s="541"/>
    </row>
    <row r="786" customFormat="false" ht="15.75" hidden="false" customHeight="false" outlineLevel="0" collapsed="false">
      <c r="AE786" s="530"/>
      <c r="AH786" s="541"/>
      <c r="AI786" s="541"/>
    </row>
    <row r="787" customFormat="false" ht="15.75" hidden="false" customHeight="false" outlineLevel="0" collapsed="false">
      <c r="AE787" s="530"/>
      <c r="AH787" s="541"/>
      <c r="AI787" s="541"/>
    </row>
    <row r="788" customFormat="false" ht="15.75" hidden="false" customHeight="false" outlineLevel="0" collapsed="false">
      <c r="AE788" s="530"/>
      <c r="AH788" s="541"/>
      <c r="AI788" s="541"/>
    </row>
    <row r="789" customFormat="false" ht="15.75" hidden="false" customHeight="false" outlineLevel="0" collapsed="false">
      <c r="AE789" s="530"/>
      <c r="AH789" s="541"/>
      <c r="AI789" s="541"/>
    </row>
    <row r="790" customFormat="false" ht="15.75" hidden="false" customHeight="false" outlineLevel="0" collapsed="false">
      <c r="AE790" s="530"/>
      <c r="AH790" s="541"/>
      <c r="AI790" s="541"/>
    </row>
    <row r="791" customFormat="false" ht="15.75" hidden="false" customHeight="false" outlineLevel="0" collapsed="false">
      <c r="AE791" s="530"/>
      <c r="AH791" s="541"/>
      <c r="AI791" s="541"/>
    </row>
    <row r="792" customFormat="false" ht="15.75" hidden="false" customHeight="false" outlineLevel="0" collapsed="false">
      <c r="AE792" s="530"/>
      <c r="AH792" s="541"/>
      <c r="AI792" s="541"/>
    </row>
    <row r="793" customFormat="false" ht="15.75" hidden="false" customHeight="false" outlineLevel="0" collapsed="false">
      <c r="AE793" s="530"/>
      <c r="AH793" s="541"/>
      <c r="AI793" s="541"/>
    </row>
    <row r="794" customFormat="false" ht="15.75" hidden="false" customHeight="false" outlineLevel="0" collapsed="false">
      <c r="AE794" s="530"/>
      <c r="AH794" s="541"/>
      <c r="AI794" s="541"/>
    </row>
    <row r="795" customFormat="false" ht="15.75" hidden="false" customHeight="false" outlineLevel="0" collapsed="false">
      <c r="AE795" s="530"/>
      <c r="AH795" s="541"/>
      <c r="AI795" s="541"/>
    </row>
    <row r="796" customFormat="false" ht="15.75" hidden="false" customHeight="false" outlineLevel="0" collapsed="false">
      <c r="AE796" s="530"/>
      <c r="AH796" s="541"/>
      <c r="AI796" s="541"/>
    </row>
    <row r="797" customFormat="false" ht="15.75" hidden="false" customHeight="false" outlineLevel="0" collapsed="false">
      <c r="AE797" s="530"/>
      <c r="AH797" s="541"/>
      <c r="AI797" s="541"/>
    </row>
    <row r="798" customFormat="false" ht="15.75" hidden="false" customHeight="false" outlineLevel="0" collapsed="false">
      <c r="AE798" s="530"/>
      <c r="AH798" s="541"/>
      <c r="AI798" s="541"/>
    </row>
    <row r="799" customFormat="false" ht="15.75" hidden="false" customHeight="false" outlineLevel="0" collapsed="false">
      <c r="AE799" s="530"/>
      <c r="AH799" s="541"/>
      <c r="AI799" s="541"/>
    </row>
    <row r="800" customFormat="false" ht="15.75" hidden="false" customHeight="false" outlineLevel="0" collapsed="false">
      <c r="AE800" s="530"/>
      <c r="AH800" s="541"/>
      <c r="AI800" s="541"/>
    </row>
    <row r="801" customFormat="false" ht="15.75" hidden="false" customHeight="false" outlineLevel="0" collapsed="false">
      <c r="AE801" s="530"/>
      <c r="AH801" s="541"/>
      <c r="AI801" s="541"/>
    </row>
    <row r="802" customFormat="false" ht="15.75" hidden="false" customHeight="false" outlineLevel="0" collapsed="false">
      <c r="AE802" s="530"/>
      <c r="AH802" s="541"/>
      <c r="AI802" s="541"/>
    </row>
    <row r="803" customFormat="false" ht="15.75" hidden="false" customHeight="false" outlineLevel="0" collapsed="false">
      <c r="AE803" s="530"/>
      <c r="AH803" s="541"/>
      <c r="AI803" s="541"/>
    </row>
    <row r="804" customFormat="false" ht="15.75" hidden="false" customHeight="false" outlineLevel="0" collapsed="false">
      <c r="AE804" s="530"/>
      <c r="AH804" s="541"/>
      <c r="AI804" s="541"/>
    </row>
    <row r="805" customFormat="false" ht="15.75" hidden="false" customHeight="false" outlineLevel="0" collapsed="false">
      <c r="AE805" s="530"/>
      <c r="AH805" s="541"/>
      <c r="AI805" s="541"/>
    </row>
    <row r="806" customFormat="false" ht="15.75" hidden="false" customHeight="false" outlineLevel="0" collapsed="false">
      <c r="AE806" s="530"/>
      <c r="AH806" s="541"/>
      <c r="AI806" s="541"/>
    </row>
    <row r="807" customFormat="false" ht="15.75" hidden="false" customHeight="false" outlineLevel="0" collapsed="false">
      <c r="AE807" s="530"/>
      <c r="AH807" s="541"/>
      <c r="AI807" s="541"/>
    </row>
    <row r="808" customFormat="false" ht="15.75" hidden="false" customHeight="false" outlineLevel="0" collapsed="false">
      <c r="AE808" s="530"/>
      <c r="AH808" s="541"/>
      <c r="AI808" s="541"/>
    </row>
    <row r="809" customFormat="false" ht="15.75" hidden="false" customHeight="false" outlineLevel="0" collapsed="false">
      <c r="AE809" s="530"/>
      <c r="AH809" s="541"/>
      <c r="AI809" s="541"/>
    </row>
    <row r="810" customFormat="false" ht="15.75" hidden="false" customHeight="false" outlineLevel="0" collapsed="false">
      <c r="AE810" s="530"/>
      <c r="AH810" s="541"/>
      <c r="AI810" s="541"/>
    </row>
    <row r="811" customFormat="false" ht="15.75" hidden="false" customHeight="false" outlineLevel="0" collapsed="false">
      <c r="AE811" s="530"/>
      <c r="AH811" s="541"/>
      <c r="AI811" s="541"/>
    </row>
    <row r="812" customFormat="false" ht="15.75" hidden="false" customHeight="false" outlineLevel="0" collapsed="false">
      <c r="AE812" s="530"/>
      <c r="AH812" s="541"/>
      <c r="AI812" s="541"/>
    </row>
    <row r="813" customFormat="false" ht="15.75" hidden="false" customHeight="false" outlineLevel="0" collapsed="false">
      <c r="AE813" s="530"/>
      <c r="AH813" s="541"/>
      <c r="AI813" s="541"/>
    </row>
    <row r="814" customFormat="false" ht="15.75" hidden="false" customHeight="false" outlineLevel="0" collapsed="false">
      <c r="AE814" s="530"/>
      <c r="AH814" s="541"/>
      <c r="AI814" s="541"/>
    </row>
    <row r="815" customFormat="false" ht="15.75" hidden="false" customHeight="false" outlineLevel="0" collapsed="false">
      <c r="AE815" s="530"/>
      <c r="AH815" s="541"/>
      <c r="AI815" s="541"/>
    </row>
    <row r="816" customFormat="false" ht="15.75" hidden="false" customHeight="false" outlineLevel="0" collapsed="false">
      <c r="AE816" s="530"/>
      <c r="AH816" s="541"/>
      <c r="AI816" s="541"/>
    </row>
    <row r="817" customFormat="false" ht="15.75" hidden="false" customHeight="false" outlineLevel="0" collapsed="false">
      <c r="AE817" s="530"/>
      <c r="AH817" s="541"/>
      <c r="AI817" s="541"/>
    </row>
    <row r="818" customFormat="false" ht="15.75" hidden="false" customHeight="false" outlineLevel="0" collapsed="false">
      <c r="AE818" s="530"/>
      <c r="AH818" s="541"/>
      <c r="AI818" s="541"/>
    </row>
    <row r="819" customFormat="false" ht="15.75" hidden="false" customHeight="false" outlineLevel="0" collapsed="false">
      <c r="AE819" s="530"/>
      <c r="AH819" s="541"/>
      <c r="AI819" s="541"/>
    </row>
    <row r="820" customFormat="false" ht="15.75" hidden="false" customHeight="false" outlineLevel="0" collapsed="false">
      <c r="AE820" s="530"/>
      <c r="AH820" s="541"/>
      <c r="AI820" s="541"/>
    </row>
    <row r="821" customFormat="false" ht="15.75" hidden="false" customHeight="false" outlineLevel="0" collapsed="false">
      <c r="AE821" s="530"/>
      <c r="AH821" s="541"/>
      <c r="AI821" s="541"/>
    </row>
    <row r="822" customFormat="false" ht="15.75" hidden="false" customHeight="false" outlineLevel="0" collapsed="false">
      <c r="AE822" s="530"/>
      <c r="AH822" s="541"/>
      <c r="AI822" s="541"/>
    </row>
    <row r="823" customFormat="false" ht="15.75" hidden="false" customHeight="false" outlineLevel="0" collapsed="false">
      <c r="AE823" s="530"/>
      <c r="AH823" s="541"/>
      <c r="AI823" s="541"/>
    </row>
    <row r="824" customFormat="false" ht="15.75" hidden="false" customHeight="false" outlineLevel="0" collapsed="false">
      <c r="AE824" s="530"/>
      <c r="AH824" s="541"/>
      <c r="AI824" s="541"/>
    </row>
    <row r="825" customFormat="false" ht="15.75" hidden="false" customHeight="false" outlineLevel="0" collapsed="false">
      <c r="AE825" s="530"/>
      <c r="AH825" s="541"/>
      <c r="AI825" s="541"/>
    </row>
    <row r="826" customFormat="false" ht="15.75" hidden="false" customHeight="false" outlineLevel="0" collapsed="false">
      <c r="AE826" s="530"/>
      <c r="AH826" s="541"/>
      <c r="AI826" s="541"/>
    </row>
    <row r="827" customFormat="false" ht="15.75" hidden="false" customHeight="false" outlineLevel="0" collapsed="false">
      <c r="AE827" s="530"/>
      <c r="AH827" s="541"/>
      <c r="AI827" s="541"/>
    </row>
    <row r="828" customFormat="false" ht="15.75" hidden="false" customHeight="false" outlineLevel="0" collapsed="false">
      <c r="AE828" s="530"/>
      <c r="AH828" s="541"/>
      <c r="AI828" s="541"/>
    </row>
    <row r="829" customFormat="false" ht="15.75" hidden="false" customHeight="false" outlineLevel="0" collapsed="false">
      <c r="AE829" s="530"/>
      <c r="AH829" s="541"/>
      <c r="AI829" s="541"/>
    </row>
    <row r="830" customFormat="false" ht="15.75" hidden="false" customHeight="false" outlineLevel="0" collapsed="false">
      <c r="AE830" s="530"/>
      <c r="AH830" s="541"/>
      <c r="AI830" s="541"/>
    </row>
    <row r="831" customFormat="false" ht="15.75" hidden="false" customHeight="false" outlineLevel="0" collapsed="false">
      <c r="AE831" s="530"/>
      <c r="AH831" s="541"/>
      <c r="AI831" s="541"/>
    </row>
    <row r="832" customFormat="false" ht="15.75" hidden="false" customHeight="false" outlineLevel="0" collapsed="false">
      <c r="AE832" s="530"/>
      <c r="AH832" s="541"/>
      <c r="AI832" s="541"/>
    </row>
    <row r="833" customFormat="false" ht="15.75" hidden="false" customHeight="false" outlineLevel="0" collapsed="false">
      <c r="AE833" s="530"/>
      <c r="AH833" s="541"/>
      <c r="AI833" s="541"/>
    </row>
    <row r="834" customFormat="false" ht="15.75" hidden="false" customHeight="false" outlineLevel="0" collapsed="false">
      <c r="AE834" s="530"/>
      <c r="AH834" s="541"/>
      <c r="AI834" s="541"/>
    </row>
    <row r="835" customFormat="false" ht="15.75" hidden="false" customHeight="false" outlineLevel="0" collapsed="false">
      <c r="AE835" s="530"/>
      <c r="AH835" s="541"/>
      <c r="AI835" s="541"/>
    </row>
    <row r="836" customFormat="false" ht="15.75" hidden="false" customHeight="false" outlineLevel="0" collapsed="false">
      <c r="AE836" s="530"/>
      <c r="AH836" s="541"/>
      <c r="AI836" s="541"/>
    </row>
    <row r="837" customFormat="false" ht="15.75" hidden="false" customHeight="false" outlineLevel="0" collapsed="false">
      <c r="AE837" s="530"/>
      <c r="AH837" s="541"/>
      <c r="AI837" s="541"/>
    </row>
    <row r="838" customFormat="false" ht="15.75" hidden="false" customHeight="false" outlineLevel="0" collapsed="false">
      <c r="AE838" s="530"/>
      <c r="AH838" s="541"/>
      <c r="AI838" s="541"/>
    </row>
    <row r="839" customFormat="false" ht="15.75" hidden="false" customHeight="false" outlineLevel="0" collapsed="false">
      <c r="AE839" s="530"/>
      <c r="AH839" s="541"/>
      <c r="AI839" s="541"/>
    </row>
    <row r="840" customFormat="false" ht="15.75" hidden="false" customHeight="false" outlineLevel="0" collapsed="false">
      <c r="AE840" s="530"/>
      <c r="AH840" s="541"/>
      <c r="AI840" s="541"/>
    </row>
    <row r="841" customFormat="false" ht="15.75" hidden="false" customHeight="false" outlineLevel="0" collapsed="false">
      <c r="AE841" s="530"/>
      <c r="AH841" s="541"/>
      <c r="AI841" s="541"/>
    </row>
    <row r="842" customFormat="false" ht="15.75" hidden="false" customHeight="false" outlineLevel="0" collapsed="false">
      <c r="AE842" s="530"/>
      <c r="AH842" s="541"/>
      <c r="AI842" s="541"/>
    </row>
    <row r="843" customFormat="false" ht="15.75" hidden="false" customHeight="false" outlineLevel="0" collapsed="false">
      <c r="AE843" s="530"/>
      <c r="AH843" s="541"/>
      <c r="AI843" s="541"/>
    </row>
    <row r="844" customFormat="false" ht="15.75" hidden="false" customHeight="false" outlineLevel="0" collapsed="false">
      <c r="AE844" s="530"/>
      <c r="AH844" s="541"/>
      <c r="AI844" s="541"/>
    </row>
    <row r="845" customFormat="false" ht="15.75" hidden="false" customHeight="false" outlineLevel="0" collapsed="false">
      <c r="AE845" s="530"/>
      <c r="AH845" s="541"/>
      <c r="AI845" s="541"/>
    </row>
    <row r="846" customFormat="false" ht="15.75" hidden="false" customHeight="false" outlineLevel="0" collapsed="false">
      <c r="AE846" s="530"/>
      <c r="AH846" s="541"/>
      <c r="AI846" s="541"/>
    </row>
    <row r="847" customFormat="false" ht="15.75" hidden="false" customHeight="false" outlineLevel="0" collapsed="false">
      <c r="AE847" s="530"/>
      <c r="AH847" s="541"/>
      <c r="AI847" s="541"/>
    </row>
    <row r="848" customFormat="false" ht="15.75" hidden="false" customHeight="false" outlineLevel="0" collapsed="false">
      <c r="AE848" s="530"/>
      <c r="AH848" s="541"/>
      <c r="AI848" s="541"/>
    </row>
    <row r="849" customFormat="false" ht="15.75" hidden="false" customHeight="false" outlineLevel="0" collapsed="false">
      <c r="AE849" s="530"/>
      <c r="AH849" s="541"/>
      <c r="AI849" s="541"/>
    </row>
    <row r="850" customFormat="false" ht="15.75" hidden="false" customHeight="false" outlineLevel="0" collapsed="false">
      <c r="AE850" s="530"/>
      <c r="AH850" s="541"/>
      <c r="AI850" s="541"/>
    </row>
    <row r="851" customFormat="false" ht="15.75" hidden="false" customHeight="false" outlineLevel="0" collapsed="false">
      <c r="AE851" s="530"/>
      <c r="AH851" s="541"/>
      <c r="AI851" s="541"/>
    </row>
    <row r="852" customFormat="false" ht="15.75" hidden="false" customHeight="false" outlineLevel="0" collapsed="false">
      <c r="AE852" s="530"/>
      <c r="AH852" s="541"/>
      <c r="AI852" s="541"/>
    </row>
    <row r="853" customFormat="false" ht="15.75" hidden="false" customHeight="false" outlineLevel="0" collapsed="false">
      <c r="AE853" s="530"/>
      <c r="AH853" s="541"/>
      <c r="AI853" s="541"/>
    </row>
    <row r="854" customFormat="false" ht="15.75" hidden="false" customHeight="false" outlineLevel="0" collapsed="false">
      <c r="AE854" s="530"/>
      <c r="AH854" s="541"/>
      <c r="AI854" s="541"/>
    </row>
    <row r="855" customFormat="false" ht="15.75" hidden="false" customHeight="false" outlineLevel="0" collapsed="false">
      <c r="AE855" s="530"/>
      <c r="AH855" s="541"/>
      <c r="AI855" s="541"/>
    </row>
    <row r="856" customFormat="false" ht="15.75" hidden="false" customHeight="false" outlineLevel="0" collapsed="false">
      <c r="AE856" s="530"/>
      <c r="AH856" s="541"/>
      <c r="AI856" s="541"/>
    </row>
    <row r="857" customFormat="false" ht="15.75" hidden="false" customHeight="false" outlineLevel="0" collapsed="false">
      <c r="AE857" s="530"/>
      <c r="AH857" s="541"/>
      <c r="AI857" s="541"/>
    </row>
    <row r="858" customFormat="false" ht="15.75" hidden="false" customHeight="false" outlineLevel="0" collapsed="false">
      <c r="AE858" s="530"/>
      <c r="AH858" s="541"/>
      <c r="AI858" s="541"/>
    </row>
    <row r="859" customFormat="false" ht="15.75" hidden="false" customHeight="false" outlineLevel="0" collapsed="false">
      <c r="AE859" s="530"/>
      <c r="AH859" s="541"/>
      <c r="AI859" s="541"/>
    </row>
    <row r="860" customFormat="false" ht="15.75" hidden="false" customHeight="false" outlineLevel="0" collapsed="false">
      <c r="AE860" s="530"/>
      <c r="AH860" s="541"/>
      <c r="AI860" s="541"/>
    </row>
    <row r="861" customFormat="false" ht="15.75" hidden="false" customHeight="false" outlineLevel="0" collapsed="false">
      <c r="AE861" s="530"/>
      <c r="AH861" s="541"/>
      <c r="AI861" s="541"/>
    </row>
    <row r="862" customFormat="false" ht="15.75" hidden="false" customHeight="false" outlineLevel="0" collapsed="false">
      <c r="AE862" s="530"/>
      <c r="AH862" s="541"/>
      <c r="AI862" s="541"/>
    </row>
    <row r="863" customFormat="false" ht="15.75" hidden="false" customHeight="false" outlineLevel="0" collapsed="false">
      <c r="AE863" s="530"/>
      <c r="AH863" s="541"/>
      <c r="AI863" s="541"/>
    </row>
    <row r="864" customFormat="false" ht="15.75" hidden="false" customHeight="false" outlineLevel="0" collapsed="false">
      <c r="AE864" s="530"/>
      <c r="AH864" s="541"/>
      <c r="AI864" s="541"/>
    </row>
    <row r="865" customFormat="false" ht="15.75" hidden="false" customHeight="false" outlineLevel="0" collapsed="false">
      <c r="AE865" s="530"/>
      <c r="AH865" s="541"/>
      <c r="AI865" s="541"/>
    </row>
    <row r="866" customFormat="false" ht="15.75" hidden="false" customHeight="false" outlineLevel="0" collapsed="false">
      <c r="AE866" s="530"/>
      <c r="AH866" s="541"/>
      <c r="AI866" s="541"/>
    </row>
    <row r="867" customFormat="false" ht="15.75" hidden="false" customHeight="false" outlineLevel="0" collapsed="false">
      <c r="AE867" s="530"/>
      <c r="AH867" s="541"/>
      <c r="AI867" s="541"/>
    </row>
    <row r="868" customFormat="false" ht="15.75" hidden="false" customHeight="false" outlineLevel="0" collapsed="false">
      <c r="AE868" s="530"/>
      <c r="AH868" s="541"/>
      <c r="AI868" s="541"/>
    </row>
    <row r="869" customFormat="false" ht="15.75" hidden="false" customHeight="false" outlineLevel="0" collapsed="false">
      <c r="AE869" s="530"/>
      <c r="AH869" s="541"/>
      <c r="AI869" s="541"/>
    </row>
    <row r="870" customFormat="false" ht="15.75" hidden="false" customHeight="false" outlineLevel="0" collapsed="false">
      <c r="AE870" s="530"/>
      <c r="AH870" s="541"/>
      <c r="AI870" s="541"/>
    </row>
    <row r="871" customFormat="false" ht="15.75" hidden="false" customHeight="false" outlineLevel="0" collapsed="false">
      <c r="AE871" s="530"/>
      <c r="AH871" s="541"/>
      <c r="AI871" s="541"/>
    </row>
    <row r="872" customFormat="false" ht="15.75" hidden="false" customHeight="false" outlineLevel="0" collapsed="false">
      <c r="AE872" s="530"/>
      <c r="AH872" s="541"/>
      <c r="AI872" s="541"/>
    </row>
    <row r="873" customFormat="false" ht="15.75" hidden="false" customHeight="false" outlineLevel="0" collapsed="false">
      <c r="AE873" s="530"/>
      <c r="AH873" s="541"/>
      <c r="AI873" s="541"/>
    </row>
    <row r="874" customFormat="false" ht="15.75" hidden="false" customHeight="false" outlineLevel="0" collapsed="false">
      <c r="AE874" s="530"/>
      <c r="AH874" s="541"/>
      <c r="AI874" s="541"/>
    </row>
    <row r="875" customFormat="false" ht="15.75" hidden="false" customHeight="false" outlineLevel="0" collapsed="false">
      <c r="AE875" s="530"/>
      <c r="AH875" s="541"/>
      <c r="AI875" s="541"/>
    </row>
    <row r="876" customFormat="false" ht="15.75" hidden="false" customHeight="false" outlineLevel="0" collapsed="false">
      <c r="AE876" s="530"/>
      <c r="AH876" s="541"/>
      <c r="AI876" s="541"/>
    </row>
    <row r="877" customFormat="false" ht="15.75" hidden="false" customHeight="false" outlineLevel="0" collapsed="false">
      <c r="AE877" s="530"/>
      <c r="AH877" s="541"/>
      <c r="AI877" s="541"/>
    </row>
    <row r="878" customFormat="false" ht="15.75" hidden="false" customHeight="false" outlineLevel="0" collapsed="false">
      <c r="AE878" s="530"/>
      <c r="AH878" s="541"/>
      <c r="AI878" s="541"/>
    </row>
    <row r="879" customFormat="false" ht="15.75" hidden="false" customHeight="false" outlineLevel="0" collapsed="false">
      <c r="AE879" s="530"/>
      <c r="AH879" s="541"/>
      <c r="AI879" s="541"/>
    </row>
    <row r="880" customFormat="false" ht="15.75" hidden="false" customHeight="false" outlineLevel="0" collapsed="false">
      <c r="AE880" s="530"/>
      <c r="AH880" s="541"/>
      <c r="AI880" s="541"/>
    </row>
    <row r="881" customFormat="false" ht="15.75" hidden="false" customHeight="false" outlineLevel="0" collapsed="false">
      <c r="AE881" s="530"/>
      <c r="AH881" s="541"/>
      <c r="AI881" s="541"/>
    </row>
    <row r="882" customFormat="false" ht="15.75" hidden="false" customHeight="false" outlineLevel="0" collapsed="false">
      <c r="AE882" s="530"/>
      <c r="AH882" s="541"/>
      <c r="AI882" s="541"/>
    </row>
    <row r="883" customFormat="false" ht="15.75" hidden="false" customHeight="false" outlineLevel="0" collapsed="false">
      <c r="AE883" s="530"/>
      <c r="AH883" s="541"/>
      <c r="AI883" s="541"/>
    </row>
    <row r="884" customFormat="false" ht="15.75" hidden="false" customHeight="false" outlineLevel="0" collapsed="false">
      <c r="AE884" s="530"/>
      <c r="AH884" s="541"/>
      <c r="AI884" s="541"/>
    </row>
    <row r="885" customFormat="false" ht="15.75" hidden="false" customHeight="false" outlineLevel="0" collapsed="false">
      <c r="AE885" s="530"/>
      <c r="AH885" s="541"/>
      <c r="AI885" s="541"/>
    </row>
    <row r="886" customFormat="false" ht="15.75" hidden="false" customHeight="false" outlineLevel="0" collapsed="false">
      <c r="AE886" s="530"/>
      <c r="AH886" s="541"/>
      <c r="AI886" s="541"/>
    </row>
    <row r="887" customFormat="false" ht="15.75" hidden="false" customHeight="false" outlineLevel="0" collapsed="false">
      <c r="AE887" s="530"/>
      <c r="AH887" s="541"/>
      <c r="AI887" s="541"/>
    </row>
    <row r="888" customFormat="false" ht="15.75" hidden="false" customHeight="false" outlineLevel="0" collapsed="false">
      <c r="AE888" s="530"/>
      <c r="AH888" s="541"/>
      <c r="AI888" s="541"/>
    </row>
    <row r="889" customFormat="false" ht="15.75" hidden="false" customHeight="false" outlineLevel="0" collapsed="false">
      <c r="AE889" s="530"/>
      <c r="AH889" s="541"/>
      <c r="AI889" s="541"/>
    </row>
    <row r="890" customFormat="false" ht="15.75" hidden="false" customHeight="false" outlineLevel="0" collapsed="false">
      <c r="AE890" s="530"/>
      <c r="AH890" s="541"/>
      <c r="AI890" s="541"/>
    </row>
    <row r="891" customFormat="false" ht="15.75" hidden="false" customHeight="false" outlineLevel="0" collapsed="false">
      <c r="AE891" s="530"/>
      <c r="AH891" s="541"/>
      <c r="AI891" s="541"/>
    </row>
    <row r="892" customFormat="false" ht="15.75" hidden="false" customHeight="false" outlineLevel="0" collapsed="false">
      <c r="AE892" s="530"/>
      <c r="AH892" s="541"/>
      <c r="AI892" s="541"/>
    </row>
    <row r="893" customFormat="false" ht="15.75" hidden="false" customHeight="false" outlineLevel="0" collapsed="false">
      <c r="AE893" s="530"/>
      <c r="AH893" s="541"/>
      <c r="AI893" s="541"/>
    </row>
    <row r="894" customFormat="false" ht="15.75" hidden="false" customHeight="false" outlineLevel="0" collapsed="false">
      <c r="AE894" s="530"/>
      <c r="AH894" s="541"/>
      <c r="AI894" s="541"/>
    </row>
    <row r="895" customFormat="false" ht="15.75" hidden="false" customHeight="false" outlineLevel="0" collapsed="false">
      <c r="AE895" s="530"/>
      <c r="AH895" s="541"/>
      <c r="AI895" s="541"/>
    </row>
    <row r="896" customFormat="false" ht="15.75" hidden="false" customHeight="false" outlineLevel="0" collapsed="false">
      <c r="AE896" s="530"/>
      <c r="AH896" s="541"/>
      <c r="AI896" s="541"/>
    </row>
    <row r="897" customFormat="false" ht="15.75" hidden="false" customHeight="false" outlineLevel="0" collapsed="false">
      <c r="AE897" s="530"/>
      <c r="AH897" s="541"/>
      <c r="AI897" s="541"/>
    </row>
    <row r="898" customFormat="false" ht="15.75" hidden="false" customHeight="false" outlineLevel="0" collapsed="false">
      <c r="AE898" s="530"/>
      <c r="AH898" s="541"/>
      <c r="AI898" s="541"/>
    </row>
    <row r="899" customFormat="false" ht="15.75" hidden="false" customHeight="false" outlineLevel="0" collapsed="false">
      <c r="AE899" s="530"/>
      <c r="AH899" s="541"/>
      <c r="AI899" s="541"/>
    </row>
    <row r="900" customFormat="false" ht="15.75" hidden="false" customHeight="false" outlineLevel="0" collapsed="false">
      <c r="AE900" s="530"/>
      <c r="AH900" s="541"/>
      <c r="AI900" s="541"/>
    </row>
    <row r="901" customFormat="false" ht="15.75" hidden="false" customHeight="false" outlineLevel="0" collapsed="false">
      <c r="AE901" s="530"/>
      <c r="AH901" s="541"/>
      <c r="AI901" s="541"/>
    </row>
    <row r="902" customFormat="false" ht="15.75" hidden="false" customHeight="false" outlineLevel="0" collapsed="false">
      <c r="AE902" s="530"/>
      <c r="AH902" s="541"/>
      <c r="AI902" s="541"/>
    </row>
    <row r="903" customFormat="false" ht="15.75" hidden="false" customHeight="false" outlineLevel="0" collapsed="false">
      <c r="AE903" s="530"/>
      <c r="AH903" s="541"/>
      <c r="AI903" s="541"/>
    </row>
    <row r="904" customFormat="false" ht="15.75" hidden="false" customHeight="false" outlineLevel="0" collapsed="false">
      <c r="AE904" s="530"/>
      <c r="AH904" s="541"/>
      <c r="AI904" s="541"/>
    </row>
    <row r="905" customFormat="false" ht="15.75" hidden="false" customHeight="false" outlineLevel="0" collapsed="false">
      <c r="AE905" s="530"/>
      <c r="AH905" s="541"/>
      <c r="AI905" s="541"/>
    </row>
    <row r="906" customFormat="false" ht="15.75" hidden="false" customHeight="false" outlineLevel="0" collapsed="false">
      <c r="AE906" s="530"/>
      <c r="AH906" s="541"/>
      <c r="AI906" s="541"/>
    </row>
    <row r="907" customFormat="false" ht="15.75" hidden="false" customHeight="false" outlineLevel="0" collapsed="false">
      <c r="AE907" s="530"/>
      <c r="AH907" s="541"/>
      <c r="AI907" s="541"/>
    </row>
    <row r="908" customFormat="false" ht="15.75" hidden="false" customHeight="false" outlineLevel="0" collapsed="false">
      <c r="AE908" s="530"/>
      <c r="AH908" s="541"/>
      <c r="AI908" s="541"/>
    </row>
    <row r="909" customFormat="false" ht="15.75" hidden="false" customHeight="false" outlineLevel="0" collapsed="false">
      <c r="AE909" s="530"/>
      <c r="AH909" s="541"/>
      <c r="AI909" s="541"/>
    </row>
    <row r="910" customFormat="false" ht="15.75" hidden="false" customHeight="false" outlineLevel="0" collapsed="false">
      <c r="AE910" s="530"/>
      <c r="AH910" s="541"/>
      <c r="AI910" s="541"/>
    </row>
    <row r="911" customFormat="false" ht="15.75" hidden="false" customHeight="false" outlineLevel="0" collapsed="false">
      <c r="AE911" s="530"/>
      <c r="AH911" s="541"/>
      <c r="AI911" s="541"/>
    </row>
    <row r="912" customFormat="false" ht="15.75" hidden="false" customHeight="false" outlineLevel="0" collapsed="false">
      <c r="AE912" s="530"/>
      <c r="AH912" s="541"/>
      <c r="AI912" s="541"/>
    </row>
    <row r="913" customFormat="false" ht="15.75" hidden="false" customHeight="false" outlineLevel="0" collapsed="false">
      <c r="AE913" s="530"/>
      <c r="AH913" s="541"/>
      <c r="AI913" s="541"/>
    </row>
    <row r="914" customFormat="false" ht="15.75" hidden="false" customHeight="false" outlineLevel="0" collapsed="false">
      <c r="AE914" s="530"/>
      <c r="AH914" s="541"/>
      <c r="AI914" s="541"/>
    </row>
    <row r="915" customFormat="false" ht="15.75" hidden="false" customHeight="false" outlineLevel="0" collapsed="false">
      <c r="AE915" s="530"/>
      <c r="AH915" s="541"/>
      <c r="AI915" s="541"/>
    </row>
    <row r="916" customFormat="false" ht="15.75" hidden="false" customHeight="false" outlineLevel="0" collapsed="false">
      <c r="AE916" s="530"/>
      <c r="AH916" s="541"/>
      <c r="AI916" s="541"/>
    </row>
    <row r="917" customFormat="false" ht="15.75" hidden="false" customHeight="false" outlineLevel="0" collapsed="false">
      <c r="AE917" s="530"/>
      <c r="AH917" s="541"/>
      <c r="AI917" s="541"/>
    </row>
    <row r="918" customFormat="false" ht="15.75" hidden="false" customHeight="false" outlineLevel="0" collapsed="false">
      <c r="AE918" s="530"/>
      <c r="AH918" s="541"/>
      <c r="AI918" s="541"/>
    </row>
    <row r="919" customFormat="false" ht="15.75" hidden="false" customHeight="false" outlineLevel="0" collapsed="false">
      <c r="AE919" s="530"/>
      <c r="AH919" s="541"/>
      <c r="AI919" s="541"/>
    </row>
    <row r="920" customFormat="false" ht="15.75" hidden="false" customHeight="false" outlineLevel="0" collapsed="false">
      <c r="AE920" s="530"/>
      <c r="AH920" s="541"/>
      <c r="AI920" s="541"/>
    </row>
    <row r="921" customFormat="false" ht="15.75" hidden="false" customHeight="false" outlineLevel="0" collapsed="false">
      <c r="AE921" s="530"/>
      <c r="AH921" s="541"/>
      <c r="AI921" s="541"/>
    </row>
    <row r="922" customFormat="false" ht="15.75" hidden="false" customHeight="false" outlineLevel="0" collapsed="false">
      <c r="AE922" s="530"/>
      <c r="AH922" s="541"/>
      <c r="AI922" s="541"/>
    </row>
    <row r="923" customFormat="false" ht="15.75" hidden="false" customHeight="false" outlineLevel="0" collapsed="false">
      <c r="AE923" s="530"/>
      <c r="AH923" s="541"/>
      <c r="AI923" s="541"/>
    </row>
    <row r="924" customFormat="false" ht="15.75" hidden="false" customHeight="false" outlineLevel="0" collapsed="false">
      <c r="AE924" s="530"/>
      <c r="AH924" s="541"/>
      <c r="AI924" s="541"/>
    </row>
    <row r="925" customFormat="false" ht="15.75" hidden="false" customHeight="false" outlineLevel="0" collapsed="false">
      <c r="AE925" s="530"/>
      <c r="AH925" s="541"/>
      <c r="AI925" s="541"/>
    </row>
    <row r="926" customFormat="false" ht="15.75" hidden="false" customHeight="false" outlineLevel="0" collapsed="false">
      <c r="AE926" s="530"/>
      <c r="AH926" s="541"/>
      <c r="AI926" s="541"/>
    </row>
    <row r="927" customFormat="false" ht="15.75" hidden="false" customHeight="false" outlineLevel="0" collapsed="false">
      <c r="AE927" s="530"/>
      <c r="AH927" s="541"/>
      <c r="AI927" s="541"/>
    </row>
    <row r="928" customFormat="false" ht="15.75" hidden="false" customHeight="false" outlineLevel="0" collapsed="false">
      <c r="AE928" s="530"/>
      <c r="AH928" s="541"/>
      <c r="AI928" s="541"/>
    </row>
    <row r="929" customFormat="false" ht="15.75" hidden="false" customHeight="false" outlineLevel="0" collapsed="false">
      <c r="AE929" s="530"/>
      <c r="AH929" s="541"/>
      <c r="AI929" s="541"/>
    </row>
    <row r="930" customFormat="false" ht="15.75" hidden="false" customHeight="false" outlineLevel="0" collapsed="false">
      <c r="AE930" s="530"/>
      <c r="AH930" s="541"/>
      <c r="AI930" s="541"/>
    </row>
    <row r="931" customFormat="false" ht="15.75" hidden="false" customHeight="false" outlineLevel="0" collapsed="false">
      <c r="AE931" s="530"/>
      <c r="AH931" s="541"/>
      <c r="AI931" s="541"/>
    </row>
    <row r="932" customFormat="false" ht="15.75" hidden="false" customHeight="false" outlineLevel="0" collapsed="false">
      <c r="AE932" s="530"/>
      <c r="AH932" s="541"/>
      <c r="AI932" s="541"/>
    </row>
    <row r="933" customFormat="false" ht="15.75" hidden="false" customHeight="false" outlineLevel="0" collapsed="false">
      <c r="AE933" s="530"/>
      <c r="AH933" s="541"/>
      <c r="AI933" s="541"/>
    </row>
    <row r="934" customFormat="false" ht="15.75" hidden="false" customHeight="false" outlineLevel="0" collapsed="false">
      <c r="AE934" s="530"/>
      <c r="AH934" s="541"/>
      <c r="AI934" s="541"/>
    </row>
    <row r="935" customFormat="false" ht="15.75" hidden="false" customHeight="false" outlineLevel="0" collapsed="false">
      <c r="AE935" s="530"/>
      <c r="AH935" s="541"/>
      <c r="AI935" s="541"/>
    </row>
    <row r="936" customFormat="false" ht="15.75" hidden="false" customHeight="false" outlineLevel="0" collapsed="false">
      <c r="AE936" s="530"/>
      <c r="AH936" s="541"/>
      <c r="AI936" s="541"/>
    </row>
    <row r="937" customFormat="false" ht="15.75" hidden="false" customHeight="false" outlineLevel="0" collapsed="false">
      <c r="AE937" s="530"/>
      <c r="AH937" s="541"/>
      <c r="AI937" s="541"/>
    </row>
    <row r="938" customFormat="false" ht="15.75" hidden="false" customHeight="false" outlineLevel="0" collapsed="false">
      <c r="AE938" s="530"/>
      <c r="AH938" s="541"/>
      <c r="AI938" s="541"/>
    </row>
    <row r="939" customFormat="false" ht="15.75" hidden="false" customHeight="false" outlineLevel="0" collapsed="false">
      <c r="AE939" s="530"/>
      <c r="AH939" s="541"/>
      <c r="AI939" s="541"/>
    </row>
    <row r="940" customFormat="false" ht="15.75" hidden="false" customHeight="false" outlineLevel="0" collapsed="false">
      <c r="AE940" s="530"/>
      <c r="AH940" s="541"/>
      <c r="AI940" s="541"/>
    </row>
    <row r="941" customFormat="false" ht="15.75" hidden="false" customHeight="false" outlineLevel="0" collapsed="false">
      <c r="AE941" s="530"/>
      <c r="AH941" s="541"/>
      <c r="AI941" s="541"/>
    </row>
    <row r="942" customFormat="false" ht="15.75" hidden="false" customHeight="false" outlineLevel="0" collapsed="false">
      <c r="AE942" s="530"/>
      <c r="AH942" s="541"/>
      <c r="AI942" s="541"/>
    </row>
    <row r="943" customFormat="false" ht="15.75" hidden="false" customHeight="false" outlineLevel="0" collapsed="false">
      <c r="AE943" s="530"/>
      <c r="AH943" s="541"/>
      <c r="AI943" s="541"/>
    </row>
    <row r="944" customFormat="false" ht="15.75" hidden="false" customHeight="false" outlineLevel="0" collapsed="false">
      <c r="AE944" s="530"/>
      <c r="AH944" s="541"/>
      <c r="AI944" s="541"/>
    </row>
    <row r="945" customFormat="false" ht="15.75" hidden="false" customHeight="false" outlineLevel="0" collapsed="false">
      <c r="AE945" s="530"/>
      <c r="AH945" s="541"/>
      <c r="AI945" s="541"/>
    </row>
    <row r="946" customFormat="false" ht="15.75" hidden="false" customHeight="false" outlineLevel="0" collapsed="false">
      <c r="AE946" s="530"/>
      <c r="AH946" s="541"/>
      <c r="AI946" s="541"/>
    </row>
    <row r="947" customFormat="false" ht="15.75" hidden="false" customHeight="false" outlineLevel="0" collapsed="false">
      <c r="AE947" s="530"/>
      <c r="AH947" s="541"/>
      <c r="AI947" s="541"/>
    </row>
    <row r="948" customFormat="false" ht="15.75" hidden="false" customHeight="false" outlineLevel="0" collapsed="false">
      <c r="AE948" s="530"/>
      <c r="AH948" s="541"/>
      <c r="AI948" s="541"/>
    </row>
    <row r="949" customFormat="false" ht="15.75" hidden="false" customHeight="false" outlineLevel="0" collapsed="false">
      <c r="AE949" s="530"/>
      <c r="AH949" s="541"/>
      <c r="AI949" s="541"/>
    </row>
    <row r="950" customFormat="false" ht="15.75" hidden="false" customHeight="false" outlineLevel="0" collapsed="false">
      <c r="AE950" s="530"/>
      <c r="AH950" s="541"/>
      <c r="AI950" s="541"/>
    </row>
    <row r="951" customFormat="false" ht="15.75" hidden="false" customHeight="false" outlineLevel="0" collapsed="false">
      <c r="AE951" s="530"/>
      <c r="AH951" s="541"/>
      <c r="AI951" s="541"/>
    </row>
    <row r="952" customFormat="false" ht="15.75" hidden="false" customHeight="false" outlineLevel="0" collapsed="false">
      <c r="AE952" s="530"/>
      <c r="AH952" s="541"/>
      <c r="AI952" s="541"/>
    </row>
    <row r="953" customFormat="false" ht="15.75" hidden="false" customHeight="false" outlineLevel="0" collapsed="false">
      <c r="AE953" s="530"/>
      <c r="AH953" s="541"/>
      <c r="AI953" s="541"/>
    </row>
    <row r="954" customFormat="false" ht="15.75" hidden="false" customHeight="false" outlineLevel="0" collapsed="false">
      <c r="AE954" s="530"/>
      <c r="AH954" s="541"/>
      <c r="AI954" s="541"/>
    </row>
    <row r="955" customFormat="false" ht="15.75" hidden="false" customHeight="false" outlineLevel="0" collapsed="false">
      <c r="AE955" s="530"/>
      <c r="AH955" s="541"/>
      <c r="AI955" s="541"/>
    </row>
    <row r="956" customFormat="false" ht="15.75" hidden="false" customHeight="false" outlineLevel="0" collapsed="false">
      <c r="AE956" s="530"/>
      <c r="AH956" s="541"/>
      <c r="AI956" s="541"/>
    </row>
    <row r="957" customFormat="false" ht="15.75" hidden="false" customHeight="false" outlineLevel="0" collapsed="false">
      <c r="AE957" s="530"/>
      <c r="AH957" s="541"/>
      <c r="AI957" s="541"/>
    </row>
    <row r="958" customFormat="false" ht="15.75" hidden="false" customHeight="false" outlineLevel="0" collapsed="false">
      <c r="AE958" s="530"/>
      <c r="AH958" s="541"/>
      <c r="AI958" s="541"/>
    </row>
    <row r="959" customFormat="false" ht="15.75" hidden="false" customHeight="false" outlineLevel="0" collapsed="false">
      <c r="AE959" s="530"/>
      <c r="AH959" s="541"/>
      <c r="AI959" s="541"/>
    </row>
    <row r="960" customFormat="false" ht="15.75" hidden="false" customHeight="false" outlineLevel="0" collapsed="false">
      <c r="AE960" s="530"/>
      <c r="AH960" s="541"/>
      <c r="AI960" s="541"/>
    </row>
    <row r="961" customFormat="false" ht="15.75" hidden="false" customHeight="false" outlineLevel="0" collapsed="false">
      <c r="AE961" s="530"/>
      <c r="AH961" s="541"/>
      <c r="AI961" s="541"/>
    </row>
    <row r="962" customFormat="false" ht="15.75" hidden="false" customHeight="false" outlineLevel="0" collapsed="false">
      <c r="AE962" s="530"/>
      <c r="AH962" s="541"/>
      <c r="AI962" s="541"/>
    </row>
    <row r="963" customFormat="false" ht="15.75" hidden="false" customHeight="false" outlineLevel="0" collapsed="false">
      <c r="AE963" s="530"/>
      <c r="AH963" s="541"/>
      <c r="AI963" s="541"/>
    </row>
    <row r="964" customFormat="false" ht="15.75" hidden="false" customHeight="false" outlineLevel="0" collapsed="false">
      <c r="AE964" s="530"/>
      <c r="AH964" s="541"/>
      <c r="AI964" s="541"/>
    </row>
    <row r="965" customFormat="false" ht="15.75" hidden="false" customHeight="false" outlineLevel="0" collapsed="false">
      <c r="AE965" s="530"/>
      <c r="AH965" s="541"/>
      <c r="AI965" s="541"/>
    </row>
    <row r="966" customFormat="false" ht="15.75" hidden="false" customHeight="false" outlineLevel="0" collapsed="false">
      <c r="AE966" s="530"/>
      <c r="AH966" s="541"/>
      <c r="AI966" s="541"/>
    </row>
    <row r="967" customFormat="false" ht="15.75" hidden="false" customHeight="false" outlineLevel="0" collapsed="false">
      <c r="AE967" s="530"/>
      <c r="AH967" s="541"/>
      <c r="AI967" s="541"/>
    </row>
    <row r="968" customFormat="false" ht="15.75" hidden="false" customHeight="false" outlineLevel="0" collapsed="false">
      <c r="AE968" s="530"/>
      <c r="AH968" s="541"/>
      <c r="AI968" s="541"/>
    </row>
    <row r="969" customFormat="false" ht="15.75" hidden="false" customHeight="false" outlineLevel="0" collapsed="false">
      <c r="AE969" s="530"/>
      <c r="AH969" s="541"/>
      <c r="AI969" s="541"/>
    </row>
    <row r="970" customFormat="false" ht="15.75" hidden="false" customHeight="false" outlineLevel="0" collapsed="false">
      <c r="AE970" s="530"/>
      <c r="AH970" s="541"/>
      <c r="AI970" s="541"/>
    </row>
    <row r="971" customFormat="false" ht="15.75" hidden="false" customHeight="false" outlineLevel="0" collapsed="false">
      <c r="AE971" s="530"/>
      <c r="AH971" s="541"/>
      <c r="AI971" s="541"/>
    </row>
    <row r="972" customFormat="false" ht="15.75" hidden="false" customHeight="false" outlineLevel="0" collapsed="false">
      <c r="AE972" s="530"/>
      <c r="AH972" s="541"/>
      <c r="AI972" s="541"/>
    </row>
    <row r="973" customFormat="false" ht="15.75" hidden="false" customHeight="false" outlineLevel="0" collapsed="false">
      <c r="AE973" s="530"/>
      <c r="AH973" s="541"/>
      <c r="AI973" s="541"/>
    </row>
    <row r="974" customFormat="false" ht="15.75" hidden="false" customHeight="false" outlineLevel="0" collapsed="false">
      <c r="AE974" s="530"/>
      <c r="AH974" s="541"/>
      <c r="AI974" s="541"/>
    </row>
    <row r="975" customFormat="false" ht="15.75" hidden="false" customHeight="false" outlineLevel="0" collapsed="false">
      <c r="AE975" s="530"/>
      <c r="AH975" s="541"/>
      <c r="AI975" s="541"/>
    </row>
    <row r="976" customFormat="false" ht="15.75" hidden="false" customHeight="false" outlineLevel="0" collapsed="false">
      <c r="AE976" s="530"/>
      <c r="AH976" s="541"/>
      <c r="AI976" s="541"/>
    </row>
    <row r="977" customFormat="false" ht="15.75" hidden="false" customHeight="false" outlineLevel="0" collapsed="false">
      <c r="AE977" s="530"/>
      <c r="AH977" s="541"/>
      <c r="AI977" s="541"/>
    </row>
    <row r="978" customFormat="false" ht="15.75" hidden="false" customHeight="false" outlineLevel="0" collapsed="false">
      <c r="AE978" s="530"/>
      <c r="AH978" s="541"/>
      <c r="AI978" s="541"/>
    </row>
    <row r="979" customFormat="false" ht="15.75" hidden="false" customHeight="false" outlineLevel="0" collapsed="false">
      <c r="AE979" s="530"/>
      <c r="AH979" s="541"/>
      <c r="AI979" s="541"/>
    </row>
    <row r="980" customFormat="false" ht="15.75" hidden="false" customHeight="false" outlineLevel="0" collapsed="false">
      <c r="AE980" s="530"/>
      <c r="AH980" s="541"/>
      <c r="AI980" s="541"/>
    </row>
    <row r="981" customFormat="false" ht="15.75" hidden="false" customHeight="false" outlineLevel="0" collapsed="false">
      <c r="AE981" s="530"/>
      <c r="AH981" s="541"/>
      <c r="AI981" s="541"/>
    </row>
    <row r="982" customFormat="false" ht="15.75" hidden="false" customHeight="false" outlineLevel="0" collapsed="false">
      <c r="AE982" s="530"/>
      <c r="AH982" s="541"/>
      <c r="AI982" s="541"/>
    </row>
    <row r="983" customFormat="false" ht="15.75" hidden="false" customHeight="false" outlineLevel="0" collapsed="false">
      <c r="AE983" s="530"/>
      <c r="AH983" s="541"/>
      <c r="AI983" s="541"/>
    </row>
    <row r="984" customFormat="false" ht="15.75" hidden="false" customHeight="false" outlineLevel="0" collapsed="false">
      <c r="AE984" s="530"/>
      <c r="AH984" s="541"/>
      <c r="AI984" s="541"/>
    </row>
    <row r="985" customFormat="false" ht="15.75" hidden="false" customHeight="false" outlineLevel="0" collapsed="false">
      <c r="AE985" s="530"/>
      <c r="AH985" s="541"/>
      <c r="AI985" s="541"/>
    </row>
    <row r="986" customFormat="false" ht="15.75" hidden="false" customHeight="false" outlineLevel="0" collapsed="false">
      <c r="AE986" s="530"/>
      <c r="AH986" s="541"/>
      <c r="AI986" s="541"/>
    </row>
    <row r="987" customFormat="false" ht="15.75" hidden="false" customHeight="false" outlineLevel="0" collapsed="false">
      <c r="AE987" s="530"/>
      <c r="AH987" s="541"/>
      <c r="AI987" s="541"/>
    </row>
    <row r="988" customFormat="false" ht="15.75" hidden="false" customHeight="false" outlineLevel="0" collapsed="false">
      <c r="AE988" s="530"/>
      <c r="AH988" s="541"/>
      <c r="AI988" s="541"/>
    </row>
    <row r="989" customFormat="false" ht="15.75" hidden="false" customHeight="false" outlineLevel="0" collapsed="false">
      <c r="AE989" s="530"/>
      <c r="AH989" s="541"/>
      <c r="AI989" s="541"/>
    </row>
    <row r="990" customFormat="false" ht="15.75" hidden="false" customHeight="false" outlineLevel="0" collapsed="false">
      <c r="AE990" s="530"/>
      <c r="AH990" s="541"/>
      <c r="AI990" s="541"/>
    </row>
    <row r="991" customFormat="false" ht="15.75" hidden="false" customHeight="false" outlineLevel="0" collapsed="false">
      <c r="AE991" s="530"/>
      <c r="AH991" s="541"/>
      <c r="AI991" s="541"/>
    </row>
    <row r="992" customFormat="false" ht="15.75" hidden="false" customHeight="false" outlineLevel="0" collapsed="false">
      <c r="AE992" s="530"/>
      <c r="AH992" s="541"/>
      <c r="AI992" s="541"/>
    </row>
    <row r="993" customFormat="false" ht="15.75" hidden="false" customHeight="false" outlineLevel="0" collapsed="false">
      <c r="AE993" s="530"/>
      <c r="AH993" s="541"/>
      <c r="AI993" s="541"/>
    </row>
    <row r="994" customFormat="false" ht="15.75" hidden="false" customHeight="false" outlineLevel="0" collapsed="false">
      <c r="AE994" s="530"/>
      <c r="AH994" s="541"/>
      <c r="AI994" s="541"/>
    </row>
    <row r="995" customFormat="false" ht="15.75" hidden="false" customHeight="false" outlineLevel="0" collapsed="false">
      <c r="AE995" s="530"/>
      <c r="AH995" s="541"/>
      <c r="AI995" s="541"/>
    </row>
    <row r="996" customFormat="false" ht="15.75" hidden="false" customHeight="false" outlineLevel="0" collapsed="false">
      <c r="AE996" s="530"/>
      <c r="AH996" s="541"/>
      <c r="AI996" s="541"/>
    </row>
    <row r="997" customFormat="false" ht="15.75" hidden="false" customHeight="false" outlineLevel="0" collapsed="false">
      <c r="AE997" s="530"/>
      <c r="AH997" s="541"/>
      <c r="AI997" s="541"/>
    </row>
    <row r="998" customFormat="false" ht="15.75" hidden="false" customHeight="false" outlineLevel="0" collapsed="false">
      <c r="AE998" s="530"/>
      <c r="AH998" s="541"/>
      <c r="AI998" s="541"/>
    </row>
    <row r="999" customFormat="false" ht="15.75" hidden="false" customHeight="false" outlineLevel="0" collapsed="false">
      <c r="AE999" s="530"/>
      <c r="AH999" s="541"/>
      <c r="AI999" s="541"/>
    </row>
    <row r="1000" customFormat="false" ht="15.75" hidden="false" customHeight="false" outlineLevel="0" collapsed="false">
      <c r="AE1000" s="530"/>
      <c r="AH1000" s="541"/>
      <c r="AI1000" s="541"/>
    </row>
    <row r="1001" customFormat="false" ht="15.75" hidden="false" customHeight="false" outlineLevel="0" collapsed="false">
      <c r="AE1001" s="530"/>
      <c r="AH1001" s="541"/>
      <c r="AI1001" s="541"/>
    </row>
    <row r="1002" customFormat="false" ht="15.75" hidden="false" customHeight="false" outlineLevel="0" collapsed="false">
      <c r="AE1002" s="530"/>
      <c r="AH1002" s="541"/>
      <c r="AI1002" s="541"/>
    </row>
    <row r="1003" customFormat="false" ht="15.75" hidden="false" customHeight="false" outlineLevel="0" collapsed="false">
      <c r="AE1003" s="530"/>
      <c r="AH1003" s="541"/>
      <c r="AI1003" s="541"/>
    </row>
    <row r="1004" customFormat="false" ht="15.75" hidden="false" customHeight="false" outlineLevel="0" collapsed="false">
      <c r="AE1004" s="530"/>
      <c r="AH1004" s="541"/>
      <c r="AI1004" s="541"/>
    </row>
    <row r="1005" customFormat="false" ht="15.75" hidden="false" customHeight="false" outlineLevel="0" collapsed="false">
      <c r="AE1005" s="530"/>
      <c r="AH1005" s="541"/>
      <c r="AI1005" s="541"/>
    </row>
    <row r="1006" customFormat="false" ht="15.75" hidden="false" customHeight="false" outlineLevel="0" collapsed="false">
      <c r="AE1006" s="530"/>
      <c r="AH1006" s="541"/>
      <c r="AI1006" s="541"/>
    </row>
    <row r="1007" customFormat="false" ht="15.75" hidden="false" customHeight="false" outlineLevel="0" collapsed="false">
      <c r="AE1007" s="530"/>
      <c r="AH1007" s="541"/>
      <c r="AI1007" s="541"/>
    </row>
    <row r="1008" customFormat="false" ht="15.75" hidden="false" customHeight="false" outlineLevel="0" collapsed="false">
      <c r="AE1008" s="530"/>
      <c r="AH1008" s="541"/>
      <c r="AI1008" s="541"/>
    </row>
    <row r="1009" customFormat="false" ht="15.75" hidden="false" customHeight="false" outlineLevel="0" collapsed="false">
      <c r="AE1009" s="530"/>
      <c r="AH1009" s="541"/>
      <c r="AI1009" s="541"/>
    </row>
    <row r="1010" customFormat="false" ht="15.75" hidden="false" customHeight="false" outlineLevel="0" collapsed="false">
      <c r="AE1010" s="530"/>
      <c r="AH1010" s="541"/>
      <c r="AI1010" s="541"/>
    </row>
    <row r="1011" customFormat="false" ht="15.75" hidden="false" customHeight="false" outlineLevel="0" collapsed="false">
      <c r="AE1011" s="530"/>
      <c r="AH1011" s="541"/>
      <c r="AI1011" s="541"/>
    </row>
    <row r="1012" customFormat="false" ht="15.75" hidden="false" customHeight="false" outlineLevel="0" collapsed="false">
      <c r="AE1012" s="530"/>
      <c r="AH1012" s="541"/>
      <c r="AI1012" s="541"/>
    </row>
    <row r="1013" customFormat="false" ht="15.75" hidden="false" customHeight="false" outlineLevel="0" collapsed="false">
      <c r="AE1013" s="530"/>
      <c r="AH1013" s="541"/>
      <c r="AI1013" s="541"/>
    </row>
    <row r="1014" customFormat="false" ht="15.75" hidden="false" customHeight="false" outlineLevel="0" collapsed="false">
      <c r="AE1014" s="530"/>
      <c r="AH1014" s="541"/>
      <c r="AI1014" s="541"/>
    </row>
    <row r="1015" customFormat="false" ht="15.75" hidden="false" customHeight="false" outlineLevel="0" collapsed="false">
      <c r="AE1015" s="530"/>
      <c r="AH1015" s="541"/>
      <c r="AI1015" s="541"/>
    </row>
    <row r="1016" customFormat="false" ht="15.75" hidden="false" customHeight="false" outlineLevel="0" collapsed="false">
      <c r="AE1016" s="530"/>
    </row>
    <row r="1017" customFormat="false" ht="15.75" hidden="false" customHeight="false" outlineLevel="0" collapsed="false">
      <c r="AE1017" s="530"/>
      <c r="AH1017" s="541"/>
      <c r="AI1017" s="54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17"/>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M5" activeCellId="0" sqref="M5"/>
    </sheetView>
  </sheetViews>
  <sheetFormatPr defaultColWidth="10.5" defaultRowHeight="15.75" zeroHeight="false" outlineLevelRow="0" outlineLevelCol="0"/>
  <cols>
    <col collapsed="false" customWidth="true" hidden="false" outlineLevel="0" max="1" min="1" style="0" width="27.16"/>
    <col collapsed="false" customWidth="true" hidden="false" outlineLevel="0" max="2" min="2" style="0" width="11.66"/>
    <col collapsed="false" customWidth="true" hidden="false" outlineLevel="0" max="3" min="3" style="0" width="14.5"/>
    <col collapsed="false" customWidth="true" hidden="false" outlineLevel="0" max="4" min="4" style="0" width="17.5"/>
    <col collapsed="false" customWidth="true" hidden="false" outlineLevel="0" max="6" min="5" style="0" width="16.67"/>
    <col collapsed="false" customWidth="true" hidden="false" outlineLevel="0" max="7" min="7" style="0" width="18"/>
    <col collapsed="false" customWidth="true" hidden="false" outlineLevel="0" max="8" min="8" style="0" width="17.5"/>
    <col collapsed="false" customWidth="true" hidden="false" outlineLevel="0" max="9" min="9" style="0" width="13.83"/>
    <col collapsed="false" customWidth="true" hidden="false" outlineLevel="0" max="10" min="10" style="0" width="14"/>
    <col collapsed="false" customWidth="true" hidden="false" outlineLevel="0" max="11" min="11" style="0" width="17.16"/>
    <col collapsed="false" customWidth="true" hidden="false" outlineLevel="0" max="12" min="12" style="0" width="19"/>
    <col collapsed="false" customWidth="true" hidden="false" outlineLevel="0" max="13" min="13" style="0" width="17"/>
    <col collapsed="false" customWidth="true" hidden="false" outlineLevel="0" max="14" min="14" style="0" width="25.66"/>
    <col collapsed="false" customWidth="true" hidden="false" outlineLevel="0" max="15" min="15" style="0" width="20.33"/>
    <col collapsed="false" customWidth="true" hidden="false" outlineLevel="0" max="16" min="16" style="0" width="21.16"/>
    <col collapsed="false" customWidth="true" hidden="false" outlineLevel="0" max="17" min="17" style="0" width="18.83"/>
    <col collapsed="false" customWidth="true" hidden="false" outlineLevel="0" max="22" min="18" style="0" width="21.66"/>
    <col collapsed="false" customWidth="true" hidden="false" outlineLevel="0" max="23" min="23" style="0" width="17.67"/>
    <col collapsed="false" customWidth="true" hidden="false" outlineLevel="0" max="24" min="24" style="0" width="14.84"/>
    <col collapsed="false" customWidth="true" hidden="false" outlineLevel="0" max="28" min="28" style="0" width="3.5"/>
    <col collapsed="false" customWidth="true" hidden="false" outlineLevel="0" max="29" min="29" style="0" width="3.16"/>
    <col collapsed="false" customWidth="true" hidden="false" outlineLevel="0" max="30" min="30" style="0" width="2.16"/>
    <col collapsed="false" customWidth="true" hidden="false" outlineLevel="0" max="31" min="31" style="0" width="7.16"/>
    <col collapsed="false" customWidth="true" hidden="false" outlineLevel="0" max="32" min="32" style="0" width="5.16"/>
    <col collapsed="false" customWidth="true" hidden="false" outlineLevel="0" max="34" min="33" style="0" width="12.33"/>
    <col collapsed="false" customWidth="true" hidden="false" outlineLevel="0" max="35" min="35" style="0" width="8.17"/>
    <col collapsed="false" customWidth="true" hidden="false" outlineLevel="0" max="36" min="36" style="0" width="7.83"/>
    <col collapsed="false" customWidth="true" hidden="false" outlineLevel="0" max="37" min="37" style="0" width="9.17"/>
    <col collapsed="false" customWidth="true" hidden="false" outlineLevel="0" max="40" min="38" style="0" width="12.33"/>
    <col collapsed="false" customWidth="true" hidden="false" outlineLevel="0" max="41" min="41" style="0" width="8.34"/>
  </cols>
  <sheetData>
    <row r="1" customFormat="false" ht="15.75" hidden="false" customHeight="false" outlineLevel="0" collapsed="false">
      <c r="A1" s="529" t="s">
        <v>1945</v>
      </c>
      <c r="B1" s="529" t="s">
        <v>1878</v>
      </c>
      <c r="L1" s="545" t="s">
        <v>1946</v>
      </c>
      <c r="AB1" s="530"/>
      <c r="AO1" s="142"/>
    </row>
    <row r="2" customFormat="false" ht="15.75" hidden="false" customHeight="false" outlineLevel="0" collapsed="false">
      <c r="A2" s="139" t="s">
        <v>1947</v>
      </c>
      <c r="B2" s="546" t="n">
        <f aca="false">'Fractal shoot'!B2*'Fractal shoot'!B13</f>
        <v>0.5</v>
      </c>
      <c r="C2" s="72"/>
      <c r="D2" s="0" t="s">
        <v>1880</v>
      </c>
      <c r="F2" s="0" t="s">
        <v>68</v>
      </c>
      <c r="G2" s="0" t="n">
        <f aca="false">G6*LOG(G5)/LOG(B14/B7*10)</f>
        <v>3.86951393980997</v>
      </c>
      <c r="I2" s="0" t="s">
        <v>1881</v>
      </c>
      <c r="J2" s="0" t="n">
        <f aca="false">(G4/2+B10)^2-2*G4*(-B3)</f>
        <v>0.00118664678861141</v>
      </c>
      <c r="L2" s="0" t="s">
        <v>1948</v>
      </c>
      <c r="M2" s="547" t="n">
        <f aca="false">T120*'sureau_ini.txt'!DS36*1000</f>
        <v>0.0875583045232341</v>
      </c>
      <c r="N2" s="0" t="s">
        <v>1949</v>
      </c>
      <c r="O2" s="0" t="n">
        <f aca="false">T120</f>
        <v>0.000218895761308085</v>
      </c>
      <c r="AB2" s="530"/>
      <c r="AO2" s="142"/>
    </row>
    <row r="3" customFormat="false" ht="15.75" hidden="false" customHeight="false" outlineLevel="0" collapsed="false">
      <c r="A3" s="139" t="s">
        <v>1950</v>
      </c>
      <c r="B3" s="546" t="n">
        <f aca="false">'sureau_ini.txt'!E26*B2</f>
        <v>0.15</v>
      </c>
      <c r="C3" s="546"/>
      <c r="D3" s="0" t="s">
        <v>1885</v>
      </c>
      <c r="F3" s="0" t="s">
        <v>84</v>
      </c>
      <c r="G3" s="0" t="n">
        <f aca="false">G6*LOG(G5)/LOG(B8/B6*10)</f>
        <v>3.62778784834594</v>
      </c>
      <c r="L3" s="0" t="s">
        <v>1951</v>
      </c>
      <c r="M3" s="547" t="n">
        <f aca="false">T120*'sureau_ini.txt'!DT36*1000</f>
        <v>0.043779152261617</v>
      </c>
      <c r="N3" s="0" t="s">
        <v>1952</v>
      </c>
      <c r="O3" s="0" t="n">
        <f aca="false">R120</f>
        <v>0.000233905225021552</v>
      </c>
      <c r="AB3" s="530"/>
      <c r="AO3" s="142"/>
    </row>
    <row r="4" customFormat="false" ht="15.75" hidden="false" customHeight="false" outlineLevel="0" collapsed="false">
      <c r="A4" s="139" t="s">
        <v>1953</v>
      </c>
      <c r="B4" s="546" t="n">
        <f aca="false">'Fractal shoot'!B4*'sureau_ini.txt'!E21</f>
        <v>0.5</v>
      </c>
      <c r="C4" s="548"/>
      <c r="D4" s="0" t="s">
        <v>95</v>
      </c>
      <c r="F4" s="0" t="s">
        <v>96</v>
      </c>
      <c r="G4" s="0" t="n">
        <f aca="false">2*(B2-B10*101)/(101*100)</f>
        <v>-0.000650990099009901</v>
      </c>
      <c r="L4" s="0" t="s">
        <v>1954</v>
      </c>
      <c r="M4" s="547" t="n">
        <f aca="false">Q120</f>
        <v>0.661273274468413</v>
      </c>
      <c r="AB4" s="530"/>
      <c r="AO4" s="142"/>
    </row>
    <row r="5" customFormat="false" ht="15.75" hidden="false" customHeight="false" outlineLevel="0" collapsed="false">
      <c r="A5" s="139" t="s">
        <v>1955</v>
      </c>
      <c r="B5" s="546" t="n">
        <f aca="false">B10*100*3.1416*B6/10</f>
        <v>1.1781</v>
      </c>
      <c r="C5" s="548"/>
      <c r="D5" s="0" t="s">
        <v>109</v>
      </c>
      <c r="F5" s="0" t="s">
        <v>110</v>
      </c>
      <c r="G5" s="0" t="n">
        <f aca="false">B15^(1/G6)</f>
        <v>7.34684762469724</v>
      </c>
      <c r="L5" s="0" t="s">
        <v>1956</v>
      </c>
      <c r="M5" s="547" t="n">
        <f aca="false">MAX(U21:U120)</f>
        <v>184.636915198554</v>
      </c>
      <c r="AB5" s="530"/>
      <c r="AO5" s="142"/>
    </row>
    <row r="6" customFormat="false" ht="15.75" hidden="false" customHeight="false" outlineLevel="0" collapsed="false">
      <c r="A6" s="139" t="s">
        <v>1957</v>
      </c>
      <c r="B6" s="546" t="n">
        <f aca="false">'sureau_ini.txt'!DL36*1000</f>
        <v>1</v>
      </c>
      <c r="C6" s="548"/>
      <c r="D6" s="0" t="s">
        <v>1958</v>
      </c>
      <c r="F6" s="0" t="s">
        <v>122</v>
      </c>
      <c r="G6" s="0" t="n">
        <f aca="false">(-(G4/2+B10)+SQRT(J2))/G4</f>
        <v>4.18864279329864</v>
      </c>
      <c r="L6" s="0" t="s">
        <v>1959</v>
      </c>
      <c r="M6" s="547" t="n">
        <f aca="false">SUM(V21:V120)/SUM(B21:B120)/100</f>
        <v>0.000649015297777156</v>
      </c>
      <c r="AB6" s="530"/>
      <c r="AO6" s="142"/>
    </row>
    <row r="7" customFormat="false" ht="15.75" hidden="false" customHeight="false" outlineLevel="0" collapsed="false">
      <c r="A7" s="139" t="s">
        <v>1960</v>
      </c>
      <c r="B7" s="546" t="n">
        <f aca="false">B6</f>
        <v>1</v>
      </c>
      <c r="C7" s="548"/>
      <c r="L7" s="0" t="s">
        <v>1961</v>
      </c>
      <c r="M7" s="547" t="n">
        <f aca="false">('sureau_ini.txt'!BN36+'sureau_ini.txt'!BO36+'sureau_ini.txt'!BP36)*M5/'sureau_ini.txt'!BM36^2</f>
        <v>738.547660794218</v>
      </c>
      <c r="AB7" s="530"/>
      <c r="AO7" s="142"/>
    </row>
    <row r="8" customFormat="false" ht="15.75" hidden="false" customHeight="false" outlineLevel="0" collapsed="false">
      <c r="A8" s="139" t="s">
        <v>1962</v>
      </c>
      <c r="B8" s="546" t="n">
        <f aca="false">'Fractal shoot'!B8</f>
        <v>1</v>
      </c>
      <c r="C8" s="548"/>
      <c r="D8" s="0" t="s">
        <v>1963</v>
      </c>
      <c r="E8" s="142" t="n">
        <f aca="false">Y21</f>
        <v>0.895740989304416</v>
      </c>
      <c r="L8" s="0" t="s">
        <v>1964</v>
      </c>
      <c r="M8" s="547" t="n">
        <f aca="false">('sureau_ini.txt'!BN36+'sureau_ini.txt'!BO36+'sureau_ini.txt'!BP36)*M5/'sureau_ini.txt'!BM32</f>
        <v>3194.10967546574</v>
      </c>
      <c r="AB8" s="530"/>
      <c r="AO8" s="142"/>
    </row>
    <row r="9" customFormat="false" ht="15.75" hidden="false" customHeight="false" outlineLevel="0" collapsed="false">
      <c r="A9" s="139" t="s">
        <v>1902</v>
      </c>
      <c r="B9" s="549" t="n">
        <f aca="false">B8*'sureau_ini.txt'!DG36</f>
        <v>0.5</v>
      </c>
      <c r="D9" s="0" t="s">
        <v>1965</v>
      </c>
      <c r="E9" s="142" t="n">
        <f aca="false">1/E8</f>
        <v>1.11639414958173</v>
      </c>
      <c r="AB9" s="530"/>
      <c r="AO9" s="142"/>
    </row>
    <row r="10" customFormat="false" ht="15.75" hidden="false" customHeight="false" outlineLevel="0" collapsed="false">
      <c r="A10" s="139" t="s">
        <v>1966</v>
      </c>
      <c r="B10" s="546" t="n">
        <f aca="false">'sureau_ini.txt'!E27/100</f>
        <v>0.0375</v>
      </c>
      <c r="C10" s="548"/>
      <c r="D10" s="0" t="s">
        <v>524</v>
      </c>
      <c r="E10" s="142" t="n">
        <f aca="false">Z21</f>
        <v>-0.895740989304416</v>
      </c>
      <c r="AB10" s="530"/>
      <c r="AO10" s="142"/>
    </row>
    <row r="11" customFormat="false" ht="15.75" hidden="false" customHeight="false" outlineLevel="0" collapsed="false">
      <c r="A11" s="139" t="s">
        <v>1967</v>
      </c>
      <c r="B11" s="550" t="n">
        <f aca="false">'sureau_ini.txt'!GN36</f>
        <v>200</v>
      </c>
      <c r="C11" s="551" t="str">
        <f aca="false">IF(MIN(C21:C121)&lt;0,"NEGATIVE !!","")</f>
        <v>NEGATIVE !!</v>
      </c>
      <c r="D11" s="0" t="s">
        <v>1968</v>
      </c>
      <c r="E11" s="0" t="n">
        <f aca="false">3*O3</f>
        <v>0.000701715675064655</v>
      </c>
      <c r="G11" s="0" t="s">
        <v>1969</v>
      </c>
      <c r="H11" s="0" t="n">
        <f aca="false">E11/'Fractal shoot'!E15</f>
        <v>3.69107584375718</v>
      </c>
      <c r="AE11" s="530"/>
      <c r="AR11" s="142"/>
    </row>
    <row r="12" customFormat="false" ht="15.75" hidden="false" customHeight="false" outlineLevel="0" collapsed="false">
      <c r="A12" s="139" t="s">
        <v>1908</v>
      </c>
      <c r="B12" s="546" t="n">
        <f aca="false">'Fractal shoot'!B12</f>
        <v>1.8</v>
      </c>
      <c r="D12" s="0" t="s">
        <v>1970</v>
      </c>
      <c r="E12" s="0" t="n">
        <f aca="false">3*M4</f>
        <v>1.98381982340524</v>
      </c>
      <c r="AE12" s="530"/>
      <c r="AR12" s="142"/>
    </row>
    <row r="13" customFormat="false" ht="15.75" hidden="false" customHeight="false" outlineLevel="0" collapsed="false">
      <c r="A13" s="0" t="s">
        <v>1911</v>
      </c>
      <c r="B13" s="142" t="n">
        <f aca="false">1/B11</f>
        <v>0.005</v>
      </c>
      <c r="D13" s="139" t="s">
        <v>250</v>
      </c>
      <c r="E13" s="139" t="n">
        <f aca="false">U21*3/Soil_Width/Soil_Width</f>
        <v>1909.85485103132</v>
      </c>
      <c r="AE13" s="530"/>
      <c r="AR13" s="142"/>
    </row>
    <row r="14" customFormat="false" ht="15.75" hidden="false" customHeight="false" outlineLevel="0" collapsed="false">
      <c r="A14" s="0" t="s">
        <v>1912</v>
      </c>
      <c r="B14" s="0" t="n">
        <f aca="false">SQRT(B9*(2*B8-B9))</f>
        <v>0.866025403784439</v>
      </c>
      <c r="D14" s="139" t="s">
        <v>264</v>
      </c>
      <c r="E14" s="139" t="n">
        <f aca="false">U21*3/'sureau_ini.txt'!BM32</f>
        <v>8259.84047103232</v>
      </c>
      <c r="AE14" s="530"/>
      <c r="AR14" s="142"/>
    </row>
    <row r="15" customFormat="false" ht="15.75" hidden="false" customHeight="false" outlineLevel="0" collapsed="false">
      <c r="A15" s="0" t="s">
        <v>1971</v>
      </c>
      <c r="B15" s="0" t="n">
        <f aca="false">B4/B5*10000</f>
        <v>4244.12189118072</v>
      </c>
      <c r="D15" s="139" t="s">
        <v>280</v>
      </c>
      <c r="E15" s="552" t="n">
        <f aca="false">'sureau_ini.txt'!B24</f>
        <v>1602.63081261912</v>
      </c>
      <c r="H15" s="0" t="n">
        <f aca="false">1.4587^2</f>
        <v>2.12780569</v>
      </c>
      <c r="AE15" s="530"/>
      <c r="AR15" s="142"/>
    </row>
    <row r="16" customFormat="false" ht="15.75" hidden="false" customHeight="false" outlineLevel="0" collapsed="false">
      <c r="A16" s="0" t="s">
        <v>1939</v>
      </c>
      <c r="B16" s="142" t="n">
        <f aca="false">(3.1416/4*(B6/1000)^2)/B5</f>
        <v>6.66666666666667E-007</v>
      </c>
      <c r="AE16" s="530"/>
      <c r="AR16" s="142"/>
    </row>
    <row r="17" customFormat="false" ht="15.75" hidden="false" customHeight="false" outlineLevel="0" collapsed="false">
      <c r="B17" s="142"/>
      <c r="AE17" s="530"/>
      <c r="AR17" s="142"/>
    </row>
    <row r="18" customFormat="false" ht="15.75" hidden="false" customHeight="false" outlineLevel="0" collapsed="false">
      <c r="B18" s="142"/>
      <c r="AE18" s="530"/>
      <c r="AR18" s="142"/>
    </row>
    <row r="19" customFormat="false" ht="15.75" hidden="false" customHeight="false" outlineLevel="0" collapsed="false">
      <c r="B19" s="142"/>
      <c r="AE19" s="530"/>
      <c r="AR19" s="142"/>
    </row>
    <row r="20" customFormat="false" ht="15.75" hidden="false" customHeight="false" outlineLevel="0" collapsed="false">
      <c r="A20" s="545" t="s">
        <v>1946</v>
      </c>
      <c r="B20" s="0" t="s">
        <v>1918</v>
      </c>
      <c r="C20" s="205" t="s">
        <v>1919</v>
      </c>
      <c r="D20" s="0" t="s">
        <v>1920</v>
      </c>
      <c r="E20" s="205" t="s">
        <v>1921</v>
      </c>
      <c r="F20" s="0" t="s">
        <v>1922</v>
      </c>
      <c r="G20" s="205" t="s">
        <v>1923</v>
      </c>
      <c r="H20" s="0" t="s">
        <v>1924</v>
      </c>
      <c r="I20" s="0" t="s">
        <v>1925</v>
      </c>
      <c r="J20" s="0" t="s">
        <v>1926</v>
      </c>
      <c r="K20" s="0" t="s">
        <v>1927</v>
      </c>
      <c r="L20" s="0" t="s">
        <v>1928</v>
      </c>
      <c r="M20" s="0" t="s">
        <v>1929</v>
      </c>
      <c r="N20" s="0" t="s">
        <v>1930</v>
      </c>
      <c r="O20" s="424" t="s">
        <v>1931</v>
      </c>
      <c r="P20" s="0" t="s">
        <v>1932</v>
      </c>
      <c r="Q20" s="424" t="s">
        <v>1972</v>
      </c>
      <c r="R20" s="0" t="s">
        <v>1973</v>
      </c>
      <c r="S20" s="424" t="s">
        <v>1935</v>
      </c>
      <c r="T20" s="424" t="s">
        <v>1936</v>
      </c>
      <c r="U20" s="424" t="s">
        <v>1974</v>
      </c>
      <c r="V20" s="424" t="s">
        <v>1975</v>
      </c>
      <c r="W20" s="538" t="s">
        <v>1941</v>
      </c>
      <c r="X20" s="538" t="s">
        <v>1942</v>
      </c>
      <c r="Y20" s="424" t="s">
        <v>1943</v>
      </c>
      <c r="Z20" s="530" t="s">
        <v>524</v>
      </c>
      <c r="AM20" s="142"/>
    </row>
    <row r="21" customFormat="false" ht="15.75" hidden="false" customHeight="false" outlineLevel="0" collapsed="false">
      <c r="A21" s="0" t="n">
        <v>0</v>
      </c>
      <c r="B21" s="0" t="n">
        <f aca="false">MAX($B$15,1)</f>
        <v>4244.12189118072</v>
      </c>
      <c r="C21" s="0" t="n">
        <f aca="false">$B$10+A21*$G$4</f>
        <v>0.0375</v>
      </c>
      <c r="D21" s="0" t="n">
        <f aca="false">(A21+1)*($B$10+$G$4*A21/2)</f>
        <v>0.0375</v>
      </c>
      <c r="E21" s="0" t="n">
        <f aca="false">B6/10</f>
        <v>0.1</v>
      </c>
      <c r="F21" s="0" t="n">
        <f aca="false">B7/10</f>
        <v>0.1</v>
      </c>
      <c r="G21" s="0" t="n">
        <f aca="false">F21*F21*3.1416/4</f>
        <v>0.007854</v>
      </c>
      <c r="H21" s="0" t="n">
        <f aca="false">E21*E21*3.1416/4</f>
        <v>0.007854</v>
      </c>
      <c r="I21" s="0" t="n">
        <f aca="false">G21*B21</f>
        <v>33.3333333333333</v>
      </c>
      <c r="J21" s="0" t="n">
        <f aca="false">H21*B21</f>
        <v>33.3333333333333</v>
      </c>
      <c r="K21" s="0" t="n">
        <f aca="false">H21-G21</f>
        <v>0</v>
      </c>
      <c r="L21" s="0" t="n">
        <f aca="false">SQRT(4*K21/3.1416)</f>
        <v>0</v>
      </c>
      <c r="M21" s="0" t="n">
        <f aca="false">(E21-L21)/2</f>
        <v>0.05</v>
      </c>
      <c r="N21" s="0" t="n">
        <f aca="false">E21*3.1416</f>
        <v>0.31416</v>
      </c>
      <c r="O21" s="0" t="n">
        <f aca="false">C21*3.1416*E21*B21/100</f>
        <v>0.5</v>
      </c>
      <c r="P21" s="0" t="n">
        <f aca="false">C21*E21/100*E21/100*3.1416/4*B21</f>
        <v>0.000125</v>
      </c>
      <c r="Q21" s="0" t="n">
        <f aca="false">O21</f>
        <v>0.5</v>
      </c>
      <c r="R21" s="0" t="n">
        <f aca="false">P21</f>
        <v>0.000125</v>
      </c>
      <c r="S21" s="0" t="n">
        <f aca="false">G21/10000*C21*B21</f>
        <v>0.000125</v>
      </c>
      <c r="T21" s="0" t="n">
        <f aca="false">S21</f>
        <v>0.000125</v>
      </c>
      <c r="U21" s="0" t="n">
        <f aca="false">C21*B21</f>
        <v>159.154570919277</v>
      </c>
      <c r="V21" s="0" t="n">
        <f aca="false">E21/2*B21</f>
        <v>212.206094559036</v>
      </c>
      <c r="W21" s="142" t="n">
        <f aca="false">C21/(G21/10000)*$B$13*($F$21/F21)^($B$12)</f>
        <v>238.731856378915</v>
      </c>
      <c r="X21" s="142" t="n">
        <f aca="false">W21/B21</f>
        <v>0.05625</v>
      </c>
      <c r="Y21" s="142" t="n">
        <f aca="false">Y22+X21</f>
        <v>0.895740989304416</v>
      </c>
      <c r="Z21" s="540" t="n">
        <f aca="false">-Y21*$B$4*2</f>
        <v>-0.895740989304416</v>
      </c>
      <c r="AA21" s="142"/>
      <c r="AM21" s="142"/>
    </row>
    <row r="22" customFormat="false" ht="15.75" hidden="false" customHeight="false" outlineLevel="0" collapsed="false">
      <c r="A22" s="0" t="n">
        <f aca="false">A21+1</f>
        <v>1</v>
      </c>
      <c r="B22" s="0" t="n">
        <f aca="false">MAX(B21/$G$5,1)</f>
        <v>577.679313357967</v>
      </c>
      <c r="C22" s="0" t="n">
        <f aca="false">$B$10+A22*$G$4</f>
        <v>0.0368490099009901</v>
      </c>
      <c r="D22" s="0" t="n">
        <f aca="false">(A22+1)*($B$10+$G$4*A22/2)</f>
        <v>0.0743490099009901</v>
      </c>
      <c r="E22" s="0" t="n">
        <f aca="false">IF(A22&lt;$G$6,($B$6/10)*$G$5^(A22/$G$3),($B$6/10)*$G$5^($G$6/$G$3))</f>
        <v>0.173276958550849</v>
      </c>
      <c r="F22" s="0" t="n">
        <f aca="false">IF(A22&lt;$G$6,($B$7/10)*$G$5^(A22/$G$2),($B$7/10)*$G$5^($G$6/$G$2))</f>
        <v>0.167427513848687</v>
      </c>
      <c r="G22" s="0" t="n">
        <f aca="false">F22*F22*3.1416/4</f>
        <v>0.022016311117896</v>
      </c>
      <c r="H22" s="0" t="n">
        <f aca="false">E22*E22*3.1416/4</f>
        <v>0.0235815598879825</v>
      </c>
      <c r="I22" s="0" t="n">
        <f aca="false">G22*B22</f>
        <v>12.7183674892615</v>
      </c>
      <c r="J22" s="0" t="n">
        <f aca="false">H22*B22</f>
        <v>13.6225793239995</v>
      </c>
      <c r="K22" s="0" t="n">
        <f aca="false">H22-G22</f>
        <v>0.00156524877008655</v>
      </c>
      <c r="L22" s="0" t="n">
        <f aca="false">SQRT(4*K22/3.1416)</f>
        <v>0.0446422666436238</v>
      </c>
      <c r="M22" s="0" t="n">
        <f aca="false">(E22-L22)/2</f>
        <v>0.0643173459536127</v>
      </c>
      <c r="N22" s="0" t="n">
        <f aca="false">E22*3.1416</f>
        <v>0.544366892983348</v>
      </c>
      <c r="O22" s="0" t="n">
        <f aca="false">C22*3.1416*E22*B22/100</f>
        <v>0.115878894594003</v>
      </c>
      <c r="P22" s="0" t="n">
        <f aca="false">C22*E22/100*E22/100*3.1416/4*B22</f>
        <v>5.01978560387081E-005</v>
      </c>
      <c r="Q22" s="0" t="n">
        <f aca="false">Q21+O22</f>
        <v>0.615878894594003</v>
      </c>
      <c r="R22" s="0" t="n">
        <f aca="false">P22+R21</f>
        <v>0.000175197856038708</v>
      </c>
      <c r="S22" s="0" t="n">
        <f aca="false">G22/10000*C22*B22</f>
        <v>4.68659249536228E-005</v>
      </c>
      <c r="T22" s="0" t="n">
        <f aca="false">T21+S22</f>
        <v>0.000171865924953623</v>
      </c>
      <c r="U22" s="0" t="n">
        <f aca="false">U21+C22*B22</f>
        <v>180.441481656802</v>
      </c>
      <c r="V22" s="0" t="n">
        <f aca="false">E22/2*B22</f>
        <v>50.0492572182057</v>
      </c>
      <c r="W22" s="142" t="n">
        <f aca="false">C22/(G22/10000)*$B$13*($F$21/F22)^($B$12)</f>
        <v>33.0950455199068</v>
      </c>
      <c r="X22" s="142" t="n">
        <f aca="false">W22/B22</f>
        <v>0.0572896497323577</v>
      </c>
      <c r="Y22" s="142" t="n">
        <f aca="false">Y23+X22</f>
        <v>0.839490989304416</v>
      </c>
      <c r="Z22" s="540" t="n">
        <f aca="false">-Y22*$B$4*2</f>
        <v>-0.839490989304416</v>
      </c>
      <c r="AM22" s="142"/>
    </row>
    <row r="23" customFormat="false" ht="15.75" hidden="false" customHeight="false" outlineLevel="0" collapsed="false">
      <c r="A23" s="0" t="n">
        <f aca="false">A22+1</f>
        <v>2</v>
      </c>
      <c r="B23" s="0" t="n">
        <f aca="false">MAX(B22/$G$5,1)</f>
        <v>78.6295487354378</v>
      </c>
      <c r="C23" s="0" t="n">
        <f aca="false">$B$10+A23*$G$4</f>
        <v>0.0361980198019802</v>
      </c>
      <c r="D23" s="0" t="n">
        <f aca="false">(A23+1)*($B$10+$G$4*A23/2)</f>
        <v>0.11054702970297</v>
      </c>
      <c r="E23" s="0" t="n">
        <f aca="false">IF(A23&lt;$G$6,($B$6/10)*$G$5^(A23/$G$3),($B$6/10)*$G$5^($G$6/$G$3))</f>
        <v>0.300249043646327</v>
      </c>
      <c r="F23" s="0" t="n">
        <f aca="false">IF(A23&lt;$G$6,($B$7/10)*$G$5^(A23/$G$2),($B$7/10)*$G$5^($G$6/$G$2))</f>
        <v>0.280319723935523</v>
      </c>
      <c r="G23" s="0" t="n">
        <f aca="false">F23*F23*3.1416/4</f>
        <v>0.0617160625464719</v>
      </c>
      <c r="H23" s="0" t="n">
        <f aca="false">E23*E23*3.1416/4</f>
        <v>0.0708034080405534</v>
      </c>
      <c r="I23" s="0" t="n">
        <f aca="false">G23*B23</f>
        <v>4.85270614775713</v>
      </c>
      <c r="J23" s="0" t="n">
        <f aca="false">H23*B23</f>
        <v>5.56724002315978</v>
      </c>
      <c r="K23" s="0" t="n">
        <f aca="false">H23-G23</f>
        <v>0.00908734549408159</v>
      </c>
      <c r="L23" s="0" t="n">
        <f aca="false">SQRT(4*K23/3.1416)</f>
        <v>0.107565517631099</v>
      </c>
      <c r="M23" s="0" t="n">
        <f aca="false">(E23-L23)/2</f>
        <v>0.0963417630076142</v>
      </c>
      <c r="N23" s="0" t="n">
        <f aca="false">E23*3.1416</f>
        <v>0.943262395519301</v>
      </c>
      <c r="O23" s="0" t="n">
        <f aca="false">C23*3.1416*E23*B23/100</f>
        <v>0.0268474546534236</v>
      </c>
      <c r="P23" s="0" t="n">
        <f aca="false">C23*E23/100*E23/100*3.1416/4*B23</f>
        <v>2.01523064600715E-005</v>
      </c>
      <c r="Q23" s="0" t="n">
        <f aca="false">Q22+O23</f>
        <v>0.642726349247427</v>
      </c>
      <c r="R23" s="0" t="n">
        <f aca="false">P23+R22</f>
        <v>0.00019535016249878</v>
      </c>
      <c r="S23" s="0" t="n">
        <f aca="false">G23/10000*C23*B23</f>
        <v>1.75658353229704E-005</v>
      </c>
      <c r="T23" s="0" t="n">
        <f aca="false">T22+S23</f>
        <v>0.000189431760276593</v>
      </c>
      <c r="U23" s="0" t="n">
        <f aca="false">U22+C23*B23</f>
        <v>183.287715618948</v>
      </c>
      <c r="V23" s="0" t="n">
        <f aca="false">E23/2*B23</f>
        <v>11.8042234050787</v>
      </c>
      <c r="W23" s="142" t="n">
        <f aca="false">C23/(G23/10000)*$B$13*($F$21/F23)^($B$12)</f>
        <v>4.58648550055548</v>
      </c>
      <c r="X23" s="142" t="n">
        <f aca="false">W23/B23</f>
        <v>0.0583303042471664</v>
      </c>
      <c r="Y23" s="142" t="n">
        <f aca="false">Y24+X23</f>
        <v>0.782201339572058</v>
      </c>
      <c r="Z23" s="540" t="n">
        <f aca="false">-Y23*$B$4*2</f>
        <v>-0.782201339572058</v>
      </c>
      <c r="AM23" s="142"/>
    </row>
    <row r="24" customFormat="false" ht="15.75" hidden="false" customHeight="false" outlineLevel="0" collapsed="false">
      <c r="A24" s="0" t="n">
        <f aca="false">A23+1</f>
        <v>3</v>
      </c>
      <c r="B24" s="0" t="n">
        <f aca="false">MAX(B23/$G$5,1)</f>
        <v>10.7024880264449</v>
      </c>
      <c r="C24" s="0" t="n">
        <f aca="false">$B$10+A24*$G$4</f>
        <v>0.0355470297029703</v>
      </c>
      <c r="D24" s="0" t="n">
        <f aca="false">(A24+1)*($B$10+$G$4*A24/2)</f>
        <v>0.146094059405941</v>
      </c>
      <c r="E24" s="0" t="n">
        <f aca="false">IF(A24&lt;$G$6,($B$6/10)*$G$5^(A24/$G$3),($B$6/10)*$G$5^($G$6/$G$3))</f>
        <v>0.520262410908367</v>
      </c>
      <c r="F24" s="0" t="n">
        <f aca="false">IF(A24&lt;$G$6,($B$7/10)*$G$5^(A24/$G$2),($B$7/10)*$G$5^($G$6/$G$2))</f>
        <v>0.469332344612749</v>
      </c>
      <c r="G24" s="0" t="n">
        <f aca="false">F24*F24*3.1416/4</f>
        <v>0.173002296154145</v>
      </c>
      <c r="H24" s="0" t="n">
        <f aca="false">E24*E24*3.1416/4</f>
        <v>0.212586555510768</v>
      </c>
      <c r="I24" s="0" t="n">
        <f aca="false">G24*B24</f>
        <v>1.85155500313722</v>
      </c>
      <c r="J24" s="0" t="n">
        <f aca="false">H24*B24</f>
        <v>2.27520506493717</v>
      </c>
      <c r="K24" s="0" t="n">
        <f aca="false">H24-G24</f>
        <v>0.0395842593566237</v>
      </c>
      <c r="L24" s="0" t="n">
        <f aca="false">SQRT(4*K24/3.1416)</f>
        <v>0.224499724954144</v>
      </c>
      <c r="M24" s="0" t="n">
        <f aca="false">(E24-L24)/2</f>
        <v>0.147881342977112</v>
      </c>
      <c r="N24" s="0" t="n">
        <f aca="false">E24*3.1416</f>
        <v>1.63445639010973</v>
      </c>
      <c r="O24" s="0" t="n">
        <f aca="false">C24*3.1416*E24*B24/100</f>
        <v>0.00621815301877842</v>
      </c>
      <c r="P24" s="0" t="n">
        <f aca="false">C24*E24/100*E24/100*3.1416/4*B24</f>
        <v>8.08767820236701E-006</v>
      </c>
      <c r="Q24" s="0" t="n">
        <f aca="false">Q23+O24</f>
        <v>0.648944502266205</v>
      </c>
      <c r="R24" s="0" t="n">
        <f aca="false">P24+R23</f>
        <v>0.000203437840701147</v>
      </c>
      <c r="S24" s="0" t="n">
        <f aca="false">G24/10000*C24*B24</f>
        <v>6.58172806932019E-006</v>
      </c>
      <c r="T24" s="0" t="n">
        <f aca="false">T23+S24</f>
        <v>0.000196013488345913</v>
      </c>
      <c r="U24" s="0" t="n">
        <f aca="false">U23+C24*B24</f>
        <v>183.66815727872</v>
      </c>
      <c r="V24" s="0" t="n">
        <f aca="false">E24/2*B24</f>
        <v>2.78405111167809</v>
      </c>
      <c r="W24" s="142" t="n">
        <f aca="false">C24/(G24/10000)*$B$13*($F$21/F24)^($B$12)</f>
        <v>0.635413709511771</v>
      </c>
      <c r="X24" s="142" t="n">
        <f aca="false">W24/B24</f>
        <v>0.0593706536220099</v>
      </c>
      <c r="Y24" s="142" t="n">
        <f aca="false">Y25+X24</f>
        <v>0.723871035324892</v>
      </c>
      <c r="Z24" s="540" t="n">
        <f aca="false">-Y24*$B$4*2</f>
        <v>-0.723871035324892</v>
      </c>
      <c r="AM24" s="142"/>
    </row>
    <row r="25" customFormat="false" ht="15.75" hidden="false" customHeight="false" outlineLevel="0" collapsed="false">
      <c r="A25" s="0" t="n">
        <f aca="false">A24+1</f>
        <v>4</v>
      </c>
      <c r="B25" s="0" t="n">
        <f aca="false">MAX(B24/$G$5,1)</f>
        <v>1.45674561024886</v>
      </c>
      <c r="C25" s="0" t="n">
        <f aca="false">$B$10+A25*$G$4</f>
        <v>0.0348960396039604</v>
      </c>
      <c r="D25" s="0" t="n">
        <f aca="false">(A25+1)*($B$10+$G$4*A25/2)</f>
        <v>0.180990099009901</v>
      </c>
      <c r="E25" s="0" t="n">
        <f aca="false">IF(A25&lt;$G$6,($B$6/10)*$G$5^(A25/$G$3),($B$6/10)*$G$5^($G$6/$G$3))</f>
        <v>0.901494882105341</v>
      </c>
      <c r="F25" s="0" t="n">
        <f aca="false">IF(A25&lt;$G$6,($B$7/10)*$G$5^(A25/$G$2),($B$7/10)*$G$5^($G$6/$G$2))</f>
        <v>0.785791476272879</v>
      </c>
      <c r="G25" s="0" t="n">
        <f aca="false">F25*F25*3.1416/4</f>
        <v>0.484959558981415</v>
      </c>
      <c r="H25" s="0" t="n">
        <f aca="false">E25*E25*3.1416/4</f>
        <v>0.638289099841751</v>
      </c>
      <c r="I25" s="0" t="n">
        <f aca="false">G25*B25</f>
        <v>0.706462708694397</v>
      </c>
      <c r="J25" s="0" t="n">
        <f aca="false">H25*B25</f>
        <v>0.929824844264164</v>
      </c>
      <c r="K25" s="0" t="n">
        <f aca="false">H25-G25</f>
        <v>0.153329540860336</v>
      </c>
      <c r="L25" s="0" t="n">
        <f aca="false">SQRT(4*K25/3.1416)</f>
        <v>0.441842481297365</v>
      </c>
      <c r="M25" s="0" t="n">
        <f aca="false">(E25-L25)/2</f>
        <v>0.229826200403988</v>
      </c>
      <c r="N25" s="0" t="n">
        <f aca="false">E25*3.1416</f>
        <v>2.83213632162214</v>
      </c>
      <c r="O25" s="0" t="n">
        <f aca="false">C25*3.1416*E25*B25/100</f>
        <v>0.00143970665765342</v>
      </c>
      <c r="P25" s="0" t="n">
        <f aca="false">C25*E25/100*E25/100*3.1416/4*B25</f>
        <v>3.24472045901886E-006</v>
      </c>
      <c r="Q25" s="0" t="n">
        <f aca="false">Q24+O25</f>
        <v>0.650384208923858</v>
      </c>
      <c r="R25" s="0" t="n">
        <f aca="false">P25+R24</f>
        <v>0.000206682561160165</v>
      </c>
      <c r="S25" s="0" t="n">
        <f aca="false">G25/10000*C25*B25</f>
        <v>2.46527506613208E-006</v>
      </c>
      <c r="T25" s="0" t="n">
        <f aca="false">T24+S25</f>
        <v>0.000198478763412046</v>
      </c>
      <c r="U25" s="0" t="n">
        <f aca="false">U24+C25*B25</f>
        <v>183.718991931228</v>
      </c>
      <c r="V25" s="0" t="n">
        <f aca="false">E25/2*B25</f>
        <v>0.656624356084383</v>
      </c>
      <c r="W25" s="142" t="n">
        <f aca="false">C25/(G25/10000)*$B$13*($F$21/F25)^($B$12)</f>
        <v>0.0880009695367089</v>
      </c>
      <c r="X25" s="142" t="n">
        <f aca="false">W25/B25</f>
        <v>0.0604092910372153</v>
      </c>
      <c r="Y25" s="142" t="n">
        <f aca="false">Y26+X25</f>
        <v>0.664500381702882</v>
      </c>
      <c r="Z25" s="540" t="n">
        <f aca="false">-Y25*$B$4*2</f>
        <v>-0.664500381702882</v>
      </c>
      <c r="AM25" s="142"/>
    </row>
    <row r="26" customFormat="false" ht="15.75" hidden="false" customHeight="false" outlineLevel="0" collapsed="false">
      <c r="A26" s="0" t="n">
        <f aca="false">A25+1</f>
        <v>5</v>
      </c>
      <c r="B26" s="0" t="n">
        <f aca="false">MAX(B25/$G$5,1)</f>
        <v>1</v>
      </c>
      <c r="C26" s="0" t="n">
        <f aca="false">$B$10+A26*$G$4</f>
        <v>0.0342450495049505</v>
      </c>
      <c r="D26" s="0" t="n">
        <f aca="false">(A26+1)*($B$10+$G$4*A26/2)</f>
        <v>0.215235148514851</v>
      </c>
      <c r="E26" s="0" t="n">
        <f aca="false">IF(A26&lt;$G$6,($B$6/10)*$G$5^(A26/$G$3),($B$6/10)*$G$5^($G$6/$G$3))</f>
        <v>1</v>
      </c>
      <c r="F26" s="0" t="n">
        <f aca="false">IF(A26&lt;$G$6,($B$7/10)*$G$5^(A26/$G$2),($B$7/10)*$G$5^($G$6/$G$2))</f>
        <v>0.866025403784438</v>
      </c>
      <c r="G26" s="0" t="n">
        <f aca="false">F26*F26*3.1416/4</f>
        <v>0.58905</v>
      </c>
      <c r="H26" s="0" t="n">
        <f aca="false">E26*E26*3.1416/4</f>
        <v>0.7854</v>
      </c>
      <c r="I26" s="0" t="n">
        <f aca="false">G26*B26</f>
        <v>0.58905</v>
      </c>
      <c r="J26" s="0" t="n">
        <f aca="false">H26*B26</f>
        <v>0.7854</v>
      </c>
      <c r="K26" s="0" t="n">
        <f aca="false">H26-G26</f>
        <v>0.196350000000001</v>
      </c>
      <c r="L26" s="0" t="n">
        <f aca="false">SQRT(4*K26/3.1416)</f>
        <v>0.500000000000001</v>
      </c>
      <c r="M26" s="0" t="n">
        <f aca="false">(E26-L26)/2</f>
        <v>0.25</v>
      </c>
      <c r="N26" s="0" t="n">
        <f aca="false">E26*3.1416</f>
        <v>3.1416</v>
      </c>
      <c r="O26" s="0" t="n">
        <f aca="false">C26*3.1416*E26*B26/100</f>
        <v>0.00107584247524753</v>
      </c>
      <c r="P26" s="0" t="n">
        <f aca="false">C26*E26/100*E26/100*3.1416/4*B26</f>
        <v>2.68960618811881E-006</v>
      </c>
      <c r="Q26" s="0" t="n">
        <f aca="false">Q25+O26</f>
        <v>0.651460051399106</v>
      </c>
      <c r="R26" s="0" t="n">
        <f aca="false">P26+R25</f>
        <v>0.000209372167348284</v>
      </c>
      <c r="S26" s="0" t="n">
        <f aca="false">G26/10000*C26*B26</f>
        <v>2.01720464108911E-006</v>
      </c>
      <c r="T26" s="0" t="n">
        <f aca="false">T25+S26</f>
        <v>0.000200495968053135</v>
      </c>
      <c r="U26" s="0" t="n">
        <f aca="false">U25+C26*B26</f>
        <v>183.753236980733</v>
      </c>
      <c r="V26" s="0" t="n">
        <f aca="false">E26/2*B26</f>
        <v>0.5</v>
      </c>
      <c r="W26" s="142" t="n">
        <f aca="false">C26/(G26/10000)*$B$13*($F$21/F26)^($B$12)</f>
        <v>0.0596843550621974</v>
      </c>
      <c r="X26" s="142" t="n">
        <f aca="false">W26/B26</f>
        <v>0.0596843550621974</v>
      </c>
      <c r="Y26" s="142" t="n">
        <f aca="false">Y27+X26</f>
        <v>0.604091090665667</v>
      </c>
      <c r="Z26" s="540" t="n">
        <f aca="false">-Y26*$B$4*2</f>
        <v>-0.604091090665667</v>
      </c>
      <c r="AM26" s="142"/>
    </row>
    <row r="27" customFormat="false" ht="15.75" hidden="false" customHeight="false" outlineLevel="0" collapsed="false">
      <c r="A27" s="0" t="n">
        <f aca="false">A26+1</f>
        <v>6</v>
      </c>
      <c r="B27" s="0" t="n">
        <f aca="false">MAX(B26/$G$5,1)</f>
        <v>1</v>
      </c>
      <c r="C27" s="0" t="n">
        <f aca="false">$B$10+A27*$G$4</f>
        <v>0.0335940594059406</v>
      </c>
      <c r="D27" s="0" t="n">
        <f aca="false">(A27+1)*($B$10+$G$4*A27/2)</f>
        <v>0.248829207920792</v>
      </c>
      <c r="E27" s="0" t="n">
        <f aca="false">IF(A27&lt;$G$6,($B$6/10)*$G$5^(A27/$G$3),($B$6/10)*$G$5^($G$6/$G$3))</f>
        <v>1</v>
      </c>
      <c r="F27" s="0" t="n">
        <f aca="false">IF(A27&lt;$G$6,($B$7/10)*$G$5^(A27/$G$2),($B$7/10)*$G$5^($G$6/$G$2))</f>
        <v>0.866025403784438</v>
      </c>
      <c r="G27" s="0" t="n">
        <f aca="false">F27*F27*3.1416/4</f>
        <v>0.58905</v>
      </c>
      <c r="H27" s="0" t="n">
        <f aca="false">E27*E27*3.1416/4</f>
        <v>0.7854</v>
      </c>
      <c r="I27" s="0" t="n">
        <f aca="false">G27*B27</f>
        <v>0.58905</v>
      </c>
      <c r="J27" s="0" t="n">
        <f aca="false">H27*B27</f>
        <v>0.7854</v>
      </c>
      <c r="K27" s="0" t="n">
        <f aca="false">H27-G27</f>
        <v>0.196350000000001</v>
      </c>
      <c r="L27" s="0" t="n">
        <f aca="false">SQRT(4*K27/3.1416)</f>
        <v>0.500000000000001</v>
      </c>
      <c r="M27" s="0" t="n">
        <f aca="false">(E27-L27)/2</f>
        <v>0.25</v>
      </c>
      <c r="N27" s="0" t="n">
        <f aca="false">E27*3.1416</f>
        <v>3.1416</v>
      </c>
      <c r="O27" s="0" t="n">
        <f aca="false">C27*3.1416*E27*B27/100</f>
        <v>0.00105539097029703</v>
      </c>
      <c r="P27" s="0" t="n">
        <f aca="false">C27*E27/100*E27/100*3.1416/4*B27</f>
        <v>2.63847742574258E-006</v>
      </c>
      <c r="Q27" s="0" t="n">
        <f aca="false">Q26+O27</f>
        <v>0.652515442369403</v>
      </c>
      <c r="R27" s="0" t="n">
        <f aca="false">P27+R26</f>
        <v>0.000212010644774027</v>
      </c>
      <c r="S27" s="0" t="n">
        <f aca="false">G27/10000*C27*B27</f>
        <v>1.97885806930693E-006</v>
      </c>
      <c r="T27" s="0" t="n">
        <f aca="false">T26+S27</f>
        <v>0.000202474826122442</v>
      </c>
      <c r="U27" s="0" t="n">
        <f aca="false">U26+C27*B27</f>
        <v>183.786831040139</v>
      </c>
      <c r="V27" s="0" t="n">
        <f aca="false">E27/2*B27</f>
        <v>0.5</v>
      </c>
      <c r="W27" s="142" t="n">
        <f aca="false">C27/(G27/10000)*$B$13*($F$21/F27)^($B$12)</f>
        <v>0.058549769924405</v>
      </c>
      <c r="X27" s="142" t="n">
        <f aca="false">W27/B27</f>
        <v>0.058549769924405</v>
      </c>
      <c r="Y27" s="142" t="n">
        <f aca="false">Y28+X27</f>
        <v>0.54440673560347</v>
      </c>
      <c r="Z27" s="540" t="n">
        <f aca="false">-Y27*$B$4*2</f>
        <v>-0.54440673560347</v>
      </c>
      <c r="AM27" s="142"/>
    </row>
    <row r="28" customFormat="false" ht="15.75" hidden="false" customHeight="false" outlineLevel="0" collapsed="false">
      <c r="A28" s="0" t="n">
        <f aca="false">A27+1</f>
        <v>7</v>
      </c>
      <c r="B28" s="0" t="n">
        <f aca="false">MAX(B27/$G$5,1)</f>
        <v>1</v>
      </c>
      <c r="C28" s="0" t="n">
        <f aca="false">$B$10+A28*$G$4</f>
        <v>0.0329430693069307</v>
      </c>
      <c r="D28" s="0" t="n">
        <f aca="false">(A28+1)*($B$10+$G$4*A28/2)</f>
        <v>0.281772277227723</v>
      </c>
      <c r="E28" s="0" t="n">
        <f aca="false">IF(A28&lt;$G$6,($B$6/10)*$G$5^(A28/$G$3),($B$6/10)*$G$5^($G$6/$G$3))</f>
        <v>1</v>
      </c>
      <c r="F28" s="0" t="n">
        <f aca="false">IF(A28&lt;$G$6,($B$7/10)*$G$5^(A28/$G$2),($B$7/10)*$G$5^($G$6/$G$2))</f>
        <v>0.866025403784438</v>
      </c>
      <c r="G28" s="0" t="n">
        <f aca="false">F28*F28*3.1416/4</f>
        <v>0.58905</v>
      </c>
      <c r="H28" s="0" t="n">
        <f aca="false">E28*E28*3.1416/4</f>
        <v>0.7854</v>
      </c>
      <c r="I28" s="0" t="n">
        <f aca="false">G28*B28</f>
        <v>0.58905</v>
      </c>
      <c r="J28" s="0" t="n">
        <f aca="false">H28*B28</f>
        <v>0.7854</v>
      </c>
      <c r="K28" s="0" t="n">
        <f aca="false">H28-G28</f>
        <v>0.196350000000001</v>
      </c>
      <c r="L28" s="0" t="n">
        <f aca="false">SQRT(4*K28/3.1416)</f>
        <v>0.500000000000001</v>
      </c>
      <c r="M28" s="0" t="n">
        <f aca="false">(E28-L28)/2</f>
        <v>0.25</v>
      </c>
      <c r="N28" s="0" t="n">
        <f aca="false">E28*3.1416</f>
        <v>3.1416</v>
      </c>
      <c r="O28" s="0" t="n">
        <f aca="false">C28*3.1416*E28*B28/100</f>
        <v>0.00103493946534654</v>
      </c>
      <c r="P28" s="0" t="n">
        <f aca="false">C28*E28/100*E28/100*3.1416/4*B28</f>
        <v>2.58734866336634E-006</v>
      </c>
      <c r="Q28" s="0" t="n">
        <f aca="false">Q27+O28</f>
        <v>0.653550381834749</v>
      </c>
      <c r="R28" s="0" t="n">
        <f aca="false">P28+R27</f>
        <v>0.000214597993437393</v>
      </c>
      <c r="S28" s="0" t="n">
        <f aca="false">G28/10000*C28*B28</f>
        <v>1.94051149752475E-006</v>
      </c>
      <c r="T28" s="0" t="n">
        <f aca="false">T27+S28</f>
        <v>0.000204415337619966</v>
      </c>
      <c r="U28" s="0" t="n">
        <f aca="false">U27+C28*B28</f>
        <v>183.819774109446</v>
      </c>
      <c r="V28" s="0" t="n">
        <f aca="false">E28/2*B28</f>
        <v>0.5</v>
      </c>
      <c r="W28" s="142" t="n">
        <f aca="false">C28/(G28/10000)*$B$13*($F$21/F28)^($B$12)</f>
        <v>0.0574151847866126</v>
      </c>
      <c r="X28" s="142" t="n">
        <f aca="false">W28/B28</f>
        <v>0.0574151847866126</v>
      </c>
      <c r="Y28" s="142" t="n">
        <f aca="false">Y29+X28</f>
        <v>0.485856965679065</v>
      </c>
      <c r="Z28" s="540" t="n">
        <f aca="false">-Y28*$B$4*2</f>
        <v>-0.485856965679065</v>
      </c>
      <c r="AM28" s="142"/>
    </row>
    <row r="29" customFormat="false" ht="15.75" hidden="false" customHeight="false" outlineLevel="0" collapsed="false">
      <c r="A29" s="0" t="n">
        <f aca="false">A28+1</f>
        <v>8</v>
      </c>
      <c r="B29" s="0" t="n">
        <f aca="false">MAX(B28/$G$5,1)</f>
        <v>1</v>
      </c>
      <c r="C29" s="0" t="n">
        <f aca="false">$B$10+A29*$G$4</f>
        <v>0.0322920792079208</v>
      </c>
      <c r="D29" s="0" t="n">
        <f aca="false">(A29+1)*($B$10+$G$4*A29/2)</f>
        <v>0.314064356435643</v>
      </c>
      <c r="E29" s="0" t="n">
        <f aca="false">IF(A29&lt;$G$6,($B$6/10)*$G$5^(A29/$G$3),($B$6/10)*$G$5^($G$6/$G$3))</f>
        <v>1</v>
      </c>
      <c r="F29" s="0" t="n">
        <f aca="false">IF(A29&lt;$G$6,($B$7/10)*$G$5^(A29/$G$2),($B$7/10)*$G$5^($G$6/$G$2))</f>
        <v>0.866025403784438</v>
      </c>
      <c r="G29" s="0" t="n">
        <f aca="false">F29*F29*3.1416/4</f>
        <v>0.58905</v>
      </c>
      <c r="H29" s="0" t="n">
        <f aca="false">E29*E29*3.1416/4</f>
        <v>0.7854</v>
      </c>
      <c r="I29" s="0" t="n">
        <f aca="false">G29*B29</f>
        <v>0.58905</v>
      </c>
      <c r="J29" s="0" t="n">
        <f aca="false">H29*B29</f>
        <v>0.7854</v>
      </c>
      <c r="K29" s="0" t="n">
        <f aca="false">H29-G29</f>
        <v>0.196350000000001</v>
      </c>
      <c r="L29" s="0" t="n">
        <f aca="false">SQRT(4*K29/3.1416)</f>
        <v>0.500000000000001</v>
      </c>
      <c r="M29" s="0" t="n">
        <f aca="false">(E29-L29)/2</f>
        <v>0.25</v>
      </c>
      <c r="N29" s="0" t="n">
        <f aca="false">E29*3.1416</f>
        <v>3.1416</v>
      </c>
      <c r="O29" s="0" t="n">
        <f aca="false">C29*3.1416*E29*B29/100</f>
        <v>0.00101448796039604</v>
      </c>
      <c r="P29" s="0" t="n">
        <f aca="false">C29*E29/100*E29/100*3.1416/4*B29</f>
        <v>2.5362199009901E-006</v>
      </c>
      <c r="Q29" s="0" t="n">
        <f aca="false">Q28+O29</f>
        <v>0.654564869795146</v>
      </c>
      <c r="R29" s="0" t="n">
        <f aca="false">P29+R28</f>
        <v>0.000217134213338383</v>
      </c>
      <c r="S29" s="0" t="n">
        <f aca="false">G29/10000*C29*B29</f>
        <v>1.90216492574257E-006</v>
      </c>
      <c r="T29" s="0" t="n">
        <f aca="false">T28+S29</f>
        <v>0.000206317502545709</v>
      </c>
      <c r="U29" s="0" t="n">
        <f aca="false">U28+C29*B29</f>
        <v>183.852066188653</v>
      </c>
      <c r="V29" s="0" t="n">
        <f aca="false">E29/2*B29</f>
        <v>0.5</v>
      </c>
      <c r="W29" s="142" t="n">
        <f aca="false">C29/(G29/10000)*$B$13*($F$21/F29)^($B$12)</f>
        <v>0.0562805996488202</v>
      </c>
      <c r="X29" s="142" t="n">
        <f aca="false">W29/B29</f>
        <v>0.0562805996488202</v>
      </c>
      <c r="Y29" s="142" t="n">
        <f aca="false">Y30+X29</f>
        <v>0.428441780892452</v>
      </c>
      <c r="Z29" s="540" t="n">
        <f aca="false">-Y29*$B$4*2</f>
        <v>-0.428441780892452</v>
      </c>
      <c r="AM29" s="142"/>
    </row>
    <row r="30" customFormat="false" ht="15.75" hidden="false" customHeight="false" outlineLevel="0" collapsed="false">
      <c r="A30" s="0" t="n">
        <f aca="false">A29+1</f>
        <v>9</v>
      </c>
      <c r="B30" s="0" t="n">
        <f aca="false">MAX(B29/$G$5,1)</f>
        <v>1</v>
      </c>
      <c r="C30" s="0" t="n">
        <f aca="false">$B$10+A30*$G$4</f>
        <v>0.0316410891089109</v>
      </c>
      <c r="D30" s="0" t="n">
        <f aca="false">(A30+1)*($B$10+$G$4*A30/2)</f>
        <v>0.345705445544554</v>
      </c>
      <c r="E30" s="0" t="n">
        <f aca="false">IF(A30&lt;$G$6,($B$6/10)*$G$5^(A30/$G$3),($B$6/10)*$G$5^($G$6/$G$3))</f>
        <v>1</v>
      </c>
      <c r="F30" s="0" t="n">
        <f aca="false">IF(A30&lt;$G$6,($B$7/10)*$G$5^(A30/$G$2),($B$7/10)*$G$5^($G$6/$G$2))</f>
        <v>0.866025403784438</v>
      </c>
      <c r="G30" s="0" t="n">
        <f aca="false">F30*F30*3.1416/4</f>
        <v>0.58905</v>
      </c>
      <c r="H30" s="0" t="n">
        <f aca="false">E30*E30*3.1416/4</f>
        <v>0.7854</v>
      </c>
      <c r="I30" s="0" t="n">
        <f aca="false">G30*B30</f>
        <v>0.58905</v>
      </c>
      <c r="J30" s="0" t="n">
        <f aca="false">H30*B30</f>
        <v>0.7854</v>
      </c>
      <c r="K30" s="0" t="n">
        <f aca="false">H30-G30</f>
        <v>0.196350000000001</v>
      </c>
      <c r="L30" s="0" t="n">
        <f aca="false">SQRT(4*K30/3.1416)</f>
        <v>0.500000000000001</v>
      </c>
      <c r="M30" s="0" t="n">
        <f aca="false">(E30-L30)/2</f>
        <v>0.25</v>
      </c>
      <c r="N30" s="0" t="n">
        <f aca="false">E30*3.1416</f>
        <v>3.1416</v>
      </c>
      <c r="O30" s="0" t="n">
        <f aca="false">C30*3.1416*E30*B30/100</f>
        <v>0.000994036455445545</v>
      </c>
      <c r="P30" s="0" t="n">
        <f aca="false">C30*E30/100*E30/100*3.1416/4*B30</f>
        <v>2.48509113861386E-006</v>
      </c>
      <c r="Q30" s="0" t="n">
        <f aca="false">Q29+O30</f>
        <v>0.655558906250591</v>
      </c>
      <c r="R30" s="0" t="n">
        <f aca="false">P30+R29</f>
        <v>0.000219619304476997</v>
      </c>
      <c r="S30" s="0" t="n">
        <f aca="false">G30/10000*C30*B30</f>
        <v>1.86381835396039E-006</v>
      </c>
      <c r="T30" s="0" t="n">
        <f aca="false">T29+S30</f>
        <v>0.000208181320899669</v>
      </c>
      <c r="U30" s="0" t="n">
        <f aca="false">U29+C30*B30</f>
        <v>183.883707277762</v>
      </c>
      <c r="V30" s="0" t="n">
        <f aca="false">E30/2*B30</f>
        <v>0.5</v>
      </c>
      <c r="W30" s="142" t="n">
        <f aca="false">C30/(G30/10000)*$B$13*($F$21/F30)^($B$12)</f>
        <v>0.0551460145110278</v>
      </c>
      <c r="X30" s="142" t="n">
        <f aca="false">W30/B30</f>
        <v>0.0551460145110278</v>
      </c>
      <c r="Y30" s="142" t="n">
        <f aca="false">Y31+X30</f>
        <v>0.372161181243632</v>
      </c>
      <c r="Z30" s="540" t="n">
        <f aca="false">-Y30*$B$4*2</f>
        <v>-0.372161181243632</v>
      </c>
      <c r="AM30" s="142"/>
    </row>
    <row r="31" customFormat="false" ht="15.75" hidden="false" customHeight="false" outlineLevel="0" collapsed="false">
      <c r="A31" s="0" t="n">
        <f aca="false">A30+1</f>
        <v>10</v>
      </c>
      <c r="B31" s="0" t="n">
        <f aca="false">MAX(B30/$G$5,1)</f>
        <v>1</v>
      </c>
      <c r="C31" s="0" t="n">
        <f aca="false">$B$10+A31*$G$4</f>
        <v>0.030990099009901</v>
      </c>
      <c r="D31" s="0" t="n">
        <f aca="false">(A31+1)*($B$10+$G$4*A31/2)</f>
        <v>0.376695544554455</v>
      </c>
      <c r="E31" s="0" t="n">
        <f aca="false">IF(A31&lt;$G$6,($B$6/10)*$G$5^(A31/$G$3),($B$6/10)*$G$5^($G$6/$G$3))</f>
        <v>1</v>
      </c>
      <c r="F31" s="0" t="n">
        <f aca="false">IF(A31&lt;$G$6,($B$7/10)*$G$5^(A31/$G$2),($B$7/10)*$G$5^($G$6/$G$2))</f>
        <v>0.866025403784438</v>
      </c>
      <c r="G31" s="0" t="n">
        <f aca="false">F31*F31*3.1416/4</f>
        <v>0.58905</v>
      </c>
      <c r="H31" s="0" t="n">
        <f aca="false">E31*E31*3.1416/4</f>
        <v>0.7854</v>
      </c>
      <c r="I31" s="0" t="n">
        <f aca="false">G31*B31</f>
        <v>0.58905</v>
      </c>
      <c r="J31" s="0" t="n">
        <f aca="false">H31*B31</f>
        <v>0.7854</v>
      </c>
      <c r="K31" s="0" t="n">
        <f aca="false">H31-G31</f>
        <v>0.196350000000001</v>
      </c>
      <c r="L31" s="0" t="n">
        <f aca="false">SQRT(4*K31/3.1416)</f>
        <v>0.500000000000001</v>
      </c>
      <c r="M31" s="0" t="n">
        <f aca="false">(E31-L31)/2</f>
        <v>0.25</v>
      </c>
      <c r="N31" s="0" t="n">
        <f aca="false">E31*3.1416</f>
        <v>3.1416</v>
      </c>
      <c r="O31" s="0" t="n">
        <f aca="false">C31*3.1416*E31*B31/100</f>
        <v>0.00097358495049505</v>
      </c>
      <c r="P31" s="0" t="n">
        <f aca="false">C31*E31/100*E31/100*3.1416/4*B31</f>
        <v>2.43396237623762E-006</v>
      </c>
      <c r="Q31" s="0" t="n">
        <f aca="false">Q30+O31</f>
        <v>0.656532491201086</v>
      </c>
      <c r="R31" s="0" t="n">
        <f aca="false">P31+R30</f>
        <v>0.000222053266853235</v>
      </c>
      <c r="S31" s="0" t="n">
        <f aca="false">G31/10000*C31*B31</f>
        <v>1.82547178217822E-006</v>
      </c>
      <c r="T31" s="0" t="n">
        <f aca="false">T30+S31</f>
        <v>0.000210006792681847</v>
      </c>
      <c r="U31" s="0" t="n">
        <f aca="false">U30+C31*B31</f>
        <v>183.914697376772</v>
      </c>
      <c r="V31" s="0" t="n">
        <f aca="false">E31/2*B31</f>
        <v>0.5</v>
      </c>
      <c r="W31" s="142" t="n">
        <f aca="false">C31/(G31/10000)*$B$13*($F$21/F31)^($B$12)</f>
        <v>0.0540114293732354</v>
      </c>
      <c r="X31" s="142" t="n">
        <f aca="false">W31/B31</f>
        <v>0.0540114293732354</v>
      </c>
      <c r="Y31" s="142" t="n">
        <f aca="false">Y32+X31</f>
        <v>0.317015166732604</v>
      </c>
      <c r="Z31" s="540" t="n">
        <f aca="false">-Y31*$B$4*2</f>
        <v>-0.317015166732604</v>
      </c>
      <c r="AM31" s="142"/>
    </row>
    <row r="32" customFormat="false" ht="15.75" hidden="false" customHeight="false" outlineLevel="0" collapsed="false">
      <c r="A32" s="0" t="n">
        <f aca="false">A31+1</f>
        <v>11</v>
      </c>
      <c r="B32" s="0" t="n">
        <f aca="false">MAX(B31/$G$5,1)</f>
        <v>1</v>
      </c>
      <c r="C32" s="0" t="n">
        <f aca="false">$B$10+A32*$G$4</f>
        <v>0.0303391089108911</v>
      </c>
      <c r="D32" s="0" t="n">
        <f aca="false">(A32+1)*($B$10+$G$4*A32/2)</f>
        <v>0.407034653465347</v>
      </c>
      <c r="E32" s="0" t="n">
        <f aca="false">IF(A32&lt;$G$6,($B$6/10)*$G$5^(A32/$G$3),($B$6/10)*$G$5^($G$6/$G$3))</f>
        <v>1</v>
      </c>
      <c r="F32" s="0" t="n">
        <f aca="false">IF(A32&lt;$G$6,($B$7/10)*$G$5^(A32/$G$2),($B$7/10)*$G$5^($G$6/$G$2))</f>
        <v>0.866025403784438</v>
      </c>
      <c r="G32" s="0" t="n">
        <f aca="false">F32*F32*3.1416/4</f>
        <v>0.58905</v>
      </c>
      <c r="H32" s="0" t="n">
        <f aca="false">E32*E32*3.1416/4</f>
        <v>0.7854</v>
      </c>
      <c r="I32" s="0" t="n">
        <f aca="false">G32*B32</f>
        <v>0.58905</v>
      </c>
      <c r="J32" s="0" t="n">
        <f aca="false">H32*B32</f>
        <v>0.7854</v>
      </c>
      <c r="K32" s="0" t="n">
        <f aca="false">H32-G32</f>
        <v>0.196350000000001</v>
      </c>
      <c r="L32" s="0" t="n">
        <f aca="false">SQRT(4*K32/3.1416)</f>
        <v>0.500000000000001</v>
      </c>
      <c r="M32" s="0" t="n">
        <f aca="false">(E32-L32)/2</f>
        <v>0.25</v>
      </c>
      <c r="N32" s="0" t="n">
        <f aca="false">E32*3.1416</f>
        <v>3.1416</v>
      </c>
      <c r="O32" s="0" t="n">
        <f aca="false">C32*3.1416*E32*B32/100</f>
        <v>0.000953133445544555</v>
      </c>
      <c r="P32" s="0" t="n">
        <f aca="false">C32*E32/100*E32/100*3.1416/4*B32</f>
        <v>2.38283361386139E-006</v>
      </c>
      <c r="Q32" s="0" t="n">
        <f aca="false">Q31+O32</f>
        <v>0.657485624646631</v>
      </c>
      <c r="R32" s="0" t="n">
        <f aca="false">P32+R31</f>
        <v>0.000224436100467096</v>
      </c>
      <c r="S32" s="0" t="n">
        <f aca="false">G32/10000*C32*B32</f>
        <v>1.78712521039604E-006</v>
      </c>
      <c r="T32" s="0" t="n">
        <f aca="false">T31+S32</f>
        <v>0.000211793917892244</v>
      </c>
      <c r="U32" s="0" t="n">
        <f aca="false">U31+C32*B32</f>
        <v>183.945036485683</v>
      </c>
      <c r="V32" s="0" t="n">
        <f aca="false">E32/2*B32</f>
        <v>0.5</v>
      </c>
      <c r="W32" s="142" t="n">
        <f aca="false">C32/(G32/10000)*$B$13*($F$21/F32)^($B$12)</f>
        <v>0.052876844235443</v>
      </c>
      <c r="X32" s="142" t="n">
        <f aca="false">W32/B32</f>
        <v>0.052876844235443</v>
      </c>
      <c r="Y32" s="142" t="n">
        <f aca="false">Y33+X32</f>
        <v>0.263003737359369</v>
      </c>
      <c r="Z32" s="540" t="n">
        <f aca="false">-Y32*$B$4*2</f>
        <v>-0.263003737359369</v>
      </c>
      <c r="AM32" s="142"/>
    </row>
    <row r="33" customFormat="false" ht="15.75" hidden="false" customHeight="false" outlineLevel="0" collapsed="false">
      <c r="A33" s="0" t="n">
        <f aca="false">A32+1</f>
        <v>12</v>
      </c>
      <c r="B33" s="0" t="n">
        <f aca="false">MAX(B32/$G$5,1)</f>
        <v>1</v>
      </c>
      <c r="C33" s="0" t="n">
        <f aca="false">$B$10+A33*$G$4</f>
        <v>0.0296881188118812</v>
      </c>
      <c r="D33" s="0" t="n">
        <f aca="false">(A33+1)*($B$10+$G$4*A33/2)</f>
        <v>0.436722772277228</v>
      </c>
      <c r="E33" s="0" t="n">
        <f aca="false">IF(A33&lt;$G$6,($B$6/10)*$G$5^(A33/$G$3),($B$6/10)*$G$5^($G$6/$G$3))</f>
        <v>1</v>
      </c>
      <c r="F33" s="0" t="n">
        <f aca="false">IF(A33&lt;$G$6,($B$7/10)*$G$5^(A33/$G$2),($B$7/10)*$G$5^($G$6/$G$2))</f>
        <v>0.866025403784438</v>
      </c>
      <c r="G33" s="0" t="n">
        <f aca="false">F33*F33*3.1416/4</f>
        <v>0.58905</v>
      </c>
      <c r="H33" s="0" t="n">
        <f aca="false">E33*E33*3.1416/4</f>
        <v>0.7854</v>
      </c>
      <c r="I33" s="0" t="n">
        <f aca="false">G33*B33</f>
        <v>0.58905</v>
      </c>
      <c r="J33" s="0" t="n">
        <f aca="false">H33*B33</f>
        <v>0.7854</v>
      </c>
      <c r="K33" s="0" t="n">
        <f aca="false">H33-G33</f>
        <v>0.196350000000001</v>
      </c>
      <c r="L33" s="0" t="n">
        <f aca="false">SQRT(4*K33/3.1416)</f>
        <v>0.500000000000001</v>
      </c>
      <c r="M33" s="0" t="n">
        <f aca="false">(E33-L33)/2</f>
        <v>0.25</v>
      </c>
      <c r="N33" s="0" t="n">
        <f aca="false">E33*3.1416</f>
        <v>3.1416</v>
      </c>
      <c r="O33" s="0" t="n">
        <f aca="false">C33*3.1416*E33*B33/100</f>
        <v>0.00093268194059406</v>
      </c>
      <c r="P33" s="0" t="n">
        <f aca="false">C33*E33/100*E33/100*3.1416/4*B33</f>
        <v>2.33170485148515E-006</v>
      </c>
      <c r="Q33" s="0" t="n">
        <f aca="false">Q32+O33</f>
        <v>0.658418306587225</v>
      </c>
      <c r="R33" s="0" t="n">
        <f aca="false">P33+R32</f>
        <v>0.000226767805318581</v>
      </c>
      <c r="S33" s="0" t="n">
        <f aca="false">G33/10000*C33*B33</f>
        <v>1.74877863861386E-006</v>
      </c>
      <c r="T33" s="0" t="n">
        <f aca="false">T32+S33</f>
        <v>0.000213542696530857</v>
      </c>
      <c r="U33" s="0" t="n">
        <f aca="false">U32+C33*B33</f>
        <v>183.974724604495</v>
      </c>
      <c r="V33" s="0" t="n">
        <f aca="false">E33/2*B33</f>
        <v>0.5</v>
      </c>
      <c r="W33" s="142" t="n">
        <f aca="false">C33/(G33/10000)*$B$13*($F$21/F33)^($B$12)</f>
        <v>0.0517422590976506</v>
      </c>
      <c r="X33" s="142" t="n">
        <f aca="false">W33/B33</f>
        <v>0.0517422590976506</v>
      </c>
      <c r="Y33" s="142" t="n">
        <f aca="false">Y34+X33</f>
        <v>0.210126893123926</v>
      </c>
      <c r="Z33" s="540" t="n">
        <f aca="false">-Y33*$B$4*2</f>
        <v>-0.210126893123926</v>
      </c>
      <c r="AM33" s="142"/>
    </row>
    <row r="34" customFormat="false" ht="15.75" hidden="false" customHeight="false" outlineLevel="0" collapsed="false">
      <c r="A34" s="0" t="n">
        <f aca="false">A33+1</f>
        <v>13</v>
      </c>
      <c r="B34" s="0" t="n">
        <f aca="false">MAX(B33/$G$5,1)</f>
        <v>1</v>
      </c>
      <c r="C34" s="0" t="n">
        <f aca="false">$B$10+A34*$G$4</f>
        <v>0.0290371287128713</v>
      </c>
      <c r="D34" s="0" t="n">
        <f aca="false">(A34+1)*($B$10+$G$4*A34/2)</f>
        <v>0.465759900990099</v>
      </c>
      <c r="E34" s="0" t="n">
        <f aca="false">IF(A34&lt;$G$6,($B$6/10)*$G$5^(A34/$G$3),($B$6/10)*$G$5^($G$6/$G$3))</f>
        <v>1</v>
      </c>
      <c r="F34" s="0" t="n">
        <f aca="false">IF(A34&lt;$G$6,($B$7/10)*$G$5^(A34/$G$2),($B$7/10)*$G$5^($G$6/$G$2))</f>
        <v>0.866025403784438</v>
      </c>
      <c r="G34" s="0" t="n">
        <f aca="false">F34*F34*3.1416/4</f>
        <v>0.58905</v>
      </c>
      <c r="H34" s="0" t="n">
        <f aca="false">E34*E34*3.1416/4</f>
        <v>0.7854</v>
      </c>
      <c r="I34" s="0" t="n">
        <f aca="false">G34*B34</f>
        <v>0.58905</v>
      </c>
      <c r="J34" s="0" t="n">
        <f aca="false">H34*B34</f>
        <v>0.7854</v>
      </c>
      <c r="K34" s="0" t="n">
        <f aca="false">H34-G34</f>
        <v>0.196350000000001</v>
      </c>
      <c r="L34" s="0" t="n">
        <f aca="false">SQRT(4*K34/3.1416)</f>
        <v>0.500000000000001</v>
      </c>
      <c r="M34" s="0" t="n">
        <f aca="false">(E34-L34)/2</f>
        <v>0.25</v>
      </c>
      <c r="N34" s="0" t="n">
        <f aca="false">E34*3.1416</f>
        <v>3.1416</v>
      </c>
      <c r="O34" s="0" t="n">
        <f aca="false">C34*3.1416*E34*B34/100</f>
        <v>0.000912230435643564</v>
      </c>
      <c r="P34" s="0" t="n">
        <f aca="false">C34*E34/100*E34/100*3.1416/4*B34</f>
        <v>2.28057608910891E-006</v>
      </c>
      <c r="Q34" s="0" t="n">
        <f aca="false">Q33+O34</f>
        <v>0.659330537022868</v>
      </c>
      <c r="R34" s="0" t="n">
        <f aca="false">P34+R33</f>
        <v>0.00022904838140769</v>
      </c>
      <c r="S34" s="0" t="n">
        <f aca="false">G34/10000*C34*B34</f>
        <v>1.71043206683168E-006</v>
      </c>
      <c r="T34" s="0" t="n">
        <f aca="false">T33+S34</f>
        <v>0.000215253128597689</v>
      </c>
      <c r="U34" s="0" t="n">
        <f aca="false">U33+C34*B34</f>
        <v>184.003761733208</v>
      </c>
      <c r="V34" s="0" t="n">
        <f aca="false">E34/2*B34</f>
        <v>0.5</v>
      </c>
      <c r="W34" s="142" t="n">
        <f aca="false">C34/(G34/10000)*$B$13*($F$21/F34)^($B$12)</f>
        <v>0.0506076739598581</v>
      </c>
      <c r="X34" s="142" t="n">
        <f aca="false">W34/B34</f>
        <v>0.0506076739598581</v>
      </c>
      <c r="Y34" s="142" t="n">
        <f aca="false">Y35+X34</f>
        <v>0.158384634026275</v>
      </c>
      <c r="Z34" s="540" t="n">
        <f aca="false">-Y34*$B$4*2</f>
        <v>-0.158384634026275</v>
      </c>
      <c r="AM34" s="142"/>
    </row>
    <row r="35" customFormat="false" ht="15.75" hidden="false" customHeight="false" outlineLevel="0" collapsed="false">
      <c r="A35" s="0" t="n">
        <f aca="false">A34+1</f>
        <v>14</v>
      </c>
      <c r="B35" s="0" t="n">
        <f aca="false">MAX(B34/$G$5,1)</f>
        <v>1</v>
      </c>
      <c r="C35" s="0" t="n">
        <f aca="false">$B$10+A35*$G$4</f>
        <v>0.0283861386138614</v>
      </c>
      <c r="D35" s="0" t="n">
        <f aca="false">(A35+1)*($B$10+$G$4*A35/2)</f>
        <v>0.49414603960396</v>
      </c>
      <c r="E35" s="0" t="n">
        <f aca="false">IF(A35&lt;$G$6,($B$6/10)*$G$5^(A35/$G$3),($B$6/10)*$G$5^($G$6/$G$3))</f>
        <v>1</v>
      </c>
      <c r="F35" s="0" t="n">
        <f aca="false">IF(A35&lt;$G$6,($B$7/10)*$G$5^(A35/$G$2),($B$7/10)*$G$5^($G$6/$G$2))</f>
        <v>0.866025403784438</v>
      </c>
      <c r="G35" s="0" t="n">
        <f aca="false">F35*F35*3.1416/4</f>
        <v>0.58905</v>
      </c>
      <c r="H35" s="0" t="n">
        <f aca="false">E35*E35*3.1416/4</f>
        <v>0.7854</v>
      </c>
      <c r="I35" s="0" t="n">
        <f aca="false">G35*B35</f>
        <v>0.58905</v>
      </c>
      <c r="J35" s="0" t="n">
        <f aca="false">H35*B35</f>
        <v>0.7854</v>
      </c>
      <c r="K35" s="0" t="n">
        <f aca="false">H35-G35</f>
        <v>0.196350000000001</v>
      </c>
      <c r="L35" s="0" t="n">
        <f aca="false">SQRT(4*K35/3.1416)</f>
        <v>0.500000000000001</v>
      </c>
      <c r="M35" s="0" t="n">
        <f aca="false">(E35-L35)/2</f>
        <v>0.25</v>
      </c>
      <c r="N35" s="0" t="n">
        <f aca="false">E35*3.1416</f>
        <v>3.1416</v>
      </c>
      <c r="O35" s="0" t="n">
        <f aca="false">C35*3.1416*E35*B35/100</f>
        <v>0.000891778930693069</v>
      </c>
      <c r="P35" s="0" t="n">
        <f aca="false">C35*E35/100*E35/100*3.1416/4*B35</f>
        <v>2.22944732673267E-006</v>
      </c>
      <c r="Q35" s="0" t="n">
        <f aca="false">Q34+O35</f>
        <v>0.660222315953561</v>
      </c>
      <c r="R35" s="0" t="n">
        <f aca="false">P35+R34</f>
        <v>0.000231277828734423</v>
      </c>
      <c r="S35" s="0" t="n">
        <f aca="false">G35/10000*C35*B35</f>
        <v>1.6720854950495E-006</v>
      </c>
      <c r="T35" s="0" t="n">
        <f aca="false">T34+S35</f>
        <v>0.000216925214092739</v>
      </c>
      <c r="U35" s="0" t="n">
        <f aca="false">U34+C35*B35</f>
        <v>184.032147871822</v>
      </c>
      <c r="V35" s="0" t="n">
        <f aca="false">E35/2*B35</f>
        <v>0.5</v>
      </c>
      <c r="W35" s="142" t="n">
        <f aca="false">C35/(G35/10000)*$B$13*($F$21/F35)^($B$12)</f>
        <v>0.0494730888220658</v>
      </c>
      <c r="X35" s="142" t="n">
        <f aca="false">W35/B35</f>
        <v>0.0494730888220658</v>
      </c>
      <c r="Y35" s="142" t="n">
        <f aca="false">Y36+X35</f>
        <v>0.107776960066417</v>
      </c>
      <c r="Z35" s="540" t="n">
        <f aca="false">-Y35*$B$4*2</f>
        <v>-0.107776960066417</v>
      </c>
      <c r="AM35" s="142"/>
    </row>
    <row r="36" customFormat="false" ht="15.75" hidden="false" customHeight="false" outlineLevel="0" collapsed="false">
      <c r="A36" s="0" t="n">
        <f aca="false">A35+1</f>
        <v>15</v>
      </c>
      <c r="B36" s="0" t="n">
        <f aca="false">MAX(B35/$G$5,1)</f>
        <v>1</v>
      </c>
      <c r="C36" s="0" t="n">
        <f aca="false">$B$10+A36*$G$4</f>
        <v>0.0277351485148515</v>
      </c>
      <c r="D36" s="0" t="n">
        <f aca="false">(A36+1)*($B$10+$G$4*A36/2)</f>
        <v>0.521881188118812</v>
      </c>
      <c r="E36" s="0" t="n">
        <f aca="false">IF(A36&lt;$G$6,($B$6/10)*$G$5^(A36/$G$3),($B$6/10)*$G$5^($G$6/$G$3))</f>
        <v>1</v>
      </c>
      <c r="F36" s="0" t="n">
        <f aca="false">IF(A36&lt;$G$6,($B$7/10)*$G$5^(A36/$G$2),($B$7/10)*$G$5^($G$6/$G$2))</f>
        <v>0.866025403784438</v>
      </c>
      <c r="G36" s="0" t="n">
        <f aca="false">F36*F36*3.1416/4</f>
        <v>0.58905</v>
      </c>
      <c r="H36" s="0" t="n">
        <f aca="false">E36*E36*3.1416/4</f>
        <v>0.7854</v>
      </c>
      <c r="I36" s="0" t="n">
        <f aca="false">G36*B36</f>
        <v>0.58905</v>
      </c>
      <c r="J36" s="0" t="n">
        <f aca="false">H36*B36</f>
        <v>0.7854</v>
      </c>
      <c r="K36" s="0" t="n">
        <f aca="false">H36-G36</f>
        <v>0.196350000000001</v>
      </c>
      <c r="L36" s="0" t="n">
        <f aca="false">SQRT(4*K36/3.1416)</f>
        <v>0.500000000000001</v>
      </c>
      <c r="M36" s="0" t="n">
        <f aca="false">(E36-L36)/2</f>
        <v>0.25</v>
      </c>
      <c r="N36" s="0" t="n">
        <f aca="false">E36*3.1416</f>
        <v>3.1416</v>
      </c>
      <c r="O36" s="0" t="n">
        <f aca="false">C36*3.1416*E36*B36/100</f>
        <v>0.000871327425742574</v>
      </c>
      <c r="P36" s="0" t="n">
        <f aca="false">C36*E36/100*E36/100*3.1416/4*B36</f>
        <v>2.17831856435644E-006</v>
      </c>
      <c r="Q36" s="0" t="n">
        <f aca="false">Q35+O36</f>
        <v>0.661093643379304</v>
      </c>
      <c r="R36" s="0" t="n">
        <f aca="false">P36+R35</f>
        <v>0.000233456147298779</v>
      </c>
      <c r="S36" s="0" t="n">
        <f aca="false">G36/10000*C36*B36</f>
        <v>1.63373892326733E-006</v>
      </c>
      <c r="T36" s="0" t="n">
        <f aca="false">T35+S36</f>
        <v>0.000218558953016006</v>
      </c>
      <c r="U36" s="0" t="n">
        <f aca="false">U35+C36*B36</f>
        <v>184.059883020337</v>
      </c>
      <c r="V36" s="0" t="n">
        <f aca="false">E36/2*B36</f>
        <v>0.5</v>
      </c>
      <c r="W36" s="142" t="n">
        <f aca="false">C36/(G36/10000)*$B$13*($F$21/F36)^($B$12)</f>
        <v>0.0483385036842733</v>
      </c>
      <c r="X36" s="142" t="n">
        <f aca="false">W36/B36</f>
        <v>0.0483385036842733</v>
      </c>
      <c r="Y36" s="142" t="n">
        <f aca="false">Y37+X36</f>
        <v>0.0583038712443513</v>
      </c>
      <c r="Z36" s="540" t="n">
        <f aca="false">-Y36*$B$4*2</f>
        <v>-0.0583038712443513</v>
      </c>
      <c r="AM36" s="142"/>
    </row>
    <row r="37" customFormat="false" ht="15.75" hidden="false" customHeight="false" outlineLevel="0" collapsed="false">
      <c r="A37" s="0" t="n">
        <f aca="false">A36+1</f>
        <v>16</v>
      </c>
      <c r="B37" s="0" t="n">
        <f aca="false">MAX(B36/$G$5,1)</f>
        <v>1</v>
      </c>
      <c r="C37" s="0" t="n">
        <f aca="false">$B$10+A37*$G$4</f>
        <v>0.0270841584158416</v>
      </c>
      <c r="D37" s="0" t="n">
        <f aca="false">(A37+1)*($B$10+$G$4*A37/2)</f>
        <v>0.548965346534653</v>
      </c>
      <c r="E37" s="0" t="n">
        <f aca="false">IF(A37&lt;$G$6,($B$6/10)*$G$5^(A37/$G$3),($B$6/10)*$G$5^($G$6/$G$3))</f>
        <v>1</v>
      </c>
      <c r="F37" s="0" t="n">
        <f aca="false">IF(A37&lt;$G$6,($B$7/10)*$G$5^(A37/$G$2),($B$7/10)*$G$5^($G$6/$G$2))</f>
        <v>0.866025403784438</v>
      </c>
      <c r="G37" s="0" t="n">
        <f aca="false">F37*F37*3.1416/4</f>
        <v>0.58905</v>
      </c>
      <c r="H37" s="0" t="n">
        <f aca="false">E37*E37*3.1416/4</f>
        <v>0.7854</v>
      </c>
      <c r="I37" s="0" t="n">
        <f aca="false">G37*B37</f>
        <v>0.58905</v>
      </c>
      <c r="J37" s="0" t="n">
        <f aca="false">H37*B37</f>
        <v>0.7854</v>
      </c>
      <c r="K37" s="0" t="n">
        <f aca="false">H37-G37</f>
        <v>0.196350000000001</v>
      </c>
      <c r="L37" s="0" t="n">
        <f aca="false">SQRT(4*K37/3.1416)</f>
        <v>0.500000000000001</v>
      </c>
      <c r="M37" s="0" t="n">
        <f aca="false">(E37-L37)/2</f>
        <v>0.25</v>
      </c>
      <c r="N37" s="0" t="n">
        <f aca="false">E37*3.1416</f>
        <v>3.1416</v>
      </c>
      <c r="O37" s="0" t="n">
        <f aca="false">C37*3.1416*E37*B37/100</f>
        <v>0.000850875920792079</v>
      </c>
      <c r="P37" s="0" t="n">
        <f aca="false">C37*E37/100*E37/100*3.1416/4*B37</f>
        <v>2.1271898019802E-006</v>
      </c>
      <c r="Q37" s="0" t="n">
        <f aca="false">Q36+O37</f>
        <v>0.661944519300096</v>
      </c>
      <c r="R37" s="0" t="n">
        <f aca="false">P37+R36</f>
        <v>0.00023558333710076</v>
      </c>
      <c r="S37" s="0" t="n">
        <f aca="false">G37/10000*C37*B37</f>
        <v>1.59539235148515E-006</v>
      </c>
      <c r="T37" s="0" t="n">
        <f aca="false">T36+S37</f>
        <v>0.000220154345367491</v>
      </c>
      <c r="U37" s="0" t="n">
        <f aca="false">U36+C37*B37</f>
        <v>184.086967178752</v>
      </c>
      <c r="V37" s="0" t="n">
        <f aca="false">E37/2*B37</f>
        <v>0.5</v>
      </c>
      <c r="W37" s="142" t="n">
        <f aca="false">C37/(G37/10000)*$B$13*($F$21/F37)^($B$12)</f>
        <v>0.0472039185464809</v>
      </c>
      <c r="X37" s="142" t="n">
        <f aca="false">W37/B37</f>
        <v>0.0472039185464809</v>
      </c>
      <c r="Y37" s="142" t="n">
        <f aca="false">Y38+X37</f>
        <v>0.00996536756007799</v>
      </c>
      <c r="Z37" s="540" t="n">
        <f aca="false">-Y37*$B$4*2</f>
        <v>-0.00996536756007799</v>
      </c>
      <c r="AM37" s="142"/>
    </row>
    <row r="38" customFormat="false" ht="15.75" hidden="false" customHeight="false" outlineLevel="0" collapsed="false">
      <c r="A38" s="0" t="n">
        <f aca="false">A37+1</f>
        <v>17</v>
      </c>
      <c r="B38" s="0" t="n">
        <f aca="false">MAX(B37/$G$5,1)</f>
        <v>1</v>
      </c>
      <c r="C38" s="0" t="n">
        <f aca="false">$B$10+A38*$G$4</f>
        <v>0.0264331683168317</v>
      </c>
      <c r="D38" s="0" t="n">
        <f aca="false">(A38+1)*($B$10+$G$4*A38/2)</f>
        <v>0.575398514851485</v>
      </c>
      <c r="E38" s="0" t="n">
        <f aca="false">IF(A38&lt;$G$6,($B$6/10)*$G$5^(A38/$G$3),($B$6/10)*$G$5^($G$6/$G$3))</f>
        <v>1</v>
      </c>
      <c r="F38" s="0" t="n">
        <f aca="false">IF(A38&lt;$G$6,($B$7/10)*$G$5^(A38/$G$2),($B$7/10)*$G$5^($G$6/$G$2))</f>
        <v>0.866025403784438</v>
      </c>
      <c r="G38" s="0" t="n">
        <f aca="false">F38*F38*3.1416/4</f>
        <v>0.58905</v>
      </c>
      <c r="H38" s="0" t="n">
        <f aca="false">E38*E38*3.1416/4</f>
        <v>0.7854</v>
      </c>
      <c r="I38" s="0" t="n">
        <f aca="false">G38*B38</f>
        <v>0.58905</v>
      </c>
      <c r="J38" s="0" t="n">
        <f aca="false">H38*B38</f>
        <v>0.7854</v>
      </c>
      <c r="K38" s="0" t="n">
        <f aca="false">H38-G38</f>
        <v>0.196350000000001</v>
      </c>
      <c r="L38" s="0" t="n">
        <f aca="false">SQRT(4*K38/3.1416)</f>
        <v>0.500000000000001</v>
      </c>
      <c r="M38" s="0" t="n">
        <f aca="false">(E38-L38)/2</f>
        <v>0.25</v>
      </c>
      <c r="N38" s="0" t="n">
        <f aca="false">E38*3.1416</f>
        <v>3.1416</v>
      </c>
      <c r="O38" s="0" t="n">
        <f aca="false">C38*3.1416*E38*B38/100</f>
        <v>0.000830424415841584</v>
      </c>
      <c r="P38" s="0" t="n">
        <f aca="false">C38*E38/100*E38/100*3.1416/4*B38</f>
        <v>2.07606103960396E-006</v>
      </c>
      <c r="Q38" s="0" t="n">
        <f aca="false">Q37+O38</f>
        <v>0.662774943715937</v>
      </c>
      <c r="R38" s="0" t="n">
        <f aca="false">P38+R37</f>
        <v>0.000237659398140364</v>
      </c>
      <c r="S38" s="0" t="n">
        <f aca="false">G38/10000*C38*B38</f>
        <v>1.55704577970297E-006</v>
      </c>
      <c r="T38" s="0" t="n">
        <f aca="false">T37+S38</f>
        <v>0.000221711391147194</v>
      </c>
      <c r="U38" s="0" t="n">
        <f aca="false">U37+C38*B38</f>
        <v>184.113400347069</v>
      </c>
      <c r="V38" s="0" t="n">
        <f aca="false">E38/2*B38</f>
        <v>0.5</v>
      </c>
      <c r="W38" s="142" t="n">
        <f aca="false">C38/(G38/10000)*$B$13*($F$21/F38)^($B$12)</f>
        <v>0.0460693334086885</v>
      </c>
      <c r="X38" s="142" t="n">
        <f aca="false">W38/B38</f>
        <v>0.0460693334086885</v>
      </c>
      <c r="Y38" s="142" t="n">
        <f aca="false">Y39+X38</f>
        <v>-0.0372385509864029</v>
      </c>
      <c r="Z38" s="540" t="n">
        <f aca="false">-Y38*$B$4*2</f>
        <v>0.0372385509864029</v>
      </c>
      <c r="AM38" s="142"/>
    </row>
    <row r="39" customFormat="false" ht="15.75" hidden="false" customHeight="false" outlineLevel="0" collapsed="false">
      <c r="A39" s="0" t="n">
        <f aca="false">A38+1</f>
        <v>18</v>
      </c>
      <c r="B39" s="0" t="n">
        <f aca="false">MAX(B38/$G$5,1)</f>
        <v>1</v>
      </c>
      <c r="C39" s="0" t="n">
        <f aca="false">$B$10+A39*$G$4</f>
        <v>0.0257821782178218</v>
      </c>
      <c r="D39" s="0" t="n">
        <f aca="false">(A39+1)*($B$10+$G$4*A39/2)</f>
        <v>0.601180693069307</v>
      </c>
      <c r="E39" s="0" t="n">
        <f aca="false">IF(A39&lt;$G$6,($B$6/10)*$G$5^(A39/$G$3),($B$6/10)*$G$5^($G$6/$G$3))</f>
        <v>1</v>
      </c>
      <c r="F39" s="0" t="n">
        <f aca="false">IF(A39&lt;$G$6,($B$7/10)*$G$5^(A39/$G$2),($B$7/10)*$G$5^($G$6/$G$2))</f>
        <v>0.866025403784438</v>
      </c>
      <c r="G39" s="0" t="n">
        <f aca="false">F39*F39*3.1416/4</f>
        <v>0.58905</v>
      </c>
      <c r="H39" s="0" t="n">
        <f aca="false">E39*E39*3.1416/4</f>
        <v>0.7854</v>
      </c>
      <c r="I39" s="0" t="n">
        <f aca="false">G39*B39</f>
        <v>0.58905</v>
      </c>
      <c r="J39" s="0" t="n">
        <f aca="false">H39*B39</f>
        <v>0.7854</v>
      </c>
      <c r="K39" s="0" t="n">
        <f aca="false">H39-G39</f>
        <v>0.196350000000001</v>
      </c>
      <c r="L39" s="0" t="n">
        <f aca="false">SQRT(4*K39/3.1416)</f>
        <v>0.500000000000001</v>
      </c>
      <c r="M39" s="0" t="n">
        <f aca="false">(E39-L39)/2</f>
        <v>0.25</v>
      </c>
      <c r="N39" s="0" t="n">
        <f aca="false">E39*3.1416</f>
        <v>3.1416</v>
      </c>
      <c r="O39" s="0" t="n">
        <f aca="false">C39*3.1416*E39*B39/100</f>
        <v>0.000809972910891089</v>
      </c>
      <c r="P39" s="0" t="n">
        <f aca="false">C39*E39/100*E39/100*3.1416/4*B39</f>
        <v>2.02493227722772E-006</v>
      </c>
      <c r="Q39" s="0" t="n">
        <f aca="false">Q38+O39</f>
        <v>0.663584916626829</v>
      </c>
      <c r="R39" s="0" t="n">
        <f aca="false">P39+R38</f>
        <v>0.000239684330417591</v>
      </c>
      <c r="S39" s="0" t="n">
        <f aca="false">G39/10000*C39*B39</f>
        <v>1.51869920792079E-006</v>
      </c>
      <c r="T39" s="0" t="n">
        <f aca="false">T38+S39</f>
        <v>0.000223230090355115</v>
      </c>
      <c r="U39" s="0" t="n">
        <f aca="false">U38+C39*B39</f>
        <v>184.139182525287</v>
      </c>
      <c r="V39" s="0" t="n">
        <f aca="false">E39/2*B39</f>
        <v>0.5</v>
      </c>
      <c r="W39" s="142" t="n">
        <f aca="false">C39/(G39/10000)*$B$13*($F$21/F39)^($B$12)</f>
        <v>0.0449347482708961</v>
      </c>
      <c r="X39" s="142" t="n">
        <f aca="false">W39/B39</f>
        <v>0.0449347482708961</v>
      </c>
      <c r="Y39" s="142" t="n">
        <f aca="false">Y40+X39</f>
        <v>-0.0833078843950915</v>
      </c>
      <c r="Z39" s="540" t="n">
        <f aca="false">-Y39*$B$4*2</f>
        <v>0.0833078843950915</v>
      </c>
      <c r="AM39" s="142"/>
    </row>
    <row r="40" customFormat="false" ht="15.75" hidden="false" customHeight="false" outlineLevel="0" collapsed="false">
      <c r="A40" s="0" t="n">
        <f aca="false">A39+1</f>
        <v>19</v>
      </c>
      <c r="B40" s="0" t="n">
        <f aca="false">MAX(B39/$G$5,1)</f>
        <v>1</v>
      </c>
      <c r="C40" s="0" t="n">
        <f aca="false">$B$10+A40*$G$4</f>
        <v>0.0251311881188119</v>
      </c>
      <c r="D40" s="0" t="n">
        <f aca="false">(A40+1)*($B$10+$G$4*A40/2)</f>
        <v>0.626311881188119</v>
      </c>
      <c r="E40" s="0" t="n">
        <f aca="false">IF(A40&lt;$G$6,($B$6/10)*$G$5^(A40/$G$3),($B$6/10)*$G$5^($G$6/$G$3))</f>
        <v>1</v>
      </c>
      <c r="F40" s="0" t="n">
        <f aca="false">IF(A40&lt;$G$6,($B$7/10)*$G$5^(A40/$G$2),($B$7/10)*$G$5^($G$6/$G$2))</f>
        <v>0.866025403784438</v>
      </c>
      <c r="G40" s="0" t="n">
        <f aca="false">F40*F40*3.1416/4</f>
        <v>0.58905</v>
      </c>
      <c r="H40" s="0" t="n">
        <f aca="false">E40*E40*3.1416/4</f>
        <v>0.7854</v>
      </c>
      <c r="I40" s="0" t="n">
        <f aca="false">G40*B40</f>
        <v>0.58905</v>
      </c>
      <c r="J40" s="0" t="n">
        <f aca="false">H40*B40</f>
        <v>0.7854</v>
      </c>
      <c r="K40" s="0" t="n">
        <f aca="false">H40-G40</f>
        <v>0.196350000000001</v>
      </c>
      <c r="L40" s="0" t="n">
        <f aca="false">SQRT(4*K40/3.1416)</f>
        <v>0.500000000000001</v>
      </c>
      <c r="M40" s="0" t="n">
        <f aca="false">(E40-L40)/2</f>
        <v>0.25</v>
      </c>
      <c r="N40" s="0" t="n">
        <f aca="false">E40*3.1416</f>
        <v>3.1416</v>
      </c>
      <c r="O40" s="0" t="n">
        <f aca="false">C40*3.1416*E40*B40/100</f>
        <v>0.000789521405940594</v>
      </c>
      <c r="P40" s="0" t="n">
        <f aca="false">C40*E40/100*E40/100*3.1416/4*B40</f>
        <v>1.97380351485149E-006</v>
      </c>
      <c r="Q40" s="0" t="n">
        <f aca="false">Q39+O40</f>
        <v>0.664374438032769</v>
      </c>
      <c r="R40" s="0" t="n">
        <f aca="false">P40+R39</f>
        <v>0.000241658133932443</v>
      </c>
      <c r="S40" s="0" t="n">
        <f aca="false">G40/10000*C40*B40</f>
        <v>1.48035263613861E-006</v>
      </c>
      <c r="T40" s="0" t="n">
        <f aca="false">T39+S40</f>
        <v>0.000224710442991253</v>
      </c>
      <c r="U40" s="0" t="n">
        <f aca="false">U39+C40*B40</f>
        <v>184.164313713406</v>
      </c>
      <c r="V40" s="0" t="n">
        <f aca="false">E40/2*B40</f>
        <v>0.5</v>
      </c>
      <c r="W40" s="142" t="n">
        <f aca="false">C40/(G40/10000)*$B$13*($F$21/F40)^($B$12)</f>
        <v>0.0438001631331037</v>
      </c>
      <c r="X40" s="142" t="n">
        <f aca="false">W40/B40</f>
        <v>0.0438001631331037</v>
      </c>
      <c r="Y40" s="142" t="n">
        <f aca="false">Y41+X40</f>
        <v>-0.128242632665988</v>
      </c>
      <c r="Z40" s="540" t="n">
        <f aca="false">-Y40*$B$4*2</f>
        <v>0.128242632665988</v>
      </c>
      <c r="AM40" s="142"/>
    </row>
    <row r="41" customFormat="false" ht="15.75" hidden="false" customHeight="false" outlineLevel="0" collapsed="false">
      <c r="A41" s="0" t="n">
        <f aca="false">A40+1</f>
        <v>20</v>
      </c>
      <c r="B41" s="0" t="n">
        <f aca="false">MAX(B40/$G$5,1)</f>
        <v>1</v>
      </c>
      <c r="C41" s="0" t="n">
        <f aca="false">$B$10+A41*$G$4</f>
        <v>0.024480198019802</v>
      </c>
      <c r="D41" s="0" t="n">
        <f aca="false">(A41+1)*($B$10+$G$4*A41/2)</f>
        <v>0.650792079207921</v>
      </c>
      <c r="E41" s="0" t="n">
        <f aca="false">IF(A41&lt;$G$6,($B$6/10)*$G$5^(A41/$G$3),($B$6/10)*$G$5^($G$6/$G$3))</f>
        <v>1</v>
      </c>
      <c r="F41" s="0" t="n">
        <f aca="false">IF(A41&lt;$G$6,($B$7/10)*$G$5^(A41/$G$2),($B$7/10)*$G$5^($G$6/$G$2))</f>
        <v>0.866025403784438</v>
      </c>
      <c r="G41" s="0" t="n">
        <f aca="false">F41*F41*3.1416/4</f>
        <v>0.58905</v>
      </c>
      <c r="H41" s="0" t="n">
        <f aca="false">E41*E41*3.1416/4</f>
        <v>0.7854</v>
      </c>
      <c r="I41" s="0" t="n">
        <f aca="false">G41*B41</f>
        <v>0.58905</v>
      </c>
      <c r="J41" s="0" t="n">
        <f aca="false">H41*B41</f>
        <v>0.7854</v>
      </c>
      <c r="K41" s="0" t="n">
        <f aca="false">H41-G41</f>
        <v>0.196350000000001</v>
      </c>
      <c r="L41" s="0" t="n">
        <f aca="false">SQRT(4*K41/3.1416)</f>
        <v>0.500000000000001</v>
      </c>
      <c r="M41" s="0" t="n">
        <f aca="false">(E41-L41)/2</f>
        <v>0.25</v>
      </c>
      <c r="N41" s="0" t="n">
        <f aca="false">E41*3.1416</f>
        <v>3.1416</v>
      </c>
      <c r="O41" s="0" t="n">
        <f aca="false">C41*3.1416*E41*B41/100</f>
        <v>0.000769069900990099</v>
      </c>
      <c r="P41" s="0" t="n">
        <f aca="false">C41*E41/100*E41/100*3.1416/4*B41</f>
        <v>1.92267475247525E-006</v>
      </c>
      <c r="Q41" s="0" t="n">
        <f aca="false">Q40+O41</f>
        <v>0.665143507933759</v>
      </c>
      <c r="R41" s="0" t="n">
        <f aca="false">P41+R40</f>
        <v>0.000243580808684918</v>
      </c>
      <c r="S41" s="0" t="n">
        <f aca="false">G41/10000*C41*B41</f>
        <v>1.44200606435643E-006</v>
      </c>
      <c r="T41" s="0" t="n">
        <f aca="false">T40+S41</f>
        <v>0.00022615244905561</v>
      </c>
      <c r="U41" s="0" t="n">
        <f aca="false">U40+C41*B41</f>
        <v>184.188793911426</v>
      </c>
      <c r="V41" s="0" t="n">
        <f aca="false">E41/2*B41</f>
        <v>0.5</v>
      </c>
      <c r="W41" s="142" t="n">
        <f aca="false">C41/(G41/10000)*$B$13*($F$21/F41)^($B$12)</f>
        <v>0.0426655779953113</v>
      </c>
      <c r="X41" s="142" t="n">
        <f aca="false">W41/B41</f>
        <v>0.0426655779953113</v>
      </c>
      <c r="Y41" s="142" t="n">
        <f aca="false">Y42+X41</f>
        <v>-0.172042795799091</v>
      </c>
      <c r="Z41" s="540" t="n">
        <f aca="false">-Y41*$B$4*2</f>
        <v>0.172042795799091</v>
      </c>
      <c r="AM41" s="142"/>
    </row>
    <row r="42" customFormat="false" ht="15.75" hidden="false" customHeight="false" outlineLevel="0" collapsed="false">
      <c r="A42" s="0" t="n">
        <f aca="false">A41+1</f>
        <v>21</v>
      </c>
      <c r="B42" s="0" t="n">
        <f aca="false">MAX(B41/$G$5,1)</f>
        <v>1</v>
      </c>
      <c r="C42" s="0" t="n">
        <f aca="false">$B$10+A42*$G$4</f>
        <v>0.0238292079207921</v>
      </c>
      <c r="D42" s="0" t="n">
        <f aca="false">(A42+1)*($B$10+$G$4*A42/2)</f>
        <v>0.674621287128713</v>
      </c>
      <c r="E42" s="0" t="n">
        <f aca="false">IF(A42&lt;$G$6,($B$6/10)*$G$5^(A42/$G$3),($B$6/10)*$G$5^($G$6/$G$3))</f>
        <v>1</v>
      </c>
      <c r="F42" s="0" t="n">
        <f aca="false">IF(A42&lt;$G$6,($B$7/10)*$G$5^(A42/$G$2),($B$7/10)*$G$5^($G$6/$G$2))</f>
        <v>0.866025403784438</v>
      </c>
      <c r="G42" s="0" t="n">
        <f aca="false">F42*F42*3.1416/4</f>
        <v>0.58905</v>
      </c>
      <c r="H42" s="0" t="n">
        <f aca="false">E42*E42*3.1416/4</f>
        <v>0.7854</v>
      </c>
      <c r="I42" s="0" t="n">
        <f aca="false">G42*B42</f>
        <v>0.58905</v>
      </c>
      <c r="J42" s="0" t="n">
        <f aca="false">H42*B42</f>
        <v>0.7854</v>
      </c>
      <c r="K42" s="0" t="n">
        <f aca="false">H42-G42</f>
        <v>0.196350000000001</v>
      </c>
      <c r="L42" s="0" t="n">
        <f aca="false">SQRT(4*K42/3.1416)</f>
        <v>0.500000000000001</v>
      </c>
      <c r="M42" s="0" t="n">
        <f aca="false">(E42-L42)/2</f>
        <v>0.25</v>
      </c>
      <c r="N42" s="0" t="n">
        <f aca="false">E42*3.1416</f>
        <v>3.1416</v>
      </c>
      <c r="O42" s="0" t="n">
        <f aca="false">C42*3.1416*E42*B42/100</f>
        <v>0.000748618396039604</v>
      </c>
      <c r="P42" s="0" t="n">
        <f aca="false">C42*E42/100*E42/100*3.1416/4*B42</f>
        <v>1.87154599009901E-006</v>
      </c>
      <c r="Q42" s="0" t="n">
        <f aca="false">Q41+O42</f>
        <v>0.665892126329799</v>
      </c>
      <c r="R42" s="0" t="n">
        <f aca="false">P42+R41</f>
        <v>0.000245452354675017</v>
      </c>
      <c r="S42" s="0" t="n">
        <f aca="false">G42/10000*C42*B42</f>
        <v>1.40365949257426E-006</v>
      </c>
      <c r="T42" s="0" t="n">
        <f aca="false">T41+S42</f>
        <v>0.000227556108548184</v>
      </c>
      <c r="U42" s="0" t="n">
        <f aca="false">U41+C42*B42</f>
        <v>184.212623119347</v>
      </c>
      <c r="V42" s="0" t="n">
        <f aca="false">E42/2*B42</f>
        <v>0.5</v>
      </c>
      <c r="W42" s="142" t="n">
        <f aca="false">C42/(G42/10000)*$B$13*($F$21/F42)^($B$12)</f>
        <v>0.0415309928575189</v>
      </c>
      <c r="X42" s="142" t="n">
        <f aca="false">W42/B42</f>
        <v>0.0415309928575189</v>
      </c>
      <c r="Y42" s="142" t="n">
        <f aca="false">Y43+X42</f>
        <v>-0.214708373794403</v>
      </c>
      <c r="Z42" s="540" t="n">
        <f aca="false">-Y42*$B$4*2</f>
        <v>0.214708373794403</v>
      </c>
      <c r="AM42" s="142"/>
    </row>
    <row r="43" customFormat="false" ht="15.75" hidden="false" customHeight="false" outlineLevel="0" collapsed="false">
      <c r="A43" s="0" t="n">
        <f aca="false">A42+1</f>
        <v>22</v>
      </c>
      <c r="B43" s="0" t="n">
        <f aca="false">MAX(B42/$G$5,1)</f>
        <v>1</v>
      </c>
      <c r="C43" s="0" t="n">
        <f aca="false">$B$10+A43*$G$4</f>
        <v>0.0231782178217822</v>
      </c>
      <c r="D43" s="0" t="n">
        <f aca="false">(A43+1)*($B$10+$G$4*A43/2)</f>
        <v>0.697799504950495</v>
      </c>
      <c r="E43" s="0" t="n">
        <f aca="false">IF(A43&lt;$G$6,($B$6/10)*$G$5^(A43/$G$3),($B$6/10)*$G$5^($G$6/$G$3))</f>
        <v>1</v>
      </c>
      <c r="F43" s="0" t="n">
        <f aca="false">IF(A43&lt;$G$6,($B$7/10)*$G$5^(A43/$G$2),($B$7/10)*$G$5^($G$6/$G$2))</f>
        <v>0.866025403784438</v>
      </c>
      <c r="G43" s="0" t="n">
        <f aca="false">F43*F43*3.1416/4</f>
        <v>0.58905</v>
      </c>
      <c r="H43" s="0" t="n">
        <f aca="false">E43*E43*3.1416/4</f>
        <v>0.7854</v>
      </c>
      <c r="I43" s="0" t="n">
        <f aca="false">G43*B43</f>
        <v>0.58905</v>
      </c>
      <c r="J43" s="0" t="n">
        <f aca="false">H43*B43</f>
        <v>0.7854</v>
      </c>
      <c r="K43" s="0" t="n">
        <f aca="false">H43-G43</f>
        <v>0.196350000000001</v>
      </c>
      <c r="L43" s="0" t="n">
        <f aca="false">SQRT(4*K43/3.1416)</f>
        <v>0.500000000000001</v>
      </c>
      <c r="M43" s="0" t="n">
        <f aca="false">(E43-L43)/2</f>
        <v>0.25</v>
      </c>
      <c r="N43" s="0" t="n">
        <f aca="false">E43*3.1416</f>
        <v>3.1416</v>
      </c>
      <c r="O43" s="0" t="n">
        <f aca="false">C43*3.1416*E43*B43/100</f>
        <v>0.000728166891089109</v>
      </c>
      <c r="P43" s="0" t="n">
        <f aca="false">C43*E43/100*E43/100*3.1416/4*B43</f>
        <v>1.82041722772277E-006</v>
      </c>
      <c r="Q43" s="0" t="n">
        <f aca="false">Q42+O43</f>
        <v>0.666620293220888</v>
      </c>
      <c r="R43" s="0" t="n">
        <f aca="false">P43+R42</f>
        <v>0.00024727277190274</v>
      </c>
      <c r="S43" s="0" t="n">
        <f aca="false">G43/10000*C43*B43</f>
        <v>1.36531292079208E-006</v>
      </c>
      <c r="T43" s="0" t="n">
        <f aca="false">T42+S43</f>
        <v>0.000228921421468976</v>
      </c>
      <c r="U43" s="0" t="n">
        <f aca="false">U42+C43*B43</f>
        <v>184.235801337168</v>
      </c>
      <c r="V43" s="0" t="n">
        <f aca="false">E43/2*B43</f>
        <v>0.5</v>
      </c>
      <c r="W43" s="142" t="n">
        <f aca="false">C43/(G43/10000)*$B$13*($F$21/F43)^($B$12)</f>
        <v>0.0403964077197265</v>
      </c>
      <c r="X43" s="142" t="n">
        <f aca="false">W43/B43</f>
        <v>0.0403964077197265</v>
      </c>
      <c r="Y43" s="142" t="n">
        <f aca="false">Y44+X43</f>
        <v>-0.256239366651922</v>
      </c>
      <c r="Z43" s="540" t="n">
        <f aca="false">-Y43*$B$4*2</f>
        <v>0.256239366651922</v>
      </c>
      <c r="AM43" s="142"/>
    </row>
    <row r="44" customFormat="false" ht="15.75" hidden="false" customHeight="false" outlineLevel="0" collapsed="false">
      <c r="A44" s="0" t="n">
        <f aca="false">A43+1</f>
        <v>23</v>
      </c>
      <c r="B44" s="0" t="n">
        <f aca="false">MAX(B43/$G$5,1)</f>
        <v>1</v>
      </c>
      <c r="C44" s="0" t="n">
        <f aca="false">$B$10+A44*$G$4</f>
        <v>0.0225272277227723</v>
      </c>
      <c r="D44" s="0" t="n">
        <f aca="false">(A44+1)*($B$10+$G$4*A44/2)</f>
        <v>0.720326732673267</v>
      </c>
      <c r="E44" s="0" t="n">
        <f aca="false">IF(A44&lt;$G$6,($B$6/10)*$G$5^(A44/$G$3),($B$6/10)*$G$5^($G$6/$G$3))</f>
        <v>1</v>
      </c>
      <c r="F44" s="0" t="n">
        <f aca="false">IF(A44&lt;$G$6,($B$7/10)*$G$5^(A44/$G$2),($B$7/10)*$G$5^($G$6/$G$2))</f>
        <v>0.866025403784438</v>
      </c>
      <c r="G44" s="0" t="n">
        <f aca="false">F44*F44*3.1416/4</f>
        <v>0.58905</v>
      </c>
      <c r="H44" s="0" t="n">
        <f aca="false">E44*E44*3.1416/4</f>
        <v>0.7854</v>
      </c>
      <c r="I44" s="0" t="n">
        <f aca="false">G44*B44</f>
        <v>0.58905</v>
      </c>
      <c r="J44" s="0" t="n">
        <f aca="false">H44*B44</f>
        <v>0.7854</v>
      </c>
      <c r="K44" s="0" t="n">
        <f aca="false">H44-G44</f>
        <v>0.196350000000001</v>
      </c>
      <c r="L44" s="0" t="n">
        <f aca="false">SQRT(4*K44/3.1416)</f>
        <v>0.500000000000001</v>
      </c>
      <c r="M44" s="0" t="n">
        <f aca="false">(E44-L44)/2</f>
        <v>0.25</v>
      </c>
      <c r="N44" s="0" t="n">
        <f aca="false">E44*3.1416</f>
        <v>3.1416</v>
      </c>
      <c r="O44" s="0" t="n">
        <f aca="false">C44*3.1416*E44*B44/100</f>
        <v>0.000707715386138614</v>
      </c>
      <c r="P44" s="0" t="n">
        <f aca="false">C44*E44/100*E44/100*3.1416/4*B44</f>
        <v>1.76928846534654E-006</v>
      </c>
      <c r="Q44" s="0" t="n">
        <f aca="false">Q43+O44</f>
        <v>0.667328008607027</v>
      </c>
      <c r="R44" s="0" t="n">
        <f aca="false">P44+R43</f>
        <v>0.000249042060368086</v>
      </c>
      <c r="S44" s="0" t="n">
        <f aca="false">G44/10000*C44*B44</f>
        <v>1.3269663490099E-006</v>
      </c>
      <c r="T44" s="0" t="n">
        <f aca="false">T43+S44</f>
        <v>0.000230248387817986</v>
      </c>
      <c r="U44" s="0" t="n">
        <f aca="false">U43+C44*B44</f>
        <v>184.258328564891</v>
      </c>
      <c r="V44" s="0" t="n">
        <f aca="false">E44/2*B44</f>
        <v>0.5</v>
      </c>
      <c r="W44" s="142" t="n">
        <f aca="false">C44/(G44/10000)*$B$13*($F$21/F44)^($B$12)</f>
        <v>0.0392618225819341</v>
      </c>
      <c r="X44" s="142" t="n">
        <f aca="false">W44/B44</f>
        <v>0.0392618225819341</v>
      </c>
      <c r="Y44" s="142" t="n">
        <f aca="false">Y45+X44</f>
        <v>-0.296635774371648</v>
      </c>
      <c r="Z44" s="540" t="n">
        <f aca="false">-Y44*$B$4*2</f>
        <v>0.296635774371648</v>
      </c>
      <c r="AM44" s="142"/>
    </row>
    <row r="45" customFormat="false" ht="15.75" hidden="false" customHeight="false" outlineLevel="0" collapsed="false">
      <c r="A45" s="0" t="n">
        <f aca="false">A44+1</f>
        <v>24</v>
      </c>
      <c r="B45" s="0" t="n">
        <f aca="false">MAX(B44/$G$5,1)</f>
        <v>1</v>
      </c>
      <c r="C45" s="0" t="n">
        <f aca="false">$B$10+A45*$G$4</f>
        <v>0.0218762376237624</v>
      </c>
      <c r="D45" s="0" t="n">
        <f aca="false">(A45+1)*($B$10+$G$4*A45/2)</f>
        <v>0.74220297029703</v>
      </c>
      <c r="E45" s="0" t="n">
        <f aca="false">IF(A45&lt;$G$6,($B$6/10)*$G$5^(A45/$G$3),($B$6/10)*$G$5^($G$6/$G$3))</f>
        <v>1</v>
      </c>
      <c r="F45" s="0" t="n">
        <f aca="false">IF(A45&lt;$G$6,($B$7/10)*$G$5^(A45/$G$2),($B$7/10)*$G$5^($G$6/$G$2))</f>
        <v>0.866025403784438</v>
      </c>
      <c r="G45" s="0" t="n">
        <f aca="false">F45*F45*3.1416/4</f>
        <v>0.58905</v>
      </c>
      <c r="H45" s="0" t="n">
        <f aca="false">E45*E45*3.1416/4</f>
        <v>0.7854</v>
      </c>
      <c r="I45" s="0" t="n">
        <f aca="false">G45*B45</f>
        <v>0.58905</v>
      </c>
      <c r="J45" s="0" t="n">
        <f aca="false">H45*B45</f>
        <v>0.7854</v>
      </c>
      <c r="K45" s="0" t="n">
        <f aca="false">H45-G45</f>
        <v>0.196350000000001</v>
      </c>
      <c r="L45" s="0" t="n">
        <f aca="false">SQRT(4*K45/3.1416)</f>
        <v>0.500000000000001</v>
      </c>
      <c r="M45" s="0" t="n">
        <f aca="false">(E45-L45)/2</f>
        <v>0.25</v>
      </c>
      <c r="N45" s="0" t="n">
        <f aca="false">E45*3.1416</f>
        <v>3.1416</v>
      </c>
      <c r="O45" s="0" t="n">
        <f aca="false">C45*3.1416*E45*B45/100</f>
        <v>0.000687263881188119</v>
      </c>
      <c r="P45" s="0" t="n">
        <f aca="false">C45*E45/100*E45/100*3.1416/4*B45</f>
        <v>1.7181597029703E-006</v>
      </c>
      <c r="Q45" s="0" t="n">
        <f aca="false">Q44+O45</f>
        <v>0.668015272488215</v>
      </c>
      <c r="R45" s="0" t="n">
        <f aca="false">P45+R44</f>
        <v>0.000250760220071057</v>
      </c>
      <c r="S45" s="0" t="n">
        <f aca="false">G45/10000*C45*B45</f>
        <v>1.28861977722772E-006</v>
      </c>
      <c r="T45" s="0" t="n">
        <f aca="false">T44+S45</f>
        <v>0.000231537007595214</v>
      </c>
      <c r="U45" s="0" t="n">
        <f aca="false">U44+C45*B45</f>
        <v>184.280204802515</v>
      </c>
      <c r="V45" s="0" t="n">
        <f aca="false">E45/2*B45</f>
        <v>0.5</v>
      </c>
      <c r="W45" s="142" t="n">
        <f aca="false">C45/(G45/10000)*$B$13*($F$21/F45)^($B$12)</f>
        <v>0.0381272374441417</v>
      </c>
      <c r="X45" s="142" t="n">
        <f aca="false">W45/B45</f>
        <v>0.0381272374441417</v>
      </c>
      <c r="Y45" s="142" t="n">
        <f aca="false">Y46+X45</f>
        <v>-0.335897596953582</v>
      </c>
      <c r="Z45" s="540" t="n">
        <f aca="false">-Y45*$B$4*2</f>
        <v>0.335897596953582</v>
      </c>
      <c r="AM45" s="142"/>
    </row>
    <row r="46" customFormat="false" ht="15.75" hidden="false" customHeight="false" outlineLevel="0" collapsed="false">
      <c r="A46" s="0" t="n">
        <f aca="false">A45+1</f>
        <v>25</v>
      </c>
      <c r="B46" s="0" t="n">
        <f aca="false">MAX(B45/$G$5,1)</f>
        <v>1</v>
      </c>
      <c r="C46" s="0" t="n">
        <f aca="false">$B$10+A46*$G$4</f>
        <v>0.0212252475247525</v>
      </c>
      <c r="D46" s="0" t="n">
        <f aca="false">(A46+1)*($B$10+$G$4*A46/2)</f>
        <v>0.763428217821782</v>
      </c>
      <c r="E46" s="0" t="n">
        <f aca="false">IF(A46&lt;$G$6,($B$6/10)*$G$5^(A46/$G$3),($B$6/10)*$G$5^($G$6/$G$3))</f>
        <v>1</v>
      </c>
      <c r="F46" s="0" t="n">
        <f aca="false">IF(A46&lt;$G$6,($B$7/10)*$G$5^(A46/$G$2),($B$7/10)*$G$5^($G$6/$G$2))</f>
        <v>0.866025403784438</v>
      </c>
      <c r="G46" s="0" t="n">
        <f aca="false">F46*F46*3.1416/4</f>
        <v>0.58905</v>
      </c>
      <c r="H46" s="0" t="n">
        <f aca="false">E46*E46*3.1416/4</f>
        <v>0.7854</v>
      </c>
      <c r="I46" s="0" t="n">
        <f aca="false">G46*B46</f>
        <v>0.58905</v>
      </c>
      <c r="J46" s="0" t="n">
        <f aca="false">H46*B46</f>
        <v>0.7854</v>
      </c>
      <c r="K46" s="0" t="n">
        <f aca="false">H46-G46</f>
        <v>0.196350000000001</v>
      </c>
      <c r="L46" s="0" t="n">
        <f aca="false">SQRT(4*K46/3.1416)</f>
        <v>0.500000000000001</v>
      </c>
      <c r="M46" s="0" t="n">
        <f aca="false">(E46-L46)/2</f>
        <v>0.25</v>
      </c>
      <c r="N46" s="0" t="n">
        <f aca="false">E46*3.1416</f>
        <v>3.1416</v>
      </c>
      <c r="O46" s="0" t="n">
        <f aca="false">C46*3.1416*E46*B46/100</f>
        <v>0.000666812376237624</v>
      </c>
      <c r="P46" s="0" t="n">
        <f aca="false">C46*E46/100*E46/100*3.1416/4*B46</f>
        <v>1.66703094059406E-006</v>
      </c>
      <c r="Q46" s="0" t="n">
        <f aca="false">Q45+O46</f>
        <v>0.668682084864452</v>
      </c>
      <c r="R46" s="0" t="n">
        <f aca="false">P46+R45</f>
        <v>0.000252427251011651</v>
      </c>
      <c r="S46" s="0" t="n">
        <f aca="false">G46/10000*C46*B46</f>
        <v>1.25027320544554E-006</v>
      </c>
      <c r="T46" s="0" t="n">
        <f aca="false">T45+S46</f>
        <v>0.000232787280800659</v>
      </c>
      <c r="U46" s="0" t="n">
        <f aca="false">U45+C46*B46</f>
        <v>184.30143005004</v>
      </c>
      <c r="V46" s="0" t="n">
        <f aca="false">E46/2*B46</f>
        <v>0.5</v>
      </c>
      <c r="W46" s="142" t="n">
        <f aca="false">C46/(G46/10000)*$B$13*($F$21/F46)^($B$12)</f>
        <v>0.0369926523063493</v>
      </c>
      <c r="X46" s="142" t="n">
        <f aca="false">W46/B46</f>
        <v>0.0369926523063493</v>
      </c>
      <c r="Y46" s="142" t="n">
        <f aca="false">Y47+X46</f>
        <v>-0.374024834397724</v>
      </c>
      <c r="Z46" s="540" t="n">
        <f aca="false">-Y46*$B$4*2</f>
        <v>0.374024834397724</v>
      </c>
      <c r="AM46" s="142"/>
    </row>
    <row r="47" customFormat="false" ht="15.75" hidden="false" customHeight="false" outlineLevel="0" collapsed="false">
      <c r="A47" s="0" t="n">
        <f aca="false">A46+1</f>
        <v>26</v>
      </c>
      <c r="B47" s="0" t="n">
        <f aca="false">MAX(B46/$G$5,1)</f>
        <v>1</v>
      </c>
      <c r="C47" s="0" t="n">
        <f aca="false">$B$10+A47*$G$4</f>
        <v>0.0205742574257426</v>
      </c>
      <c r="D47" s="0" t="n">
        <f aca="false">(A47+1)*($B$10+$G$4*A47/2)</f>
        <v>0.784002475247525</v>
      </c>
      <c r="E47" s="0" t="n">
        <f aca="false">IF(A47&lt;$G$6,($B$6/10)*$G$5^(A47/$G$3),($B$6/10)*$G$5^($G$6/$G$3))</f>
        <v>1</v>
      </c>
      <c r="F47" s="0" t="n">
        <f aca="false">IF(A47&lt;$G$6,($B$7/10)*$G$5^(A47/$G$2),($B$7/10)*$G$5^($G$6/$G$2))</f>
        <v>0.866025403784438</v>
      </c>
      <c r="G47" s="0" t="n">
        <f aca="false">F47*F47*3.1416/4</f>
        <v>0.58905</v>
      </c>
      <c r="H47" s="0" t="n">
        <f aca="false">E47*E47*3.1416/4</f>
        <v>0.7854</v>
      </c>
      <c r="I47" s="0" t="n">
        <f aca="false">G47*B47</f>
        <v>0.58905</v>
      </c>
      <c r="J47" s="0" t="n">
        <f aca="false">H47*B47</f>
        <v>0.7854</v>
      </c>
      <c r="K47" s="0" t="n">
        <f aca="false">H47-G47</f>
        <v>0.196350000000001</v>
      </c>
      <c r="L47" s="0" t="n">
        <f aca="false">SQRT(4*K47/3.1416)</f>
        <v>0.500000000000001</v>
      </c>
      <c r="M47" s="0" t="n">
        <f aca="false">(E47-L47)/2</f>
        <v>0.25</v>
      </c>
      <c r="N47" s="0" t="n">
        <f aca="false">E47*3.1416</f>
        <v>3.1416</v>
      </c>
      <c r="O47" s="0" t="n">
        <f aca="false">C47*3.1416*E47*B47/100</f>
        <v>0.000646360871287129</v>
      </c>
      <c r="P47" s="0" t="n">
        <f aca="false">C47*E47/100*E47/100*3.1416/4*B47</f>
        <v>1.61590217821782E-006</v>
      </c>
      <c r="Q47" s="0" t="n">
        <f aca="false">Q46+O47</f>
        <v>0.669328445735739</v>
      </c>
      <c r="R47" s="0" t="n">
        <f aca="false">P47+R46</f>
        <v>0.000254043153189868</v>
      </c>
      <c r="S47" s="0" t="n">
        <f aca="false">G47/10000*C47*B47</f>
        <v>1.21192663366337E-006</v>
      </c>
      <c r="T47" s="0" t="n">
        <f aca="false">T46+S47</f>
        <v>0.000233999207434323</v>
      </c>
      <c r="U47" s="0" t="n">
        <f aca="false">U46+C47*B47</f>
        <v>184.322004307465</v>
      </c>
      <c r="V47" s="0" t="n">
        <f aca="false">E47/2*B47</f>
        <v>0.5</v>
      </c>
      <c r="W47" s="142" t="n">
        <f aca="false">C47/(G47/10000)*$B$13*($F$21/F47)^($B$12)</f>
        <v>0.0358580671685569</v>
      </c>
      <c r="X47" s="142" t="n">
        <f aca="false">W47/B47</f>
        <v>0.0358580671685569</v>
      </c>
      <c r="Y47" s="142" t="n">
        <f aca="false">Y48+X47</f>
        <v>-0.411017486704073</v>
      </c>
      <c r="Z47" s="540" t="n">
        <f aca="false">-Y47*$B$4*2</f>
        <v>0.411017486704073</v>
      </c>
      <c r="AM47" s="142"/>
    </row>
    <row r="48" customFormat="false" ht="15.75" hidden="false" customHeight="false" outlineLevel="0" collapsed="false">
      <c r="A48" s="0" t="n">
        <f aca="false">A47+1</f>
        <v>27</v>
      </c>
      <c r="B48" s="0" t="n">
        <f aca="false">MAX(B47/$G$5,1)</f>
        <v>1</v>
      </c>
      <c r="C48" s="0" t="n">
        <f aca="false">$B$10+A48*$G$4</f>
        <v>0.0199232673267327</v>
      </c>
      <c r="D48" s="0" t="n">
        <f aca="false">(A48+1)*($B$10+$G$4*A48/2)</f>
        <v>0.803925742574257</v>
      </c>
      <c r="E48" s="0" t="n">
        <f aca="false">IF(A48&lt;$G$6,($B$6/10)*$G$5^(A48/$G$3),($B$6/10)*$G$5^($G$6/$G$3))</f>
        <v>1</v>
      </c>
      <c r="F48" s="0" t="n">
        <f aca="false">IF(A48&lt;$G$6,($B$7/10)*$G$5^(A48/$G$2),($B$7/10)*$G$5^($G$6/$G$2))</f>
        <v>0.866025403784438</v>
      </c>
      <c r="G48" s="0" t="n">
        <f aca="false">F48*F48*3.1416/4</f>
        <v>0.58905</v>
      </c>
      <c r="H48" s="0" t="n">
        <f aca="false">E48*E48*3.1416/4</f>
        <v>0.7854</v>
      </c>
      <c r="I48" s="0" t="n">
        <f aca="false">G48*B48</f>
        <v>0.58905</v>
      </c>
      <c r="J48" s="0" t="n">
        <f aca="false">H48*B48</f>
        <v>0.7854</v>
      </c>
      <c r="K48" s="0" t="n">
        <f aca="false">H48-G48</f>
        <v>0.196350000000001</v>
      </c>
      <c r="L48" s="0" t="n">
        <f aca="false">SQRT(4*K48/3.1416)</f>
        <v>0.500000000000001</v>
      </c>
      <c r="M48" s="0" t="n">
        <f aca="false">(E48-L48)/2</f>
        <v>0.25</v>
      </c>
      <c r="N48" s="0" t="n">
        <f aca="false">E48*3.1416</f>
        <v>3.1416</v>
      </c>
      <c r="O48" s="0" t="n">
        <f aca="false">C48*3.1416*E48*B48/100</f>
        <v>0.000625909366336634</v>
      </c>
      <c r="P48" s="0" t="n">
        <f aca="false">C48*E48/100*E48/100*3.1416/4*B48</f>
        <v>1.56477341584159E-006</v>
      </c>
      <c r="Q48" s="0" t="n">
        <f aca="false">Q47+O48</f>
        <v>0.669954355102076</v>
      </c>
      <c r="R48" s="0" t="n">
        <f aca="false">P48+R47</f>
        <v>0.00025560792660571</v>
      </c>
      <c r="S48" s="0" t="n">
        <f aca="false">G48/10000*C48*B48</f>
        <v>1.17358006188119E-006</v>
      </c>
      <c r="T48" s="0" t="n">
        <f aca="false">T47+S48</f>
        <v>0.000235172787496204</v>
      </c>
      <c r="U48" s="0" t="n">
        <f aca="false">U47+C48*B48</f>
        <v>184.341927574792</v>
      </c>
      <c r="V48" s="0" t="n">
        <f aca="false">E48/2*B48</f>
        <v>0.5</v>
      </c>
      <c r="W48" s="142" t="n">
        <f aca="false">C48/(G48/10000)*$B$13*($F$21/F48)^($B$12)</f>
        <v>0.0347234820307645</v>
      </c>
      <c r="X48" s="142" t="n">
        <f aca="false">W48/B48</f>
        <v>0.0347234820307645</v>
      </c>
      <c r="Y48" s="142" t="n">
        <f aca="false">Y49+X48</f>
        <v>-0.44687555387263</v>
      </c>
      <c r="Z48" s="540" t="n">
        <f aca="false">-Y48*$B$4*2</f>
        <v>0.44687555387263</v>
      </c>
      <c r="AM48" s="142"/>
    </row>
    <row r="49" customFormat="false" ht="15.75" hidden="false" customHeight="false" outlineLevel="0" collapsed="false">
      <c r="A49" s="0" t="n">
        <f aca="false">A48+1</f>
        <v>28</v>
      </c>
      <c r="B49" s="0" t="n">
        <f aca="false">MAX(B48/$G$5,1)</f>
        <v>1</v>
      </c>
      <c r="C49" s="0" t="n">
        <f aca="false">$B$10+A49*$G$4</f>
        <v>0.0192722772277228</v>
      </c>
      <c r="D49" s="0" t="n">
        <f aca="false">(A49+1)*($B$10+$G$4*A49/2)</f>
        <v>0.82319801980198</v>
      </c>
      <c r="E49" s="0" t="n">
        <f aca="false">IF(A49&lt;$G$6,($B$6/10)*$G$5^(A49/$G$3),($B$6/10)*$G$5^($G$6/$G$3))</f>
        <v>1</v>
      </c>
      <c r="F49" s="0" t="n">
        <f aca="false">IF(A49&lt;$G$6,($B$7/10)*$G$5^(A49/$G$2),($B$7/10)*$G$5^($G$6/$G$2))</f>
        <v>0.866025403784438</v>
      </c>
      <c r="G49" s="0" t="n">
        <f aca="false">F49*F49*3.1416/4</f>
        <v>0.58905</v>
      </c>
      <c r="H49" s="0" t="n">
        <f aca="false">E49*E49*3.1416/4</f>
        <v>0.7854</v>
      </c>
      <c r="I49" s="0" t="n">
        <f aca="false">G49*B49</f>
        <v>0.58905</v>
      </c>
      <c r="J49" s="0" t="n">
        <f aca="false">H49*B49</f>
        <v>0.7854</v>
      </c>
      <c r="K49" s="0" t="n">
        <f aca="false">H49-G49</f>
        <v>0.196350000000001</v>
      </c>
      <c r="L49" s="0" t="n">
        <f aca="false">SQRT(4*K49/3.1416)</f>
        <v>0.500000000000001</v>
      </c>
      <c r="M49" s="0" t="n">
        <f aca="false">(E49-L49)/2</f>
        <v>0.25</v>
      </c>
      <c r="N49" s="0" t="n">
        <f aca="false">E49*3.1416</f>
        <v>3.1416</v>
      </c>
      <c r="O49" s="0" t="n">
        <f aca="false">C49*3.1416*E49*B49/100</f>
        <v>0.000605457861386139</v>
      </c>
      <c r="P49" s="0" t="n">
        <f aca="false">C49*E49/100*E49/100*3.1416/4*B49</f>
        <v>1.51364465346535E-006</v>
      </c>
      <c r="Q49" s="0" t="n">
        <f aca="false">Q48+O49</f>
        <v>0.670559812963462</v>
      </c>
      <c r="R49" s="0" t="n">
        <f aca="false">P49+R48</f>
        <v>0.000257121571259175</v>
      </c>
      <c r="S49" s="0" t="n">
        <f aca="false">G49/10000*C49*B49</f>
        <v>1.13523349009901E-006</v>
      </c>
      <c r="T49" s="0" t="n">
        <f aca="false">T48+S49</f>
        <v>0.000236308020986303</v>
      </c>
      <c r="U49" s="0" t="n">
        <f aca="false">U48+C49*B49</f>
        <v>184.36119985202</v>
      </c>
      <c r="V49" s="0" t="n">
        <f aca="false">E49/2*B49</f>
        <v>0.5</v>
      </c>
      <c r="W49" s="142" t="n">
        <f aca="false">C49/(G49/10000)*$B$13*($F$21/F49)^($B$12)</f>
        <v>0.0335888968929721</v>
      </c>
      <c r="X49" s="142" t="n">
        <f aca="false">W49/B49</f>
        <v>0.0335888968929721</v>
      </c>
      <c r="Y49" s="142" t="n">
        <f aca="false">Y50+X49</f>
        <v>-0.481599035903395</v>
      </c>
      <c r="Z49" s="540" t="n">
        <f aca="false">-Y49*$B$4*2</f>
        <v>0.481599035903395</v>
      </c>
      <c r="AJ49" s="142"/>
    </row>
    <row r="50" customFormat="false" ht="15.75" hidden="false" customHeight="false" outlineLevel="0" collapsed="false">
      <c r="A50" s="0" t="n">
        <f aca="false">A49+1</f>
        <v>29</v>
      </c>
      <c r="B50" s="0" t="n">
        <f aca="false">MAX(B49/$G$5,1)</f>
        <v>1</v>
      </c>
      <c r="C50" s="0" t="n">
        <f aca="false">$B$10+A50*$G$4</f>
        <v>0.0186212871287129</v>
      </c>
      <c r="D50" s="0" t="n">
        <f aca="false">(A50+1)*($B$10+$G$4*A50/2)</f>
        <v>0.841819306930693</v>
      </c>
      <c r="E50" s="0" t="n">
        <f aca="false">IF(A50&lt;$G$6,($B$6/10)*$G$5^(A50/$G$3),($B$6/10)*$G$5^($G$6/$G$3))</f>
        <v>1</v>
      </c>
      <c r="F50" s="0" t="n">
        <f aca="false">IF(A50&lt;$G$6,($B$7/10)*$G$5^(A50/$G$2),($B$7/10)*$G$5^($G$6/$G$2))</f>
        <v>0.866025403784438</v>
      </c>
      <c r="G50" s="0" t="n">
        <f aca="false">F50*F50*3.1416/4</f>
        <v>0.58905</v>
      </c>
      <c r="H50" s="0" t="n">
        <f aca="false">E50*E50*3.1416/4</f>
        <v>0.7854</v>
      </c>
      <c r="I50" s="0" t="n">
        <f aca="false">G50*B50</f>
        <v>0.58905</v>
      </c>
      <c r="J50" s="0" t="n">
        <f aca="false">H50*B50</f>
        <v>0.7854</v>
      </c>
      <c r="K50" s="0" t="n">
        <f aca="false">H50-G50</f>
        <v>0.196350000000001</v>
      </c>
      <c r="L50" s="0" t="n">
        <f aca="false">SQRT(4*K50/3.1416)</f>
        <v>0.500000000000001</v>
      </c>
      <c r="M50" s="0" t="n">
        <f aca="false">(E50-L50)/2</f>
        <v>0.25</v>
      </c>
      <c r="N50" s="0" t="n">
        <f aca="false">E50*3.1416</f>
        <v>3.1416</v>
      </c>
      <c r="O50" s="0" t="n">
        <f aca="false">C50*3.1416*E50*B50/100</f>
        <v>0.000585006356435644</v>
      </c>
      <c r="P50" s="0" t="n">
        <f aca="false">C50*E50/100*E50/100*3.1416/4*B50</f>
        <v>1.46251589108911E-006</v>
      </c>
      <c r="Q50" s="0" t="n">
        <f aca="false">Q49+O50</f>
        <v>0.671144819319898</v>
      </c>
      <c r="R50" s="0" t="n">
        <f aca="false">P50+R49</f>
        <v>0.000258584087150265</v>
      </c>
      <c r="S50" s="0" t="n">
        <f aca="false">G50/10000*C50*B50</f>
        <v>1.09688691831683E-006</v>
      </c>
      <c r="T50" s="0" t="n">
        <f aca="false">T49+S50</f>
        <v>0.00023740490790462</v>
      </c>
      <c r="U50" s="0" t="n">
        <f aca="false">U49+C50*B50</f>
        <v>184.379821139148</v>
      </c>
      <c r="V50" s="0" t="n">
        <f aca="false">E50/2*B50</f>
        <v>0.5</v>
      </c>
      <c r="W50" s="142" t="n">
        <f aca="false">C50/(G50/10000)*$B$13*($F$21/F50)^($B$12)</f>
        <v>0.0324543117551797</v>
      </c>
      <c r="X50" s="142" t="n">
        <f aca="false">W50/B50</f>
        <v>0.0324543117551797</v>
      </c>
      <c r="Y50" s="142" t="n">
        <f aca="false">Y51+X50</f>
        <v>-0.515187932796367</v>
      </c>
      <c r="Z50" s="540" t="n">
        <f aca="false">-Y50*$B$4*2</f>
        <v>0.515187932796367</v>
      </c>
      <c r="AJ50" s="142"/>
    </row>
    <row r="51" customFormat="false" ht="15.75" hidden="false" customHeight="false" outlineLevel="0" collapsed="false">
      <c r="A51" s="0" t="n">
        <f aca="false">A50+1</f>
        <v>30</v>
      </c>
      <c r="B51" s="0" t="n">
        <f aca="false">MAX(B50/$G$5,1)</f>
        <v>1</v>
      </c>
      <c r="C51" s="0" t="n">
        <f aca="false">$B$10+A51*$G$4</f>
        <v>0.017970297029703</v>
      </c>
      <c r="D51" s="0" t="n">
        <f aca="false">(A51+1)*($B$10+$G$4*A51/2)</f>
        <v>0.859789603960396</v>
      </c>
      <c r="E51" s="0" t="n">
        <f aca="false">IF(A51&lt;$G$6,($B$6/10)*$G$5^(A51/$G$3),($B$6/10)*$G$5^($G$6/$G$3))</f>
        <v>1</v>
      </c>
      <c r="F51" s="0" t="n">
        <f aca="false">IF(A51&lt;$G$6,($B$7/10)*$G$5^(A51/$G$2),($B$7/10)*$G$5^($G$6/$G$2))</f>
        <v>0.866025403784438</v>
      </c>
      <c r="G51" s="0" t="n">
        <f aca="false">F51*F51*3.1416/4</f>
        <v>0.58905</v>
      </c>
      <c r="H51" s="0" t="n">
        <f aca="false">E51*E51*3.1416/4</f>
        <v>0.7854</v>
      </c>
      <c r="I51" s="0" t="n">
        <f aca="false">G51*B51</f>
        <v>0.58905</v>
      </c>
      <c r="J51" s="0" t="n">
        <f aca="false">H51*B51</f>
        <v>0.7854</v>
      </c>
      <c r="K51" s="0" t="n">
        <f aca="false">H51-G51</f>
        <v>0.196350000000001</v>
      </c>
      <c r="L51" s="0" t="n">
        <f aca="false">SQRT(4*K51/3.1416)</f>
        <v>0.500000000000001</v>
      </c>
      <c r="M51" s="0" t="n">
        <f aca="false">(E51-L51)/2</f>
        <v>0.25</v>
      </c>
      <c r="N51" s="0" t="n">
        <f aca="false">E51*3.1416</f>
        <v>3.1416</v>
      </c>
      <c r="O51" s="0" t="n">
        <f aca="false">C51*3.1416*E51*B51/100</f>
        <v>0.000564554851485149</v>
      </c>
      <c r="P51" s="0" t="n">
        <f aca="false">C51*E51/100*E51/100*3.1416/4*B51</f>
        <v>1.41138712871287E-006</v>
      </c>
      <c r="Q51" s="0" t="n">
        <f aca="false">Q50+O51</f>
        <v>0.671709374171383</v>
      </c>
      <c r="R51" s="0" t="n">
        <f aca="false">P51+R50</f>
        <v>0.000259995474278977</v>
      </c>
      <c r="S51" s="0" t="n">
        <f aca="false">G51/10000*C51*B51</f>
        <v>1.05854034653465E-006</v>
      </c>
      <c r="T51" s="0" t="n">
        <f aca="false">T50+S51</f>
        <v>0.000238463448251154</v>
      </c>
      <c r="U51" s="0" t="n">
        <f aca="false">U50+C51*B51</f>
        <v>184.397791436178</v>
      </c>
      <c r="V51" s="0" t="n">
        <f aca="false">E51/2*B51</f>
        <v>0.5</v>
      </c>
      <c r="W51" s="142" t="n">
        <f aca="false">C51/(G51/10000)*$B$13*($F$21/F51)^($B$12)</f>
        <v>0.0313197266173873</v>
      </c>
      <c r="X51" s="142" t="n">
        <f aca="false">W51/B51</f>
        <v>0.0313197266173873</v>
      </c>
      <c r="Y51" s="142" t="n">
        <f aca="false">Y52+X51</f>
        <v>-0.547642244551546</v>
      </c>
      <c r="Z51" s="540" t="n">
        <f aca="false">-Y51*$B$4*2</f>
        <v>0.547642244551546</v>
      </c>
      <c r="AJ51" s="142"/>
    </row>
    <row r="52" customFormat="false" ht="15.75" hidden="false" customHeight="false" outlineLevel="0" collapsed="false">
      <c r="A52" s="0" t="n">
        <f aca="false">A51+1</f>
        <v>31</v>
      </c>
      <c r="B52" s="0" t="n">
        <f aca="false">MAX(B51/$G$5,1)</f>
        <v>1</v>
      </c>
      <c r="C52" s="0" t="n">
        <f aca="false">$B$10+A52*$G$4</f>
        <v>0.0173193069306931</v>
      </c>
      <c r="D52" s="0" t="n">
        <f aca="false">(A52+1)*($B$10+$G$4*A52/2)</f>
        <v>0.877108910891089</v>
      </c>
      <c r="E52" s="0" t="n">
        <f aca="false">IF(A52&lt;$G$6,($B$6/10)*$G$5^(A52/$G$3),($B$6/10)*$G$5^($G$6/$G$3))</f>
        <v>1</v>
      </c>
      <c r="F52" s="0" t="n">
        <f aca="false">IF(A52&lt;$G$6,($B$7/10)*$G$5^(A52/$G$2),($B$7/10)*$G$5^($G$6/$G$2))</f>
        <v>0.866025403784438</v>
      </c>
      <c r="G52" s="0" t="n">
        <f aca="false">F52*F52*3.1416/4</f>
        <v>0.58905</v>
      </c>
      <c r="H52" s="0" t="n">
        <f aca="false">E52*E52*3.1416/4</f>
        <v>0.7854</v>
      </c>
      <c r="I52" s="0" t="n">
        <f aca="false">G52*B52</f>
        <v>0.58905</v>
      </c>
      <c r="J52" s="0" t="n">
        <f aca="false">H52*B52</f>
        <v>0.7854</v>
      </c>
      <c r="K52" s="0" t="n">
        <f aca="false">H52-G52</f>
        <v>0.196350000000001</v>
      </c>
      <c r="L52" s="0" t="n">
        <f aca="false">SQRT(4*K52/3.1416)</f>
        <v>0.500000000000001</v>
      </c>
      <c r="M52" s="0" t="n">
        <f aca="false">(E52-L52)/2</f>
        <v>0.25</v>
      </c>
      <c r="N52" s="0" t="n">
        <f aca="false">E52*3.1416</f>
        <v>3.1416</v>
      </c>
      <c r="O52" s="0" t="n">
        <f aca="false">C52*3.1416*E52*B52/100</f>
        <v>0.000544103346534654</v>
      </c>
      <c r="P52" s="0" t="n">
        <f aca="false">C52*E52/100*E52/100*3.1416/4*B52</f>
        <v>1.36025836633663E-006</v>
      </c>
      <c r="Q52" s="0" t="n">
        <f aca="false">Q51+O52</f>
        <v>0.672253477517918</v>
      </c>
      <c r="R52" s="0" t="n">
        <f aca="false">P52+R51</f>
        <v>0.000261355732645314</v>
      </c>
      <c r="S52" s="0" t="n">
        <f aca="false">G52/10000*C52*B52</f>
        <v>1.02019377475247E-006</v>
      </c>
      <c r="T52" s="0" t="n">
        <f aca="false">T51+S52</f>
        <v>0.000239483642025907</v>
      </c>
      <c r="U52" s="0" t="n">
        <f aca="false">U51+C52*B52</f>
        <v>184.415110743109</v>
      </c>
      <c r="V52" s="0" t="n">
        <f aca="false">E52/2*B52</f>
        <v>0.5</v>
      </c>
      <c r="W52" s="142" t="n">
        <f aca="false">C52/(G52/10000)*$B$13*($F$21/F52)^($B$12)</f>
        <v>0.0301851414795949</v>
      </c>
      <c r="X52" s="142" t="n">
        <f aca="false">W52/B52</f>
        <v>0.0301851414795949</v>
      </c>
      <c r="Y52" s="142" t="n">
        <f aca="false">Y53+X52</f>
        <v>-0.578961971168934</v>
      </c>
      <c r="Z52" s="540" t="n">
        <f aca="false">-Y52*$B$4*2</f>
        <v>0.578961971168934</v>
      </c>
      <c r="AJ52" s="142"/>
    </row>
    <row r="53" customFormat="false" ht="15.75" hidden="false" customHeight="false" outlineLevel="0" collapsed="false">
      <c r="A53" s="0" t="n">
        <f aca="false">A52+1</f>
        <v>32</v>
      </c>
      <c r="B53" s="0" t="n">
        <f aca="false">MAX(B52/$G$5,1)</f>
        <v>1</v>
      </c>
      <c r="C53" s="0" t="n">
        <f aca="false">$B$10+A53*$G$4</f>
        <v>0.0166683168316832</v>
      </c>
      <c r="D53" s="0" t="n">
        <f aca="false">(A53+1)*($B$10+$G$4*A53/2)</f>
        <v>0.893777227722772</v>
      </c>
      <c r="E53" s="0" t="n">
        <f aca="false">IF(A53&lt;$G$6,($B$6/10)*$G$5^(A53/$G$3),($B$6/10)*$G$5^($G$6/$G$3))</f>
        <v>1</v>
      </c>
      <c r="F53" s="0" t="n">
        <f aca="false">IF(A53&lt;$G$6,($B$7/10)*$G$5^(A53/$G$2),($B$7/10)*$G$5^($G$6/$G$2))</f>
        <v>0.866025403784438</v>
      </c>
      <c r="G53" s="0" t="n">
        <f aca="false">F53*F53*3.1416/4</f>
        <v>0.58905</v>
      </c>
      <c r="H53" s="0" t="n">
        <f aca="false">E53*E53*3.1416/4</f>
        <v>0.7854</v>
      </c>
      <c r="I53" s="0" t="n">
        <f aca="false">G53*B53</f>
        <v>0.58905</v>
      </c>
      <c r="J53" s="0" t="n">
        <f aca="false">H53*B53</f>
        <v>0.7854</v>
      </c>
      <c r="K53" s="0" t="n">
        <f aca="false">H53-G53</f>
        <v>0.196350000000001</v>
      </c>
      <c r="L53" s="0" t="n">
        <f aca="false">SQRT(4*K53/3.1416)</f>
        <v>0.500000000000001</v>
      </c>
      <c r="M53" s="0" t="n">
        <f aca="false">(E53-L53)/2</f>
        <v>0.25</v>
      </c>
      <c r="N53" s="0" t="n">
        <f aca="false">E53*3.1416</f>
        <v>3.1416</v>
      </c>
      <c r="O53" s="0" t="n">
        <f aca="false">C53*3.1416*E53*B53/100</f>
        <v>0.000523651841584159</v>
      </c>
      <c r="P53" s="0" t="n">
        <f aca="false">C53*E53/100*E53/100*3.1416/4*B53</f>
        <v>1.3091296039604E-006</v>
      </c>
      <c r="Q53" s="0" t="n">
        <f aca="false">Q52+O53</f>
        <v>0.672777129359502</v>
      </c>
      <c r="R53" s="0" t="n">
        <f aca="false">P53+R52</f>
        <v>0.000262664862249274</v>
      </c>
      <c r="S53" s="0" t="n">
        <f aca="false">G53/10000*C53*B53</f>
        <v>9.81847202970296E-007</v>
      </c>
      <c r="T53" s="0" t="n">
        <f aca="false">T52+S53</f>
        <v>0.000240465489228877</v>
      </c>
      <c r="U53" s="0" t="n">
        <f aca="false">U52+C53*B53</f>
        <v>184.431779059941</v>
      </c>
      <c r="V53" s="0" t="n">
        <f aca="false">E53/2*B53</f>
        <v>0.5</v>
      </c>
      <c r="W53" s="142" t="n">
        <f aca="false">C53/(G53/10000)*$B$13*($F$21/F53)^($B$12)</f>
        <v>0.0290505563418025</v>
      </c>
      <c r="X53" s="142" t="n">
        <f aca="false">W53/B53</f>
        <v>0.0290505563418025</v>
      </c>
      <c r="Y53" s="142" t="n">
        <f aca="false">Y54+X53</f>
        <v>-0.609147112648528</v>
      </c>
      <c r="Z53" s="540" t="n">
        <f aca="false">-Y53*$B$4*2</f>
        <v>0.609147112648528</v>
      </c>
      <c r="AJ53" s="142"/>
    </row>
    <row r="54" customFormat="false" ht="15.75" hidden="false" customHeight="false" outlineLevel="0" collapsed="false">
      <c r="A54" s="0" t="n">
        <f aca="false">A53+1</f>
        <v>33</v>
      </c>
      <c r="B54" s="0" t="n">
        <f aca="false">MAX(B53/$G$5,1)</f>
        <v>1</v>
      </c>
      <c r="C54" s="0" t="n">
        <f aca="false">$B$10+A54*$G$4</f>
        <v>0.0160173267326733</v>
      </c>
      <c r="D54" s="0" t="n">
        <f aca="false">(A54+1)*($B$10+$G$4*A54/2)</f>
        <v>0.909794554455445</v>
      </c>
      <c r="E54" s="0" t="n">
        <f aca="false">IF(A54&lt;$G$6,($B$6/10)*$G$5^(A54/$G$3),($B$6/10)*$G$5^($G$6/$G$3))</f>
        <v>1</v>
      </c>
      <c r="F54" s="0" t="n">
        <f aca="false">IF(A54&lt;$G$6,($B$7/10)*$G$5^(A54/$G$2),($B$7/10)*$G$5^($G$6/$G$2))</f>
        <v>0.866025403784438</v>
      </c>
      <c r="G54" s="0" t="n">
        <f aca="false">F54*F54*3.1416/4</f>
        <v>0.58905</v>
      </c>
      <c r="H54" s="0" t="n">
        <f aca="false">E54*E54*3.1416/4</f>
        <v>0.7854</v>
      </c>
      <c r="I54" s="0" t="n">
        <f aca="false">G54*B54</f>
        <v>0.58905</v>
      </c>
      <c r="J54" s="0" t="n">
        <f aca="false">H54*B54</f>
        <v>0.7854</v>
      </c>
      <c r="K54" s="0" t="n">
        <f aca="false">H54-G54</f>
        <v>0.196350000000001</v>
      </c>
      <c r="L54" s="0" t="n">
        <f aca="false">SQRT(4*K54/3.1416)</f>
        <v>0.500000000000001</v>
      </c>
      <c r="M54" s="0" t="n">
        <f aca="false">(E54-L54)/2</f>
        <v>0.25</v>
      </c>
      <c r="N54" s="0" t="n">
        <f aca="false">E54*3.1416</f>
        <v>3.1416</v>
      </c>
      <c r="O54" s="0" t="n">
        <f aca="false">C54*3.1416*E54*B54/100</f>
        <v>0.000503200336633664</v>
      </c>
      <c r="P54" s="0" t="n">
        <f aca="false">C54*E54/100*E54/100*3.1416/4*B54</f>
        <v>1.25800084158416E-006</v>
      </c>
      <c r="Q54" s="0" t="n">
        <f aca="false">Q53+O54</f>
        <v>0.673280329696136</v>
      </c>
      <c r="R54" s="0" t="n">
        <f aca="false">P54+R53</f>
        <v>0.000263922863090859</v>
      </c>
      <c r="S54" s="0" t="n">
        <f aca="false">G54/10000*C54*B54</f>
        <v>9.43500631188118E-007</v>
      </c>
      <c r="T54" s="0" t="n">
        <f aca="false">T53+S54</f>
        <v>0.000241408989860065</v>
      </c>
      <c r="U54" s="0" t="n">
        <f aca="false">U53+C54*B54</f>
        <v>184.447796386673</v>
      </c>
      <c r="V54" s="0" t="n">
        <f aca="false">E54/2*B54</f>
        <v>0.5</v>
      </c>
      <c r="W54" s="142" t="n">
        <f aca="false">C54/(G54/10000)*$B$13*($F$21/F54)^($B$12)</f>
        <v>0.0279159712040101</v>
      </c>
      <c r="X54" s="142" t="n">
        <f aca="false">W54/B54</f>
        <v>0.0279159712040101</v>
      </c>
      <c r="Y54" s="142" t="n">
        <f aca="false">Y55+X54</f>
        <v>-0.638197668990331</v>
      </c>
      <c r="Z54" s="540" t="n">
        <f aca="false">-Y54*$B$4*2</f>
        <v>0.638197668990331</v>
      </c>
      <c r="AJ54" s="142"/>
    </row>
    <row r="55" customFormat="false" ht="15.75" hidden="false" customHeight="false" outlineLevel="0" collapsed="false">
      <c r="A55" s="0" t="n">
        <f aca="false">A54+1</f>
        <v>34</v>
      </c>
      <c r="B55" s="0" t="n">
        <f aca="false">MAX(B54/$G$5,1)</f>
        <v>1</v>
      </c>
      <c r="C55" s="0" t="n">
        <f aca="false">$B$10+A55*$G$4</f>
        <v>0.0153663366336634</v>
      </c>
      <c r="D55" s="0" t="n">
        <f aca="false">(A55+1)*($B$10+$G$4*A55/2)</f>
        <v>0.925160891089109</v>
      </c>
      <c r="E55" s="0" t="n">
        <f aca="false">IF(A55&lt;$G$6,($B$6/10)*$G$5^(A55/$G$3),($B$6/10)*$G$5^($G$6/$G$3))</f>
        <v>1</v>
      </c>
      <c r="F55" s="0" t="n">
        <f aca="false">IF(A55&lt;$G$6,($B$7/10)*$G$5^(A55/$G$2),($B$7/10)*$G$5^($G$6/$G$2))</f>
        <v>0.866025403784438</v>
      </c>
      <c r="G55" s="0" t="n">
        <f aca="false">F55*F55*3.1416/4</f>
        <v>0.58905</v>
      </c>
      <c r="H55" s="0" t="n">
        <f aca="false">E55*E55*3.1416/4</f>
        <v>0.7854</v>
      </c>
      <c r="I55" s="0" t="n">
        <f aca="false">G55*B55</f>
        <v>0.58905</v>
      </c>
      <c r="J55" s="0" t="n">
        <f aca="false">H55*B55</f>
        <v>0.7854</v>
      </c>
      <c r="K55" s="0" t="n">
        <f aca="false">H55-G55</f>
        <v>0.196350000000001</v>
      </c>
      <c r="L55" s="0" t="n">
        <f aca="false">SQRT(4*K55/3.1416)</f>
        <v>0.500000000000001</v>
      </c>
      <c r="M55" s="0" t="n">
        <f aca="false">(E55-L55)/2</f>
        <v>0.25</v>
      </c>
      <c r="N55" s="0" t="n">
        <f aca="false">E55*3.1416</f>
        <v>3.1416</v>
      </c>
      <c r="O55" s="0" t="n">
        <f aca="false">C55*3.1416*E55*B55/100</f>
        <v>0.000482748831683168</v>
      </c>
      <c r="P55" s="0" t="n">
        <f aca="false">C55*E55/100*E55/100*3.1416/4*B55</f>
        <v>1.20687207920792E-006</v>
      </c>
      <c r="Q55" s="0" t="n">
        <f aca="false">Q54+O55</f>
        <v>0.673763078527819</v>
      </c>
      <c r="R55" s="0" t="n">
        <f aca="false">P55+R54</f>
        <v>0.000265129735170066</v>
      </c>
      <c r="S55" s="0" t="n">
        <f aca="false">G55/10000*C55*B55</f>
        <v>9.0515405940594E-007</v>
      </c>
      <c r="T55" s="0" t="n">
        <f aca="false">T54+S55</f>
        <v>0.000242314143919471</v>
      </c>
      <c r="U55" s="0" t="n">
        <f aca="false">U54+C55*B55</f>
        <v>184.463162723307</v>
      </c>
      <c r="V55" s="0" t="n">
        <f aca="false">E55/2*B55</f>
        <v>0.5</v>
      </c>
      <c r="W55" s="142" t="n">
        <f aca="false">C55/(G55/10000)*$B$13*($F$21/F55)^($B$12)</f>
        <v>0.0267813860662177</v>
      </c>
      <c r="X55" s="142" t="n">
        <f aca="false">W55/B55</f>
        <v>0.0267813860662177</v>
      </c>
      <c r="Y55" s="142" t="n">
        <f aca="false">Y56+X55</f>
        <v>-0.666113640194341</v>
      </c>
      <c r="Z55" s="540" t="n">
        <f aca="false">-Y55*$B$4*2</f>
        <v>0.666113640194341</v>
      </c>
      <c r="AJ55" s="142"/>
    </row>
    <row r="56" customFormat="false" ht="15.75" hidden="false" customHeight="false" outlineLevel="0" collapsed="false">
      <c r="A56" s="0" t="n">
        <f aca="false">A55+1</f>
        <v>35</v>
      </c>
      <c r="B56" s="0" t="n">
        <f aca="false">MAX(B55/$G$5,1)</f>
        <v>1</v>
      </c>
      <c r="C56" s="0" t="n">
        <f aca="false">$B$10+A56*$G$4</f>
        <v>0.0147153465346535</v>
      </c>
      <c r="D56" s="0" t="n">
        <f aca="false">(A56+1)*($B$10+$G$4*A56/2)</f>
        <v>0.939876237623762</v>
      </c>
      <c r="E56" s="0" t="n">
        <f aca="false">IF(A56&lt;$G$6,($B$6/10)*$G$5^(A56/$G$3),($B$6/10)*$G$5^($G$6/$G$3))</f>
        <v>1</v>
      </c>
      <c r="F56" s="0" t="n">
        <f aca="false">IF(A56&lt;$G$6,($B$7/10)*$G$5^(A56/$G$2),($B$7/10)*$G$5^($G$6/$G$2))</f>
        <v>0.866025403784438</v>
      </c>
      <c r="G56" s="0" t="n">
        <f aca="false">F56*F56*3.1416/4</f>
        <v>0.58905</v>
      </c>
      <c r="H56" s="0" t="n">
        <f aca="false">E56*E56*3.1416/4</f>
        <v>0.7854</v>
      </c>
      <c r="I56" s="0" t="n">
        <f aca="false">G56*B56</f>
        <v>0.58905</v>
      </c>
      <c r="J56" s="0" t="n">
        <f aca="false">H56*B56</f>
        <v>0.7854</v>
      </c>
      <c r="K56" s="0" t="n">
        <f aca="false">H56-G56</f>
        <v>0.196350000000001</v>
      </c>
      <c r="L56" s="0" t="n">
        <f aca="false">SQRT(4*K56/3.1416)</f>
        <v>0.500000000000001</v>
      </c>
      <c r="M56" s="0" t="n">
        <f aca="false">(E56-L56)/2</f>
        <v>0.25</v>
      </c>
      <c r="N56" s="0" t="n">
        <f aca="false">E56*3.1416</f>
        <v>3.1416</v>
      </c>
      <c r="O56" s="0" t="n">
        <f aca="false">C56*3.1416*E56*B56/100</f>
        <v>0.000462297326732673</v>
      </c>
      <c r="P56" s="0" t="n">
        <f aca="false">C56*E56/100*E56/100*3.1416/4*B56</f>
        <v>1.15574331683168E-006</v>
      </c>
      <c r="Q56" s="0" t="n">
        <f aca="false">Q55+O56</f>
        <v>0.674225375854551</v>
      </c>
      <c r="R56" s="0" t="n">
        <f aca="false">P56+R55</f>
        <v>0.000266285478486898</v>
      </c>
      <c r="S56" s="0" t="n">
        <f aca="false">G56/10000*C56*B56</f>
        <v>8.66807487623762E-007</v>
      </c>
      <c r="T56" s="0" t="n">
        <f aca="false">T55+S56</f>
        <v>0.000243180951407095</v>
      </c>
      <c r="U56" s="0" t="n">
        <f aca="false">U55+C56*B56</f>
        <v>184.477878069842</v>
      </c>
      <c r="V56" s="0" t="n">
        <f aca="false">E56/2*B56</f>
        <v>0.5</v>
      </c>
      <c r="W56" s="142" t="n">
        <f aca="false">C56/(G56/10000)*$B$13*($F$21/F56)^($B$12)</f>
        <v>0.0256468009284253</v>
      </c>
      <c r="X56" s="142" t="n">
        <f aca="false">W56/B56</f>
        <v>0.0256468009284253</v>
      </c>
      <c r="Y56" s="142" t="n">
        <f aca="false">Y57+X56</f>
        <v>-0.692895026260558</v>
      </c>
      <c r="Z56" s="540" t="n">
        <f aca="false">-Y56*$B$4*2</f>
        <v>0.692895026260558</v>
      </c>
      <c r="AJ56" s="142"/>
    </row>
    <row r="57" customFormat="false" ht="15.75" hidden="false" customHeight="false" outlineLevel="0" collapsed="false">
      <c r="A57" s="0" t="n">
        <f aca="false">A56+1</f>
        <v>36</v>
      </c>
      <c r="B57" s="0" t="n">
        <f aca="false">MAX(B56/$G$5,1)</f>
        <v>1</v>
      </c>
      <c r="C57" s="0" t="n">
        <f aca="false">$B$10+A57*$G$4</f>
        <v>0.0140643564356436</v>
      </c>
      <c r="D57" s="0" t="n">
        <f aca="false">(A57+1)*($B$10+$G$4*A57/2)</f>
        <v>0.953940594059406</v>
      </c>
      <c r="E57" s="0" t="n">
        <f aca="false">IF(A57&lt;$G$6,($B$6/10)*$G$5^(A57/$G$3),($B$6/10)*$G$5^($G$6/$G$3))</f>
        <v>1</v>
      </c>
      <c r="F57" s="0" t="n">
        <f aca="false">IF(A57&lt;$G$6,($B$7/10)*$G$5^(A57/$G$2),($B$7/10)*$G$5^($G$6/$G$2))</f>
        <v>0.866025403784438</v>
      </c>
      <c r="G57" s="0" t="n">
        <f aca="false">F57*F57*3.1416/4</f>
        <v>0.58905</v>
      </c>
      <c r="H57" s="0" t="n">
        <f aca="false">E57*E57*3.1416/4</f>
        <v>0.7854</v>
      </c>
      <c r="I57" s="0" t="n">
        <f aca="false">G57*B57</f>
        <v>0.58905</v>
      </c>
      <c r="J57" s="0" t="n">
        <f aca="false">H57*B57</f>
        <v>0.7854</v>
      </c>
      <c r="K57" s="0" t="n">
        <f aca="false">H57-G57</f>
        <v>0.196350000000001</v>
      </c>
      <c r="L57" s="0" t="n">
        <f aca="false">SQRT(4*K57/3.1416)</f>
        <v>0.500000000000001</v>
      </c>
      <c r="M57" s="0" t="n">
        <f aca="false">(E57-L57)/2</f>
        <v>0.25</v>
      </c>
      <c r="N57" s="0" t="n">
        <f aca="false">E57*3.1416</f>
        <v>3.1416</v>
      </c>
      <c r="O57" s="0" t="n">
        <f aca="false">C57*3.1416*E57*B57/100</f>
        <v>0.000441845821782178</v>
      </c>
      <c r="P57" s="0" t="n">
        <f aca="false">C57*E57/100*E57/100*3.1416/4*B57</f>
        <v>1.10461455445545E-006</v>
      </c>
      <c r="Q57" s="0" t="n">
        <f aca="false">Q56+O57</f>
        <v>0.674667221676333</v>
      </c>
      <c r="R57" s="0" t="n">
        <f aca="false">P57+R56</f>
        <v>0.000267390093041354</v>
      </c>
      <c r="S57" s="0" t="n">
        <f aca="false">G57/10000*C57*B57</f>
        <v>8.28460915841584E-007</v>
      </c>
      <c r="T57" s="0" t="n">
        <f aca="false">T56+S57</f>
        <v>0.000244009412322937</v>
      </c>
      <c r="U57" s="0" t="n">
        <f aca="false">U56+C57*B57</f>
        <v>184.491942426277</v>
      </c>
      <c r="V57" s="0" t="n">
        <f aca="false">E57/2*B57</f>
        <v>0.5</v>
      </c>
      <c r="W57" s="142" t="n">
        <f aca="false">C57/(G57/10000)*$B$13*($F$21/F57)^($B$12)</f>
        <v>0.0245122157906329</v>
      </c>
      <c r="X57" s="142" t="n">
        <f aca="false">W57/B57</f>
        <v>0.0245122157906329</v>
      </c>
      <c r="Y57" s="142" t="n">
        <f aca="false">Y58+X57</f>
        <v>-0.718541827188984</v>
      </c>
      <c r="Z57" s="540" t="n">
        <f aca="false">-Y57*$B$4*2</f>
        <v>0.718541827188984</v>
      </c>
      <c r="AJ57" s="142"/>
    </row>
    <row r="58" customFormat="false" ht="15.75" hidden="false" customHeight="false" outlineLevel="0" collapsed="false">
      <c r="A58" s="0" t="n">
        <f aca="false">A57+1</f>
        <v>37</v>
      </c>
      <c r="B58" s="0" t="n">
        <f aca="false">MAX(B57/$G$5,1)</f>
        <v>1</v>
      </c>
      <c r="C58" s="0" t="n">
        <f aca="false">$B$10+A58*$G$4</f>
        <v>0.0134133663366337</v>
      </c>
      <c r="D58" s="0" t="n">
        <f aca="false">(A58+1)*($B$10+$G$4*A58/2)</f>
        <v>0.96735396039604</v>
      </c>
      <c r="E58" s="0" t="n">
        <f aca="false">IF(A58&lt;$G$6,($B$6/10)*$G$5^(A58/$G$3),($B$6/10)*$G$5^($G$6/$G$3))</f>
        <v>1</v>
      </c>
      <c r="F58" s="0" t="n">
        <f aca="false">IF(A58&lt;$G$6,($B$7/10)*$G$5^(A58/$G$2),($B$7/10)*$G$5^($G$6/$G$2))</f>
        <v>0.866025403784438</v>
      </c>
      <c r="G58" s="0" t="n">
        <f aca="false">F58*F58*3.1416/4</f>
        <v>0.58905</v>
      </c>
      <c r="H58" s="0" t="n">
        <f aca="false">E58*E58*3.1416/4</f>
        <v>0.7854</v>
      </c>
      <c r="I58" s="0" t="n">
        <f aca="false">G58*B58</f>
        <v>0.58905</v>
      </c>
      <c r="J58" s="0" t="n">
        <f aca="false">H58*B58</f>
        <v>0.7854</v>
      </c>
      <c r="K58" s="0" t="n">
        <f aca="false">H58-G58</f>
        <v>0.196350000000001</v>
      </c>
      <c r="L58" s="0" t="n">
        <f aca="false">SQRT(4*K58/3.1416)</f>
        <v>0.500000000000001</v>
      </c>
      <c r="M58" s="0" t="n">
        <f aca="false">(E58-L58)/2</f>
        <v>0.25</v>
      </c>
      <c r="N58" s="0" t="n">
        <f aca="false">E58*3.1416</f>
        <v>3.1416</v>
      </c>
      <c r="O58" s="0" t="n">
        <f aca="false">C58*3.1416*E58*B58/100</f>
        <v>0.000421394316831683</v>
      </c>
      <c r="P58" s="0" t="n">
        <f aca="false">C58*E58/100*E58/100*3.1416/4*B58</f>
        <v>1.05348579207921E-006</v>
      </c>
      <c r="Q58" s="0" t="n">
        <f aca="false">Q57+O58</f>
        <v>0.675088615993165</v>
      </c>
      <c r="R58" s="0" t="n">
        <f aca="false">P58+R57</f>
        <v>0.000268443578833433</v>
      </c>
      <c r="S58" s="0" t="n">
        <f aca="false">G58/10000*C58*B58</f>
        <v>7.90114344059405E-007</v>
      </c>
      <c r="T58" s="0" t="n">
        <f aca="false">T57+S58</f>
        <v>0.000244799526666996</v>
      </c>
      <c r="U58" s="0" t="n">
        <f aca="false">U57+C58*B58</f>
        <v>184.505355792614</v>
      </c>
      <c r="V58" s="0" t="n">
        <f aca="false">E58/2*B58</f>
        <v>0.5</v>
      </c>
      <c r="W58" s="142" t="n">
        <f aca="false">C58/(G58/10000)*$B$13*($F$21/F58)^($B$12)</f>
        <v>0.0233776306528404</v>
      </c>
      <c r="X58" s="142" t="n">
        <f aca="false">W58/B58</f>
        <v>0.0233776306528404</v>
      </c>
      <c r="Y58" s="142" t="n">
        <f aca="false">Y59+X58</f>
        <v>-0.743054042979617</v>
      </c>
      <c r="Z58" s="540" t="n">
        <f aca="false">-Y58*$B$4*2</f>
        <v>0.743054042979617</v>
      </c>
      <c r="AJ58" s="142"/>
    </row>
    <row r="59" customFormat="false" ht="15.75" hidden="false" customHeight="false" outlineLevel="0" collapsed="false">
      <c r="A59" s="0" t="n">
        <f aca="false">A58+1</f>
        <v>38</v>
      </c>
      <c r="B59" s="0" t="n">
        <f aca="false">MAX(B58/$G$5,1)</f>
        <v>1</v>
      </c>
      <c r="C59" s="0" t="n">
        <f aca="false">$B$10+A59*$G$4</f>
        <v>0.0127623762376238</v>
      </c>
      <c r="D59" s="0" t="n">
        <f aca="false">(A59+1)*($B$10+$G$4*A59/2)</f>
        <v>0.980116336633663</v>
      </c>
      <c r="E59" s="0" t="n">
        <f aca="false">IF(A59&lt;$G$6,($B$6/10)*$G$5^(A59/$G$3),($B$6/10)*$G$5^($G$6/$G$3))</f>
        <v>1</v>
      </c>
      <c r="F59" s="0" t="n">
        <f aca="false">IF(A59&lt;$G$6,($B$7/10)*$G$5^(A59/$G$2),($B$7/10)*$G$5^($G$6/$G$2))</f>
        <v>0.866025403784438</v>
      </c>
      <c r="G59" s="0" t="n">
        <f aca="false">F59*F59*3.1416/4</f>
        <v>0.58905</v>
      </c>
      <c r="H59" s="0" t="n">
        <f aca="false">E59*E59*3.1416/4</f>
        <v>0.7854</v>
      </c>
      <c r="I59" s="0" t="n">
        <f aca="false">G59*B59</f>
        <v>0.58905</v>
      </c>
      <c r="J59" s="0" t="n">
        <f aca="false">H59*B59</f>
        <v>0.7854</v>
      </c>
      <c r="K59" s="0" t="n">
        <f aca="false">H59-G59</f>
        <v>0.196350000000001</v>
      </c>
      <c r="L59" s="0" t="n">
        <f aca="false">SQRT(4*K59/3.1416)</f>
        <v>0.500000000000001</v>
      </c>
      <c r="M59" s="0" t="n">
        <f aca="false">(E59-L59)/2</f>
        <v>0.25</v>
      </c>
      <c r="N59" s="0" t="n">
        <f aca="false">E59*3.1416</f>
        <v>3.1416</v>
      </c>
      <c r="O59" s="0" t="n">
        <f aca="false">C59*3.1416*E59*B59/100</f>
        <v>0.000400942811881188</v>
      </c>
      <c r="P59" s="0" t="n">
        <f aca="false">C59*E59/100*E59/100*3.1416/4*B59</f>
        <v>1.00235702970297E-006</v>
      </c>
      <c r="Q59" s="0" t="n">
        <f aca="false">Q58+O59</f>
        <v>0.675489558805046</v>
      </c>
      <c r="R59" s="0" t="n">
        <f aca="false">P59+R58</f>
        <v>0.000269445935863136</v>
      </c>
      <c r="S59" s="0" t="n">
        <f aca="false">G59/10000*C59*B59</f>
        <v>7.51767772277227E-007</v>
      </c>
      <c r="T59" s="0" t="n">
        <f aca="false">T58+S59</f>
        <v>0.000245551294439273</v>
      </c>
      <c r="U59" s="0" t="n">
        <f aca="false">U58+C59*B59</f>
        <v>184.518118168851</v>
      </c>
      <c r="V59" s="0" t="n">
        <f aca="false">E59/2*B59</f>
        <v>0.5</v>
      </c>
      <c r="W59" s="142" t="n">
        <f aca="false">C59/(G59/10000)*$B$13*($F$21/F59)^($B$12)</f>
        <v>0.022243045515048</v>
      </c>
      <c r="X59" s="142" t="n">
        <f aca="false">W59/B59</f>
        <v>0.022243045515048</v>
      </c>
      <c r="Y59" s="142" t="n">
        <f aca="false">Y60+X59</f>
        <v>-0.766431673632457</v>
      </c>
      <c r="Z59" s="540" t="n">
        <f aca="false">-Y59*$B$4*2</f>
        <v>0.766431673632457</v>
      </c>
      <c r="AJ59" s="142"/>
    </row>
    <row r="60" customFormat="false" ht="15.75" hidden="false" customHeight="false" outlineLevel="0" collapsed="false">
      <c r="A60" s="0" t="n">
        <f aca="false">A59+1</f>
        <v>39</v>
      </c>
      <c r="B60" s="0" t="n">
        <f aca="false">MAX(B59/$G$5,1)</f>
        <v>1</v>
      </c>
      <c r="C60" s="0" t="n">
        <f aca="false">$B$10+A60*$G$4</f>
        <v>0.0121113861386139</v>
      </c>
      <c r="D60" s="0" t="n">
        <f aca="false">(A60+1)*($B$10+$G$4*A60/2)</f>
        <v>0.992227722772277</v>
      </c>
      <c r="E60" s="0" t="n">
        <f aca="false">IF(A60&lt;$G$6,($B$6/10)*$G$5^(A60/$G$3),($B$6/10)*$G$5^($G$6/$G$3))</f>
        <v>1</v>
      </c>
      <c r="F60" s="0" t="n">
        <f aca="false">IF(A60&lt;$G$6,($B$7/10)*$G$5^(A60/$G$2),($B$7/10)*$G$5^($G$6/$G$2))</f>
        <v>0.866025403784438</v>
      </c>
      <c r="G60" s="0" t="n">
        <f aca="false">F60*F60*3.1416/4</f>
        <v>0.58905</v>
      </c>
      <c r="H60" s="0" t="n">
        <f aca="false">E60*E60*3.1416/4</f>
        <v>0.7854</v>
      </c>
      <c r="I60" s="0" t="n">
        <f aca="false">G60*B60</f>
        <v>0.58905</v>
      </c>
      <c r="J60" s="0" t="n">
        <f aca="false">H60*B60</f>
        <v>0.7854</v>
      </c>
      <c r="K60" s="0" t="n">
        <f aca="false">H60-G60</f>
        <v>0.196350000000001</v>
      </c>
      <c r="L60" s="0" t="n">
        <f aca="false">SQRT(4*K60/3.1416)</f>
        <v>0.500000000000001</v>
      </c>
      <c r="M60" s="0" t="n">
        <f aca="false">(E60-L60)/2</f>
        <v>0.25</v>
      </c>
      <c r="N60" s="0" t="n">
        <f aca="false">E60*3.1416</f>
        <v>3.1416</v>
      </c>
      <c r="O60" s="0" t="n">
        <f aca="false">C60*3.1416*E60*B60/100</f>
        <v>0.000380491306930693</v>
      </c>
      <c r="P60" s="0" t="n">
        <f aca="false">C60*E60/100*E60/100*3.1416/4*B60</f>
        <v>9.51228267326733E-007</v>
      </c>
      <c r="Q60" s="0" t="n">
        <f aca="false">Q59+O60</f>
        <v>0.675870050111977</v>
      </c>
      <c r="R60" s="0" t="n">
        <f aca="false">P60+R59</f>
        <v>0.000270397164130462</v>
      </c>
      <c r="S60" s="0" t="n">
        <f aca="false">G60/10000*C60*B60</f>
        <v>7.13421200495049E-007</v>
      </c>
      <c r="T60" s="0" t="n">
        <f aca="false">T59+S60</f>
        <v>0.000246264715639768</v>
      </c>
      <c r="U60" s="0" t="n">
        <f aca="false">U59+C60*B60</f>
        <v>184.53022955499</v>
      </c>
      <c r="V60" s="0" t="n">
        <f aca="false">E60/2*B60</f>
        <v>0.5</v>
      </c>
      <c r="W60" s="142" t="n">
        <f aca="false">C60/(G60/10000)*$B$13*($F$21/F60)^($B$12)</f>
        <v>0.0211084603772556</v>
      </c>
      <c r="X60" s="142" t="n">
        <f aca="false">W60/B60</f>
        <v>0.0211084603772556</v>
      </c>
      <c r="Y60" s="142" t="n">
        <f aca="false">Y61+X60</f>
        <v>-0.788674719147505</v>
      </c>
      <c r="Z60" s="540" t="n">
        <f aca="false">-Y60*$B$4*2</f>
        <v>0.788674719147505</v>
      </c>
      <c r="AJ60" s="142"/>
    </row>
    <row r="61" customFormat="false" ht="15.75" hidden="false" customHeight="false" outlineLevel="0" collapsed="false">
      <c r="A61" s="0" t="n">
        <f aca="false">A60+1</f>
        <v>40</v>
      </c>
      <c r="B61" s="0" t="n">
        <f aca="false">MAX(B60/$G$5,1)</f>
        <v>1</v>
      </c>
      <c r="C61" s="0" t="n">
        <f aca="false">$B$10+A61*$G$4</f>
        <v>0.011460396039604</v>
      </c>
      <c r="D61" s="0" t="n">
        <f aca="false">(A61+1)*($B$10+$G$4*A61/2)</f>
        <v>1.00368811881188</v>
      </c>
      <c r="E61" s="0" t="n">
        <f aca="false">IF(A61&lt;$G$6,($B$6/10)*$G$5^(A61/$G$3),($B$6/10)*$G$5^($G$6/$G$3))</f>
        <v>1</v>
      </c>
      <c r="F61" s="0" t="n">
        <f aca="false">IF(A61&lt;$G$6,($B$7/10)*$G$5^(A61/$G$2),($B$7/10)*$G$5^($G$6/$G$2))</f>
        <v>0.866025403784438</v>
      </c>
      <c r="G61" s="0" t="n">
        <f aca="false">F61*F61*3.1416/4</f>
        <v>0.58905</v>
      </c>
      <c r="H61" s="0" t="n">
        <f aca="false">E61*E61*3.1416/4</f>
        <v>0.7854</v>
      </c>
      <c r="I61" s="0" t="n">
        <f aca="false">G61*B61</f>
        <v>0.58905</v>
      </c>
      <c r="J61" s="0" t="n">
        <f aca="false">H61*B61</f>
        <v>0.7854</v>
      </c>
      <c r="K61" s="0" t="n">
        <f aca="false">H61-G61</f>
        <v>0.196350000000001</v>
      </c>
      <c r="L61" s="0" t="n">
        <f aca="false">SQRT(4*K61/3.1416)</f>
        <v>0.500000000000001</v>
      </c>
      <c r="M61" s="0" t="n">
        <f aca="false">(E61-L61)/2</f>
        <v>0.25</v>
      </c>
      <c r="N61" s="0" t="n">
        <f aca="false">E61*3.1416</f>
        <v>3.1416</v>
      </c>
      <c r="O61" s="0" t="n">
        <f aca="false">C61*3.1416*E61*B61/100</f>
        <v>0.000360039801980198</v>
      </c>
      <c r="P61" s="0" t="n">
        <f aca="false">C61*E61/100*E61/100*3.1416/4*B61</f>
        <v>9.00099504950496E-007</v>
      </c>
      <c r="Q61" s="0" t="n">
        <f aca="false">Q60+O61</f>
        <v>0.676230089913957</v>
      </c>
      <c r="R61" s="0" t="n">
        <f aca="false">P61+R60</f>
        <v>0.000271297263635413</v>
      </c>
      <c r="S61" s="0" t="n">
        <f aca="false">G61/10000*C61*B61</f>
        <v>6.75074628712871E-007</v>
      </c>
      <c r="T61" s="0" t="n">
        <f aca="false">T60+S61</f>
        <v>0.000246939790268481</v>
      </c>
      <c r="U61" s="0" t="n">
        <f aca="false">U60+C61*B61</f>
        <v>184.54168995103</v>
      </c>
      <c r="V61" s="0" t="n">
        <f aca="false">E61/2*B61</f>
        <v>0.5</v>
      </c>
      <c r="W61" s="142" t="n">
        <f aca="false">C61/(G61/10000)*$B$13*($F$21/F61)^($B$12)</f>
        <v>0.0199738752394632</v>
      </c>
      <c r="X61" s="142" t="n">
        <f aca="false">W61/B61</f>
        <v>0.0199738752394632</v>
      </c>
      <c r="Y61" s="142" t="n">
        <f aca="false">Y62+X61</f>
        <v>-0.809783179524761</v>
      </c>
      <c r="Z61" s="540" t="n">
        <f aca="false">-Y61*$B$4*2</f>
        <v>0.809783179524761</v>
      </c>
      <c r="AJ61" s="142"/>
    </row>
    <row r="62" customFormat="false" ht="15.75" hidden="false" customHeight="false" outlineLevel="0" collapsed="false">
      <c r="A62" s="0" t="n">
        <f aca="false">A61+1</f>
        <v>41</v>
      </c>
      <c r="B62" s="0" t="n">
        <f aca="false">MAX(B61/$G$5,1)</f>
        <v>1</v>
      </c>
      <c r="C62" s="0" t="n">
        <f aca="false">$B$10+A62*$G$4</f>
        <v>0.0108094059405941</v>
      </c>
      <c r="D62" s="0" t="n">
        <f aca="false">(A62+1)*($B$10+$G$4*A62/2)</f>
        <v>1.01449752475248</v>
      </c>
      <c r="E62" s="0" t="n">
        <f aca="false">IF(A62&lt;$G$6,($B$6/10)*$G$5^(A62/$G$3),($B$6/10)*$G$5^($G$6/$G$3))</f>
        <v>1</v>
      </c>
      <c r="F62" s="0" t="n">
        <f aca="false">IF(A62&lt;$G$6,($B$7/10)*$G$5^(A62/$G$2),($B$7/10)*$G$5^($G$6/$G$2))</f>
        <v>0.866025403784438</v>
      </c>
      <c r="G62" s="0" t="n">
        <f aca="false">F62*F62*3.1416/4</f>
        <v>0.58905</v>
      </c>
      <c r="H62" s="0" t="n">
        <f aca="false">E62*E62*3.1416/4</f>
        <v>0.7854</v>
      </c>
      <c r="I62" s="0" t="n">
        <f aca="false">G62*B62</f>
        <v>0.58905</v>
      </c>
      <c r="J62" s="0" t="n">
        <f aca="false">H62*B62</f>
        <v>0.7854</v>
      </c>
      <c r="K62" s="0" t="n">
        <f aca="false">H62-G62</f>
        <v>0.196350000000001</v>
      </c>
      <c r="L62" s="0" t="n">
        <f aca="false">SQRT(4*K62/3.1416)</f>
        <v>0.500000000000001</v>
      </c>
      <c r="M62" s="0" t="n">
        <f aca="false">(E62-L62)/2</f>
        <v>0.25</v>
      </c>
      <c r="N62" s="0" t="n">
        <f aca="false">E62*3.1416</f>
        <v>3.1416</v>
      </c>
      <c r="O62" s="0" t="n">
        <f aca="false">C62*3.1416*E62*B62/100</f>
        <v>0.000339588297029703</v>
      </c>
      <c r="P62" s="0" t="n">
        <f aca="false">C62*E62/100*E62/100*3.1416/4*B62</f>
        <v>8.48970742574258E-007</v>
      </c>
      <c r="Q62" s="0" t="n">
        <f aca="false">Q61+O62</f>
        <v>0.676569678210987</v>
      </c>
      <c r="R62" s="0" t="n">
        <f aca="false">P62+R61</f>
        <v>0.000272146234377987</v>
      </c>
      <c r="S62" s="0" t="n">
        <f aca="false">G62/10000*C62*B62</f>
        <v>6.36728056930693E-007</v>
      </c>
      <c r="T62" s="0" t="n">
        <f aca="false">T61+S62</f>
        <v>0.000247576518325412</v>
      </c>
      <c r="U62" s="0" t="n">
        <f aca="false">U61+C62*B62</f>
        <v>184.55249935697</v>
      </c>
      <c r="V62" s="0" t="n">
        <f aca="false">E62/2*B62</f>
        <v>0.5</v>
      </c>
      <c r="W62" s="142" t="n">
        <f aca="false">C62/(G62/10000)*$B$13*($F$21/F62)^($B$12)</f>
        <v>0.0188392901016708</v>
      </c>
      <c r="X62" s="142" t="n">
        <f aca="false">W62/B62</f>
        <v>0.0188392901016708</v>
      </c>
      <c r="Y62" s="142" t="n">
        <f aca="false">Y63+X62</f>
        <v>-0.829757054764224</v>
      </c>
      <c r="Z62" s="540" t="n">
        <f aca="false">-Y62*$B$4*2</f>
        <v>0.829757054764224</v>
      </c>
      <c r="AJ62" s="142"/>
    </row>
    <row r="63" customFormat="false" ht="15.75" hidden="false" customHeight="false" outlineLevel="0" collapsed="false">
      <c r="A63" s="0" t="n">
        <f aca="false">A62+1</f>
        <v>42</v>
      </c>
      <c r="B63" s="0" t="n">
        <f aca="false">MAX(B62/$G$5,1)</f>
        <v>1</v>
      </c>
      <c r="C63" s="0" t="n">
        <f aca="false">$B$10+A63*$G$4</f>
        <v>0.0101584158415842</v>
      </c>
      <c r="D63" s="0" t="n">
        <f aca="false">(A63+1)*($B$10+$G$4*A63/2)</f>
        <v>1.02465594059406</v>
      </c>
      <c r="E63" s="0" t="n">
        <f aca="false">IF(A63&lt;$G$6,($B$6/10)*$G$5^(A63/$G$3),($B$6/10)*$G$5^($G$6/$G$3))</f>
        <v>1</v>
      </c>
      <c r="F63" s="0" t="n">
        <f aca="false">IF(A63&lt;$G$6,($B$7/10)*$G$5^(A63/$G$2),($B$7/10)*$G$5^($G$6/$G$2))</f>
        <v>0.866025403784438</v>
      </c>
      <c r="G63" s="0" t="n">
        <f aca="false">F63*F63*3.1416/4</f>
        <v>0.58905</v>
      </c>
      <c r="H63" s="0" t="n">
        <f aca="false">E63*E63*3.1416/4</f>
        <v>0.7854</v>
      </c>
      <c r="I63" s="0" t="n">
        <f aca="false">G63*B63</f>
        <v>0.58905</v>
      </c>
      <c r="J63" s="0" t="n">
        <f aca="false">H63*B63</f>
        <v>0.7854</v>
      </c>
      <c r="K63" s="0" t="n">
        <f aca="false">H63-G63</f>
        <v>0.196350000000001</v>
      </c>
      <c r="L63" s="0" t="n">
        <f aca="false">SQRT(4*K63/3.1416)</f>
        <v>0.500000000000001</v>
      </c>
      <c r="M63" s="0" t="n">
        <f aca="false">(E63-L63)/2</f>
        <v>0.25</v>
      </c>
      <c r="N63" s="0" t="n">
        <f aca="false">E63*3.1416</f>
        <v>3.1416</v>
      </c>
      <c r="O63" s="0" t="n">
        <f aca="false">C63*3.1416*E63*B63/100</f>
        <v>0.000319136792079208</v>
      </c>
      <c r="P63" s="0" t="n">
        <f aca="false">C63*E63/100*E63/100*3.1416/4*B63</f>
        <v>7.9784198019802E-007</v>
      </c>
      <c r="Q63" s="0" t="n">
        <f aca="false">Q62+O63</f>
        <v>0.676888815003066</v>
      </c>
      <c r="R63" s="0" t="n">
        <f aca="false">P63+R62</f>
        <v>0.000272944076358185</v>
      </c>
      <c r="S63" s="0" t="n">
        <f aca="false">G63/10000*C63*B63</f>
        <v>5.98381485148514E-007</v>
      </c>
      <c r="T63" s="0" t="n">
        <f aca="false">T62+S63</f>
        <v>0.00024817489981056</v>
      </c>
      <c r="U63" s="0" t="n">
        <f aca="false">U62+C63*B63</f>
        <v>184.562657772812</v>
      </c>
      <c r="V63" s="0" t="n">
        <f aca="false">E63/2*B63</f>
        <v>0.5</v>
      </c>
      <c r="W63" s="142" t="n">
        <f aca="false">C63/(G63/10000)*$B$13*($F$21/F63)^($B$12)</f>
        <v>0.0177047049638784</v>
      </c>
      <c r="X63" s="142" t="n">
        <f aca="false">W63/B63</f>
        <v>0.0177047049638784</v>
      </c>
      <c r="Y63" s="142" t="n">
        <f aca="false">Y64+X63</f>
        <v>-0.848596344865895</v>
      </c>
      <c r="Z63" s="540" t="n">
        <f aca="false">-Y63*$B$4*2</f>
        <v>0.848596344865895</v>
      </c>
      <c r="AJ63" s="142"/>
    </row>
    <row r="64" customFormat="false" ht="15.75" hidden="false" customHeight="false" outlineLevel="0" collapsed="false">
      <c r="A64" s="0" t="n">
        <f aca="false">A63+1</f>
        <v>43</v>
      </c>
      <c r="B64" s="0" t="n">
        <f aca="false">MAX(B63/$G$5,1)</f>
        <v>1</v>
      </c>
      <c r="C64" s="0" t="n">
        <f aca="false">$B$10+A64*$G$4</f>
        <v>0.00950742574257426</v>
      </c>
      <c r="D64" s="0" t="n">
        <f aca="false">(A64+1)*($B$10+$G$4*A64/2)</f>
        <v>1.03416336633663</v>
      </c>
      <c r="E64" s="0" t="n">
        <f aca="false">IF(A64&lt;$G$6,($B$6/10)*$G$5^(A64/$G$3),($B$6/10)*$G$5^($G$6/$G$3))</f>
        <v>1</v>
      </c>
      <c r="F64" s="0" t="n">
        <f aca="false">IF(A64&lt;$G$6,($B$7/10)*$G$5^(A64/$G$2),($B$7/10)*$G$5^($G$6/$G$2))</f>
        <v>0.866025403784438</v>
      </c>
      <c r="G64" s="0" t="n">
        <f aca="false">F64*F64*3.1416/4</f>
        <v>0.58905</v>
      </c>
      <c r="H64" s="0" t="n">
        <f aca="false">E64*E64*3.1416/4</f>
        <v>0.7854</v>
      </c>
      <c r="I64" s="0" t="n">
        <f aca="false">G64*B64</f>
        <v>0.58905</v>
      </c>
      <c r="J64" s="0" t="n">
        <f aca="false">H64*B64</f>
        <v>0.7854</v>
      </c>
      <c r="K64" s="0" t="n">
        <f aca="false">H64-G64</f>
        <v>0.196350000000001</v>
      </c>
      <c r="L64" s="0" t="n">
        <f aca="false">SQRT(4*K64/3.1416)</f>
        <v>0.500000000000001</v>
      </c>
      <c r="M64" s="0" t="n">
        <f aca="false">(E64-L64)/2</f>
        <v>0.25</v>
      </c>
      <c r="N64" s="0" t="n">
        <f aca="false">E64*3.1416</f>
        <v>3.1416</v>
      </c>
      <c r="O64" s="0" t="n">
        <f aca="false">C64*3.1416*E64*B64/100</f>
        <v>0.000298685287128713</v>
      </c>
      <c r="P64" s="0" t="n">
        <f aca="false">C64*E64/100*E64/100*3.1416/4*B64</f>
        <v>7.46713217821783E-007</v>
      </c>
      <c r="Q64" s="0" t="n">
        <f aca="false">Q63+O64</f>
        <v>0.677187500290195</v>
      </c>
      <c r="R64" s="0" t="n">
        <f aca="false">P64+R63</f>
        <v>0.000273690789576007</v>
      </c>
      <c r="S64" s="0" t="n">
        <f aca="false">G64/10000*C64*B64</f>
        <v>5.60034913366336E-007</v>
      </c>
      <c r="T64" s="0" t="n">
        <f aca="false">T63+S64</f>
        <v>0.000248734934723927</v>
      </c>
      <c r="U64" s="0" t="n">
        <f aca="false">U63+C64*B64</f>
        <v>184.572165198554</v>
      </c>
      <c r="V64" s="0" t="n">
        <f aca="false">E64/2*B64</f>
        <v>0.5</v>
      </c>
      <c r="W64" s="142" t="n">
        <f aca="false">C64/(G64/10000)*$B$13*($F$21/F64)^($B$12)</f>
        <v>0.016570119826086</v>
      </c>
      <c r="X64" s="142" t="n">
        <f aca="false">W64/B64</f>
        <v>0.016570119826086</v>
      </c>
      <c r="Y64" s="142" t="n">
        <f aca="false">Y65+X64</f>
        <v>-0.866301049829773</v>
      </c>
      <c r="Z64" s="540" t="n">
        <f aca="false">-Y64*$B$4*2</f>
        <v>0.866301049829773</v>
      </c>
      <c r="AJ64" s="142"/>
    </row>
    <row r="65" customFormat="false" ht="15.75" hidden="false" customHeight="false" outlineLevel="0" collapsed="false">
      <c r="A65" s="0" t="n">
        <f aca="false">A64+1</f>
        <v>44</v>
      </c>
      <c r="B65" s="0" t="n">
        <f aca="false">MAX(B64/$G$5,1)</f>
        <v>1</v>
      </c>
      <c r="C65" s="0" t="n">
        <f aca="false">$B$10+A65*$G$4</f>
        <v>0.00885643564356436</v>
      </c>
      <c r="D65" s="0" t="n">
        <f aca="false">(A65+1)*($B$10+$G$4*A65/2)</f>
        <v>1.0430198019802</v>
      </c>
      <c r="E65" s="0" t="n">
        <f aca="false">IF(A65&lt;$G$6,($B$6/10)*$G$5^(A65/$G$3),($B$6/10)*$G$5^($G$6/$G$3))</f>
        <v>1</v>
      </c>
      <c r="F65" s="0" t="n">
        <f aca="false">IF(A65&lt;$G$6,($B$7/10)*$G$5^(A65/$G$2),($B$7/10)*$G$5^($G$6/$G$2))</f>
        <v>0.866025403784438</v>
      </c>
      <c r="G65" s="0" t="n">
        <f aca="false">F65*F65*3.1416/4</f>
        <v>0.58905</v>
      </c>
      <c r="H65" s="0" t="n">
        <f aca="false">E65*E65*3.1416/4</f>
        <v>0.7854</v>
      </c>
      <c r="I65" s="0" t="n">
        <f aca="false">G65*B65</f>
        <v>0.58905</v>
      </c>
      <c r="J65" s="0" t="n">
        <f aca="false">H65*B65</f>
        <v>0.7854</v>
      </c>
      <c r="K65" s="0" t="n">
        <f aca="false">H65-G65</f>
        <v>0.196350000000001</v>
      </c>
      <c r="L65" s="0" t="n">
        <f aca="false">SQRT(4*K65/3.1416)</f>
        <v>0.500000000000001</v>
      </c>
      <c r="M65" s="0" t="n">
        <f aca="false">(E65-L65)/2</f>
        <v>0.25</v>
      </c>
      <c r="N65" s="0" t="n">
        <f aca="false">E65*3.1416</f>
        <v>3.1416</v>
      </c>
      <c r="O65" s="0" t="n">
        <f aca="false">C65*3.1416*E65*B65/100</f>
        <v>0.000278233782178218</v>
      </c>
      <c r="P65" s="0" t="n">
        <f aca="false">C65*E65/100*E65/100*3.1416/4*B65</f>
        <v>6.95584455445545E-007</v>
      </c>
      <c r="Q65" s="0" t="n">
        <f aca="false">Q64+O65</f>
        <v>0.677465734072373</v>
      </c>
      <c r="R65" s="0" t="n">
        <f aca="false">P65+R64</f>
        <v>0.000274386374031453</v>
      </c>
      <c r="S65" s="0" t="n">
        <f aca="false">G65/10000*C65*B65</f>
        <v>5.21688341584158E-007</v>
      </c>
      <c r="T65" s="0" t="n">
        <f aca="false">T64+S65</f>
        <v>0.000249256623065511</v>
      </c>
      <c r="U65" s="0" t="n">
        <f aca="false">U64+C65*B65</f>
        <v>184.581021634198</v>
      </c>
      <c r="V65" s="0" t="n">
        <f aca="false">E65/2*B65</f>
        <v>0.5</v>
      </c>
      <c r="W65" s="142" t="n">
        <f aca="false">C65/(G65/10000)*$B$13*($F$21/F65)^($B$12)</f>
        <v>0.0154355346882936</v>
      </c>
      <c r="X65" s="142" t="n">
        <f aca="false">W65/B65</f>
        <v>0.0154355346882936</v>
      </c>
      <c r="Y65" s="142" t="n">
        <f aca="false">Y66+X65</f>
        <v>-0.882871169655859</v>
      </c>
      <c r="Z65" s="540" t="n">
        <f aca="false">-Y65*$B$4*2</f>
        <v>0.882871169655859</v>
      </c>
      <c r="AJ65" s="142"/>
    </row>
    <row r="66" customFormat="false" ht="15.75" hidden="false" customHeight="false" outlineLevel="0" collapsed="false">
      <c r="A66" s="0" t="n">
        <f aca="false">A65+1</f>
        <v>45</v>
      </c>
      <c r="B66" s="0" t="n">
        <f aca="false">MAX(B65/$G$5,1)</f>
        <v>1</v>
      </c>
      <c r="C66" s="0" t="n">
        <f aca="false">$B$10+A66*$G$4</f>
        <v>0.00820544554455446</v>
      </c>
      <c r="D66" s="0" t="n">
        <f aca="false">(A66+1)*($B$10+$G$4*A66/2)</f>
        <v>1.05122524752475</v>
      </c>
      <c r="E66" s="0" t="n">
        <f aca="false">IF(A66&lt;$G$6,($B$6/10)*$G$5^(A66/$G$3),($B$6/10)*$G$5^($G$6/$G$3))</f>
        <v>1</v>
      </c>
      <c r="F66" s="0" t="n">
        <f aca="false">IF(A66&lt;$G$6,($B$7/10)*$G$5^(A66/$G$2),($B$7/10)*$G$5^($G$6/$G$2))</f>
        <v>0.866025403784438</v>
      </c>
      <c r="G66" s="0" t="n">
        <f aca="false">F66*F66*3.1416/4</f>
        <v>0.58905</v>
      </c>
      <c r="H66" s="0" t="n">
        <f aca="false">E66*E66*3.1416/4</f>
        <v>0.7854</v>
      </c>
      <c r="I66" s="0" t="n">
        <f aca="false">G66*B66</f>
        <v>0.58905</v>
      </c>
      <c r="J66" s="0" t="n">
        <f aca="false">H66*B66</f>
        <v>0.7854</v>
      </c>
      <c r="K66" s="0" t="n">
        <f aca="false">H66-G66</f>
        <v>0.196350000000001</v>
      </c>
      <c r="L66" s="0" t="n">
        <f aca="false">SQRT(4*K66/3.1416)</f>
        <v>0.500000000000001</v>
      </c>
      <c r="M66" s="0" t="n">
        <f aca="false">(E66-L66)/2</f>
        <v>0.25</v>
      </c>
      <c r="N66" s="0" t="n">
        <f aca="false">E66*3.1416</f>
        <v>3.1416</v>
      </c>
      <c r="O66" s="0" t="n">
        <f aca="false">C66*3.1416*E66*B66/100</f>
        <v>0.000257782277227723</v>
      </c>
      <c r="P66" s="0" t="n">
        <f aca="false">C66*E66/100*E66/100*3.1416/4*B66</f>
        <v>6.44455693069307E-007</v>
      </c>
      <c r="Q66" s="0" t="n">
        <f aca="false">Q65+O66</f>
        <v>0.677723516349601</v>
      </c>
      <c r="R66" s="0" t="n">
        <f aca="false">P66+R65</f>
        <v>0.000275030829724522</v>
      </c>
      <c r="S66" s="0" t="n">
        <f aca="false">G66/10000*C66*B66</f>
        <v>4.8334176980198E-007</v>
      </c>
      <c r="T66" s="0" t="n">
        <f aca="false">T65+S66</f>
        <v>0.000249739964835313</v>
      </c>
      <c r="U66" s="0" t="n">
        <f aca="false">U65+C66*B66</f>
        <v>184.589227079743</v>
      </c>
      <c r="V66" s="0" t="n">
        <f aca="false">E66/2*B66</f>
        <v>0.5</v>
      </c>
      <c r="W66" s="142" t="n">
        <f aca="false">C66/(G66/10000)*$B$13*($F$21/F66)^($B$12)</f>
        <v>0.0143009495505012</v>
      </c>
      <c r="X66" s="142" t="n">
        <f aca="false">W66/B66</f>
        <v>0.0143009495505012</v>
      </c>
      <c r="Y66" s="142" t="n">
        <f aca="false">Y67+X66</f>
        <v>-0.898306704344153</v>
      </c>
      <c r="Z66" s="540" t="n">
        <f aca="false">-Y66*$B$4*2</f>
        <v>0.898306704344153</v>
      </c>
      <c r="AJ66" s="142"/>
    </row>
    <row r="67" customFormat="false" ht="15.75" hidden="false" customHeight="false" outlineLevel="0" collapsed="false">
      <c r="A67" s="0" t="n">
        <f aca="false">A66+1</f>
        <v>46</v>
      </c>
      <c r="B67" s="0" t="n">
        <f aca="false">MAX(B66/$G$5,1)</f>
        <v>1</v>
      </c>
      <c r="C67" s="0" t="n">
        <f aca="false">$B$10+A67*$G$4</f>
        <v>0.00755445544554456</v>
      </c>
      <c r="D67" s="0" t="n">
        <f aca="false">(A67+1)*($B$10+$G$4*A67/2)</f>
        <v>1.0587797029703</v>
      </c>
      <c r="E67" s="0" t="n">
        <f aca="false">IF(A67&lt;$G$6,($B$6/10)*$G$5^(A67/$G$3),($B$6/10)*$G$5^($G$6/$G$3))</f>
        <v>1</v>
      </c>
      <c r="F67" s="0" t="n">
        <f aca="false">IF(A67&lt;$G$6,($B$7/10)*$G$5^(A67/$G$2),($B$7/10)*$G$5^($G$6/$G$2))</f>
        <v>0.866025403784438</v>
      </c>
      <c r="G67" s="0" t="n">
        <f aca="false">F67*F67*3.1416/4</f>
        <v>0.58905</v>
      </c>
      <c r="H67" s="0" t="n">
        <f aca="false">E67*E67*3.1416/4</f>
        <v>0.7854</v>
      </c>
      <c r="I67" s="0" t="n">
        <f aca="false">G67*B67</f>
        <v>0.58905</v>
      </c>
      <c r="J67" s="0" t="n">
        <f aca="false">H67*B67</f>
        <v>0.7854</v>
      </c>
      <c r="K67" s="0" t="n">
        <f aca="false">H67-G67</f>
        <v>0.196350000000001</v>
      </c>
      <c r="L67" s="0" t="n">
        <f aca="false">SQRT(4*K67/3.1416)</f>
        <v>0.500000000000001</v>
      </c>
      <c r="M67" s="0" t="n">
        <f aca="false">(E67-L67)/2</f>
        <v>0.25</v>
      </c>
      <c r="N67" s="0" t="n">
        <f aca="false">E67*3.1416</f>
        <v>3.1416</v>
      </c>
      <c r="O67" s="0" t="n">
        <f aca="false">C67*3.1416*E67*B67/100</f>
        <v>0.000237330772277228</v>
      </c>
      <c r="P67" s="0" t="n">
        <f aca="false">C67*E67/100*E67/100*3.1416/4*B67</f>
        <v>5.9332693069307E-007</v>
      </c>
      <c r="Q67" s="0" t="n">
        <f aca="false">Q66+O67</f>
        <v>0.677960847121878</v>
      </c>
      <c r="R67" s="0" t="n">
        <f aca="false">P67+R66</f>
        <v>0.000275624156655215</v>
      </c>
      <c r="S67" s="0" t="n">
        <f aca="false">G67/10000*C67*B67</f>
        <v>4.44995198019802E-007</v>
      </c>
      <c r="T67" s="0" t="n">
        <f aca="false">T66+S67</f>
        <v>0.000250184960033333</v>
      </c>
      <c r="U67" s="0" t="n">
        <f aca="false">U66+C67*B67</f>
        <v>184.596781535188</v>
      </c>
      <c r="V67" s="0" t="n">
        <f aca="false">E67/2*B67</f>
        <v>0.5</v>
      </c>
      <c r="W67" s="142" t="n">
        <f aca="false">C67/(G67/10000)*$B$13*($F$21/F67)^($B$12)</f>
        <v>0.0131663644127088</v>
      </c>
      <c r="X67" s="142" t="n">
        <f aca="false">W67/B67</f>
        <v>0.0131663644127088</v>
      </c>
      <c r="Y67" s="142" t="n">
        <f aca="false">Y68+X67</f>
        <v>-0.912607653894654</v>
      </c>
      <c r="Z67" s="540" t="n">
        <f aca="false">-Y67*$B$4*2</f>
        <v>0.912607653894654</v>
      </c>
      <c r="AJ67" s="142"/>
    </row>
    <row r="68" customFormat="false" ht="15.75" hidden="false" customHeight="false" outlineLevel="0" collapsed="false">
      <c r="A68" s="0" t="n">
        <f aca="false">A67+1</f>
        <v>47</v>
      </c>
      <c r="B68" s="0" t="n">
        <f aca="false">MAX(B67/$G$5,1)</f>
        <v>1</v>
      </c>
      <c r="C68" s="0" t="n">
        <f aca="false">$B$10+A68*$G$4</f>
        <v>0.00690346534653466</v>
      </c>
      <c r="D68" s="0" t="n">
        <f aca="false">(A68+1)*($B$10+$G$4*A68/2)</f>
        <v>1.06568316831683</v>
      </c>
      <c r="E68" s="0" t="n">
        <f aca="false">IF(A68&lt;$G$6,($B$6/10)*$G$5^(A68/$G$3),($B$6/10)*$G$5^($G$6/$G$3))</f>
        <v>1</v>
      </c>
      <c r="F68" s="0" t="n">
        <f aca="false">IF(A68&lt;$G$6,($B$7/10)*$G$5^(A68/$G$2),($B$7/10)*$G$5^($G$6/$G$2))</f>
        <v>0.866025403784438</v>
      </c>
      <c r="G68" s="0" t="n">
        <f aca="false">F68*F68*3.1416/4</f>
        <v>0.58905</v>
      </c>
      <c r="H68" s="0" t="n">
        <f aca="false">E68*E68*3.1416/4</f>
        <v>0.7854</v>
      </c>
      <c r="I68" s="0" t="n">
        <f aca="false">G68*B68</f>
        <v>0.58905</v>
      </c>
      <c r="J68" s="0" t="n">
        <f aca="false">H68*B68</f>
        <v>0.7854</v>
      </c>
      <c r="K68" s="0" t="n">
        <f aca="false">H68-G68</f>
        <v>0.196350000000001</v>
      </c>
      <c r="L68" s="0" t="n">
        <f aca="false">SQRT(4*K68/3.1416)</f>
        <v>0.500000000000001</v>
      </c>
      <c r="M68" s="0" t="n">
        <f aca="false">(E68-L68)/2</f>
        <v>0.25</v>
      </c>
      <c r="N68" s="0" t="n">
        <f aca="false">E68*3.1416</f>
        <v>3.1416</v>
      </c>
      <c r="O68" s="0" t="n">
        <f aca="false">C68*3.1416*E68*B68/100</f>
        <v>0.000216879267326733</v>
      </c>
      <c r="P68" s="0" t="n">
        <f aca="false">C68*E68/100*E68/100*3.1416/4*B68</f>
        <v>5.42198168316832E-007</v>
      </c>
      <c r="Q68" s="0" t="n">
        <f aca="false">Q67+O68</f>
        <v>0.678177726389205</v>
      </c>
      <c r="R68" s="0" t="n">
        <f aca="false">P68+R67</f>
        <v>0.000276166354823532</v>
      </c>
      <c r="S68" s="0" t="n">
        <f aca="false">G68/10000*C68*B68</f>
        <v>4.06648626237624E-007</v>
      </c>
      <c r="T68" s="0" t="n">
        <f aca="false">T67+S68</f>
        <v>0.00025059160865957</v>
      </c>
      <c r="U68" s="0" t="n">
        <f aca="false">U67+C68*B68</f>
        <v>184.603685000535</v>
      </c>
      <c r="V68" s="0" t="n">
        <f aca="false">E68/2*B68</f>
        <v>0.5</v>
      </c>
      <c r="W68" s="142" t="n">
        <f aca="false">C68/(G68/10000)*$B$13*($F$21/F68)^($B$12)</f>
        <v>0.0120317792749164</v>
      </c>
      <c r="X68" s="142" t="n">
        <f aca="false">W68/B68</f>
        <v>0.0120317792749164</v>
      </c>
      <c r="Y68" s="142" t="n">
        <f aca="false">Y69+X68</f>
        <v>-0.925774018307363</v>
      </c>
      <c r="Z68" s="540" t="n">
        <f aca="false">-Y68*$B$4*2</f>
        <v>0.925774018307363</v>
      </c>
      <c r="AJ68" s="142"/>
    </row>
    <row r="69" customFormat="false" ht="15.75" hidden="false" customHeight="false" outlineLevel="0" collapsed="false">
      <c r="A69" s="0" t="n">
        <f aca="false">A68+1</f>
        <v>48</v>
      </c>
      <c r="B69" s="0" t="n">
        <f aca="false">MAX(B68/$G$5,1)</f>
        <v>1</v>
      </c>
      <c r="C69" s="0" t="n">
        <f aca="false">$B$10+A69*$G$4</f>
        <v>0.00625247524752475</v>
      </c>
      <c r="D69" s="0" t="n">
        <f aca="false">(A69+1)*($B$10+$G$4*A69/2)</f>
        <v>1.07193564356436</v>
      </c>
      <c r="E69" s="0" t="n">
        <f aca="false">IF(A69&lt;$G$6,($B$6/10)*$G$5^(A69/$G$3),($B$6/10)*$G$5^($G$6/$G$3))</f>
        <v>1</v>
      </c>
      <c r="F69" s="0" t="n">
        <f aca="false">IF(A69&lt;$G$6,($B$7/10)*$G$5^(A69/$G$2),($B$7/10)*$G$5^($G$6/$G$2))</f>
        <v>0.866025403784438</v>
      </c>
      <c r="G69" s="0" t="n">
        <f aca="false">F69*F69*3.1416/4</f>
        <v>0.58905</v>
      </c>
      <c r="H69" s="0" t="n">
        <f aca="false">E69*E69*3.1416/4</f>
        <v>0.7854</v>
      </c>
      <c r="I69" s="0" t="n">
        <f aca="false">G69*B69</f>
        <v>0.58905</v>
      </c>
      <c r="J69" s="0" t="n">
        <f aca="false">H69*B69</f>
        <v>0.7854</v>
      </c>
      <c r="K69" s="0" t="n">
        <f aca="false">H69-G69</f>
        <v>0.196350000000001</v>
      </c>
      <c r="L69" s="0" t="n">
        <f aca="false">SQRT(4*K69/3.1416)</f>
        <v>0.500000000000001</v>
      </c>
      <c r="M69" s="0" t="n">
        <f aca="false">(E69-L69)/2</f>
        <v>0.25</v>
      </c>
      <c r="N69" s="0" t="n">
        <f aca="false">E69*3.1416</f>
        <v>3.1416</v>
      </c>
      <c r="O69" s="0" t="n">
        <f aca="false">C69*3.1416*E69*B69/100</f>
        <v>0.000196427762376238</v>
      </c>
      <c r="P69" s="0" t="n">
        <f aca="false">C69*E69/100*E69/100*3.1416/4*B69</f>
        <v>4.91069405940594E-007</v>
      </c>
      <c r="Q69" s="0" t="n">
        <f aca="false">Q68+O69</f>
        <v>0.678374154151581</v>
      </c>
      <c r="R69" s="0" t="n">
        <f aca="false">P69+R68</f>
        <v>0.000276657424229472</v>
      </c>
      <c r="S69" s="0" t="n">
        <f aca="false">G69/10000*C69*B69</f>
        <v>3.68302054455445E-007</v>
      </c>
      <c r="T69" s="0" t="n">
        <f aca="false">T68+S69</f>
        <v>0.000250959910714026</v>
      </c>
      <c r="U69" s="0" t="n">
        <f aca="false">U68+C69*B69</f>
        <v>184.609937475782</v>
      </c>
      <c r="V69" s="0" t="n">
        <f aca="false">E69/2*B69</f>
        <v>0.5</v>
      </c>
      <c r="W69" s="142" t="n">
        <f aca="false">C69/(G69/10000)*$B$13*($F$21/F69)^($B$12)</f>
        <v>0.010897194137124</v>
      </c>
      <c r="X69" s="142" t="n">
        <f aca="false">W69/B69</f>
        <v>0.010897194137124</v>
      </c>
      <c r="Y69" s="142" t="n">
        <f aca="false">Y70+X69</f>
        <v>-0.937805797582279</v>
      </c>
      <c r="Z69" s="540" t="n">
        <f aca="false">-Y69*$B$4*2</f>
        <v>0.937805797582279</v>
      </c>
      <c r="AJ69" s="142"/>
    </row>
    <row r="70" customFormat="false" ht="15.75" hidden="false" customHeight="false" outlineLevel="0" collapsed="false">
      <c r="A70" s="0" t="n">
        <f aca="false">A69+1</f>
        <v>49</v>
      </c>
      <c r="B70" s="0" t="n">
        <f aca="false">MAX(B69/$G$5,1)</f>
        <v>1</v>
      </c>
      <c r="C70" s="0" t="n">
        <f aca="false">$B$10+A70*$G$4</f>
        <v>0.00560148514851486</v>
      </c>
      <c r="D70" s="0" t="n">
        <f aca="false">(A70+1)*($B$10+$G$4*A70/2)</f>
        <v>1.07753712871287</v>
      </c>
      <c r="E70" s="0" t="n">
        <f aca="false">IF(A70&lt;$G$6,($B$6/10)*$G$5^(A70/$G$3),($B$6/10)*$G$5^($G$6/$G$3))</f>
        <v>1</v>
      </c>
      <c r="F70" s="0" t="n">
        <f aca="false">IF(A70&lt;$G$6,($B$7/10)*$G$5^(A70/$G$2),($B$7/10)*$G$5^($G$6/$G$2))</f>
        <v>0.866025403784438</v>
      </c>
      <c r="G70" s="0" t="n">
        <f aca="false">F70*F70*3.1416/4</f>
        <v>0.58905</v>
      </c>
      <c r="H70" s="0" t="n">
        <f aca="false">E70*E70*3.1416/4</f>
        <v>0.7854</v>
      </c>
      <c r="I70" s="0" t="n">
        <f aca="false">G70*B70</f>
        <v>0.58905</v>
      </c>
      <c r="J70" s="0" t="n">
        <f aca="false">H70*B70</f>
        <v>0.7854</v>
      </c>
      <c r="K70" s="0" t="n">
        <f aca="false">H70-G70</f>
        <v>0.196350000000001</v>
      </c>
      <c r="L70" s="0" t="n">
        <f aca="false">SQRT(4*K70/3.1416)</f>
        <v>0.500000000000001</v>
      </c>
      <c r="M70" s="0" t="n">
        <f aca="false">(E70-L70)/2</f>
        <v>0.25</v>
      </c>
      <c r="N70" s="0" t="n">
        <f aca="false">E70*3.1416</f>
        <v>3.1416</v>
      </c>
      <c r="O70" s="0" t="n">
        <f aca="false">C70*3.1416*E70*B70/100</f>
        <v>0.000175976257425743</v>
      </c>
      <c r="P70" s="0" t="n">
        <f aca="false">C70*E70/100*E70/100*3.1416/4*B70</f>
        <v>4.39940643564357E-007</v>
      </c>
      <c r="Q70" s="0" t="n">
        <f aca="false">Q69+O70</f>
        <v>0.678550130409007</v>
      </c>
      <c r="R70" s="0" t="n">
        <f aca="false">P70+R69</f>
        <v>0.000277097364873037</v>
      </c>
      <c r="S70" s="0" t="n">
        <f aca="false">G70/10000*C70*B70</f>
        <v>3.29955482673267E-007</v>
      </c>
      <c r="T70" s="0" t="n">
        <f aca="false">T69+S70</f>
        <v>0.000251289866196699</v>
      </c>
      <c r="U70" s="0" t="n">
        <f aca="false">U69+C70*B70</f>
        <v>184.615538960931</v>
      </c>
      <c r="V70" s="0" t="n">
        <f aca="false">E70/2*B70</f>
        <v>0.5</v>
      </c>
      <c r="W70" s="142" t="n">
        <f aca="false">C70/(G70/10000)*$B$13*($F$21/F70)^($B$12)</f>
        <v>0.00976260899933161</v>
      </c>
      <c r="X70" s="142" t="n">
        <f aca="false">W70/B70</f>
        <v>0.00976260899933161</v>
      </c>
      <c r="Y70" s="142" t="n">
        <f aca="false">Y71+X70</f>
        <v>-0.948702991719403</v>
      </c>
      <c r="Z70" s="540" t="n">
        <f aca="false">-Y70*$B$4*2</f>
        <v>0.948702991719403</v>
      </c>
      <c r="AJ70" s="142"/>
    </row>
    <row r="71" customFormat="false" ht="15.75" hidden="false" customHeight="false" outlineLevel="0" collapsed="false">
      <c r="A71" s="0" t="n">
        <f aca="false">A70+1</f>
        <v>50</v>
      </c>
      <c r="B71" s="0" t="n">
        <f aca="false">MAX(B70/$G$5,1)</f>
        <v>1</v>
      </c>
      <c r="C71" s="0" t="n">
        <f aca="false">$B$10+A71*$G$4</f>
        <v>0.00495049504950496</v>
      </c>
      <c r="D71" s="0" t="n">
        <f aca="false">(A71+1)*($B$10+$G$4*A71/2)</f>
        <v>1.08248762376238</v>
      </c>
      <c r="E71" s="0" t="n">
        <f aca="false">IF(A71&lt;$G$6,($B$6/10)*$G$5^(A71/$G$3),($B$6/10)*$G$5^($G$6/$G$3))</f>
        <v>1</v>
      </c>
      <c r="F71" s="0" t="n">
        <f aca="false">IF(A71&lt;$G$6,($B$7/10)*$G$5^(A71/$G$2),($B$7/10)*$G$5^($G$6/$G$2))</f>
        <v>0.866025403784438</v>
      </c>
      <c r="G71" s="0" t="n">
        <f aca="false">F71*F71*3.1416/4</f>
        <v>0.58905</v>
      </c>
      <c r="H71" s="0" t="n">
        <f aca="false">E71*E71*3.1416/4</f>
        <v>0.7854</v>
      </c>
      <c r="I71" s="0" t="n">
        <f aca="false">G71*B71</f>
        <v>0.58905</v>
      </c>
      <c r="J71" s="0" t="n">
        <f aca="false">H71*B71</f>
        <v>0.7854</v>
      </c>
      <c r="K71" s="0" t="n">
        <f aca="false">H71-G71</f>
        <v>0.196350000000001</v>
      </c>
      <c r="L71" s="0" t="n">
        <f aca="false">SQRT(4*K71/3.1416)</f>
        <v>0.500000000000001</v>
      </c>
      <c r="M71" s="0" t="n">
        <f aca="false">(E71-L71)/2</f>
        <v>0.25</v>
      </c>
      <c r="N71" s="0" t="n">
        <f aca="false">E71*3.1416</f>
        <v>3.1416</v>
      </c>
      <c r="O71" s="0" t="n">
        <f aca="false">C71*3.1416*E71*B71/100</f>
        <v>0.000155524752475248</v>
      </c>
      <c r="P71" s="0" t="n">
        <f aca="false">C71*E71/100*E71/100*3.1416/4*B71</f>
        <v>3.88811881188119E-007</v>
      </c>
      <c r="Q71" s="0" t="n">
        <f aca="false">Q70+O71</f>
        <v>0.678705655161482</v>
      </c>
      <c r="R71" s="0" t="n">
        <f aca="false">P71+R70</f>
        <v>0.000277486176754225</v>
      </c>
      <c r="S71" s="0" t="n">
        <f aca="false">G71/10000*C71*B71</f>
        <v>2.91608910891089E-007</v>
      </c>
      <c r="T71" s="0" t="n">
        <f aca="false">T70+S71</f>
        <v>0.00025158147510759</v>
      </c>
      <c r="U71" s="0" t="n">
        <f aca="false">U70+C71*B71</f>
        <v>184.62048945598</v>
      </c>
      <c r="V71" s="0" t="n">
        <f aca="false">E71/2*B71</f>
        <v>0.5</v>
      </c>
      <c r="W71" s="142" t="n">
        <f aca="false">C71/(G71/10000)*$B$13*($F$21/F71)^($B$12)</f>
        <v>0.00862802386153921</v>
      </c>
      <c r="X71" s="142" t="n">
        <f aca="false">W71/B71</f>
        <v>0.00862802386153921</v>
      </c>
      <c r="Y71" s="142" t="n">
        <f aca="false">Y72+X71</f>
        <v>-0.958465600718735</v>
      </c>
      <c r="Z71" s="540" t="n">
        <f aca="false">-Y71*$B$4*2</f>
        <v>0.958465600718735</v>
      </c>
      <c r="AJ71" s="142"/>
    </row>
    <row r="72" customFormat="false" ht="15.75" hidden="false" customHeight="false" outlineLevel="0" collapsed="false">
      <c r="A72" s="0" t="n">
        <f aca="false">A71+1</f>
        <v>51</v>
      </c>
      <c r="B72" s="0" t="n">
        <f aca="false">MAX(B71/$G$5,1)</f>
        <v>1</v>
      </c>
      <c r="C72" s="0" t="n">
        <f aca="false">$B$10+A72*$G$4</f>
        <v>0.00429950495049505</v>
      </c>
      <c r="D72" s="0" t="n">
        <f aca="false">(A72+1)*($B$10+$G$4*A72/2)</f>
        <v>1.08678712871287</v>
      </c>
      <c r="E72" s="0" t="n">
        <f aca="false">IF(A72&lt;$G$6,($B$6/10)*$G$5^(A72/$G$3),($B$6/10)*$G$5^($G$6/$G$3))</f>
        <v>1</v>
      </c>
      <c r="F72" s="0" t="n">
        <f aca="false">IF(A72&lt;$G$6,($B$7/10)*$G$5^(A72/$G$2),($B$7/10)*$G$5^($G$6/$G$2))</f>
        <v>0.866025403784438</v>
      </c>
      <c r="G72" s="0" t="n">
        <f aca="false">F72*F72*3.1416/4</f>
        <v>0.58905</v>
      </c>
      <c r="H72" s="0" t="n">
        <f aca="false">E72*E72*3.1416/4</f>
        <v>0.7854</v>
      </c>
      <c r="I72" s="0" t="n">
        <f aca="false">G72*B72</f>
        <v>0.58905</v>
      </c>
      <c r="J72" s="0" t="n">
        <f aca="false">H72*B72</f>
        <v>0.7854</v>
      </c>
      <c r="K72" s="0" t="n">
        <f aca="false">H72-G72</f>
        <v>0.196350000000001</v>
      </c>
      <c r="L72" s="0" t="n">
        <f aca="false">SQRT(4*K72/3.1416)</f>
        <v>0.500000000000001</v>
      </c>
      <c r="M72" s="0" t="n">
        <f aca="false">(E72-L72)/2</f>
        <v>0.25</v>
      </c>
      <c r="N72" s="0" t="n">
        <f aca="false">E72*3.1416</f>
        <v>3.1416</v>
      </c>
      <c r="O72" s="0" t="n">
        <f aca="false">C72*3.1416*E72*B72/100</f>
        <v>0.000135073247524753</v>
      </c>
      <c r="P72" s="0" t="n">
        <f aca="false">C72*E72/100*E72/100*3.1416/4*B72</f>
        <v>3.37683118811882E-007</v>
      </c>
      <c r="Q72" s="0" t="n">
        <f aca="false">Q71+O72</f>
        <v>0.678840728409007</v>
      </c>
      <c r="R72" s="0" t="n">
        <f aca="false">P72+R71</f>
        <v>0.000277823859873037</v>
      </c>
      <c r="S72" s="0" t="n">
        <f aca="false">G72/10000*C72*B72</f>
        <v>2.53262339108911E-007</v>
      </c>
      <c r="T72" s="0" t="n">
        <f aca="false">T71+S72</f>
        <v>0.000251834737446699</v>
      </c>
      <c r="U72" s="0" t="n">
        <f aca="false">U71+C72*B72</f>
        <v>184.624788960931</v>
      </c>
      <c r="V72" s="0" t="n">
        <f aca="false">E72/2*B72</f>
        <v>0.5</v>
      </c>
      <c r="W72" s="142" t="n">
        <f aca="false">C72/(G72/10000)*$B$13*($F$21/F72)^($B$12)</f>
        <v>0.0074934387237468</v>
      </c>
      <c r="X72" s="142" t="n">
        <f aca="false">W72/B72</f>
        <v>0.0074934387237468</v>
      </c>
      <c r="Y72" s="142" t="n">
        <f aca="false">Y73+X72</f>
        <v>-0.967093624580274</v>
      </c>
      <c r="Z72" s="540" t="n">
        <f aca="false">-Y72*$B$4*2</f>
        <v>0.967093624580274</v>
      </c>
      <c r="AJ72" s="142"/>
    </row>
    <row r="73" customFormat="false" ht="15.75" hidden="false" customHeight="false" outlineLevel="0" collapsed="false">
      <c r="A73" s="0" t="n">
        <f aca="false">A72+1</f>
        <v>52</v>
      </c>
      <c r="B73" s="0" t="n">
        <f aca="false">MAX(B72/$G$5,1)</f>
        <v>1</v>
      </c>
      <c r="C73" s="0" t="n">
        <f aca="false">$B$10+A73*$G$4</f>
        <v>0.00364851485148515</v>
      </c>
      <c r="D73" s="0" t="n">
        <f aca="false">(A73+1)*($B$10+$G$4*A73/2)</f>
        <v>1.09043564356436</v>
      </c>
      <c r="E73" s="0" t="n">
        <f aca="false">IF(A73&lt;$G$6,($B$6/10)*$G$5^(A73/$G$3),($B$6/10)*$G$5^($G$6/$G$3))</f>
        <v>1</v>
      </c>
      <c r="F73" s="0" t="n">
        <f aca="false">IF(A73&lt;$G$6,($B$7/10)*$G$5^(A73/$G$2),($B$7/10)*$G$5^($G$6/$G$2))</f>
        <v>0.866025403784438</v>
      </c>
      <c r="G73" s="0" t="n">
        <f aca="false">F73*F73*3.1416/4</f>
        <v>0.58905</v>
      </c>
      <c r="H73" s="0" t="n">
        <f aca="false">E73*E73*3.1416/4</f>
        <v>0.7854</v>
      </c>
      <c r="I73" s="0" t="n">
        <f aca="false">G73*B73</f>
        <v>0.58905</v>
      </c>
      <c r="J73" s="0" t="n">
        <f aca="false">H73*B73</f>
        <v>0.7854</v>
      </c>
      <c r="K73" s="0" t="n">
        <f aca="false">H73-G73</f>
        <v>0.196350000000001</v>
      </c>
      <c r="L73" s="0" t="n">
        <f aca="false">SQRT(4*K73/3.1416)</f>
        <v>0.500000000000001</v>
      </c>
      <c r="M73" s="0" t="n">
        <f aca="false">(E73-L73)/2</f>
        <v>0.25</v>
      </c>
      <c r="N73" s="0" t="n">
        <f aca="false">E73*3.1416</f>
        <v>3.1416</v>
      </c>
      <c r="O73" s="0" t="n">
        <f aca="false">C73*3.1416*E73*B73/100</f>
        <v>0.000114621742574258</v>
      </c>
      <c r="P73" s="0" t="n">
        <f aca="false">C73*E73/100*E73/100*3.1416/4*B73</f>
        <v>2.86554356435644E-007</v>
      </c>
      <c r="Q73" s="0" t="n">
        <f aca="false">Q72+O73</f>
        <v>0.678955350151581</v>
      </c>
      <c r="R73" s="0" t="n">
        <f aca="false">P73+R72</f>
        <v>0.000278110414229472</v>
      </c>
      <c r="S73" s="0" t="n">
        <f aca="false">G73/10000*C73*B73</f>
        <v>2.14915767326733E-007</v>
      </c>
      <c r="T73" s="0" t="n">
        <f aca="false">T72+S73</f>
        <v>0.000252049653214026</v>
      </c>
      <c r="U73" s="0" t="n">
        <f aca="false">U72+C73*B73</f>
        <v>184.628437475782</v>
      </c>
      <c r="V73" s="0" t="n">
        <f aca="false">E73/2*B73</f>
        <v>0.5</v>
      </c>
      <c r="W73" s="142" t="n">
        <f aca="false">C73/(G73/10000)*$B$13*($F$21/F73)^($B$12)</f>
        <v>0.00635885358595439</v>
      </c>
      <c r="X73" s="142" t="n">
        <f aca="false">W73/B73</f>
        <v>0.00635885358595439</v>
      </c>
      <c r="Y73" s="142" t="n">
        <f aca="false">Y74+X73</f>
        <v>-0.974587063304021</v>
      </c>
      <c r="Z73" s="540" t="n">
        <f aca="false">-Y73*$B$4*2</f>
        <v>0.974587063304021</v>
      </c>
      <c r="AJ73" s="142"/>
    </row>
    <row r="74" customFormat="false" ht="15.75" hidden="false" customHeight="false" outlineLevel="0" collapsed="false">
      <c r="A74" s="0" t="n">
        <f aca="false">A73+1</f>
        <v>53</v>
      </c>
      <c r="B74" s="0" t="n">
        <f aca="false">MAX(B73/$G$5,1)</f>
        <v>1</v>
      </c>
      <c r="C74" s="0" t="n">
        <f aca="false">$B$10+A74*$G$4</f>
        <v>0.00299752475247525</v>
      </c>
      <c r="D74" s="0" t="n">
        <f aca="false">(A74+1)*($B$10+$G$4*A74/2)</f>
        <v>1.09343316831683</v>
      </c>
      <c r="E74" s="0" t="n">
        <f aca="false">IF(A74&lt;$G$6,($B$6/10)*$G$5^(A74/$G$3),($B$6/10)*$G$5^($G$6/$G$3))</f>
        <v>1</v>
      </c>
      <c r="F74" s="0" t="n">
        <f aca="false">IF(A74&lt;$G$6,($B$7/10)*$G$5^(A74/$G$2),($B$7/10)*$G$5^($G$6/$G$2))</f>
        <v>0.866025403784438</v>
      </c>
      <c r="G74" s="0" t="n">
        <f aca="false">F74*F74*3.1416/4</f>
        <v>0.58905</v>
      </c>
      <c r="H74" s="0" t="n">
        <f aca="false">E74*E74*3.1416/4</f>
        <v>0.7854</v>
      </c>
      <c r="I74" s="0" t="n">
        <f aca="false">G74*B74</f>
        <v>0.58905</v>
      </c>
      <c r="J74" s="0" t="n">
        <f aca="false">H74*B74</f>
        <v>0.7854</v>
      </c>
      <c r="K74" s="0" t="n">
        <f aca="false">H74-G74</f>
        <v>0.196350000000001</v>
      </c>
      <c r="L74" s="0" t="n">
        <f aca="false">SQRT(4*K74/3.1416)</f>
        <v>0.500000000000001</v>
      </c>
      <c r="M74" s="0" t="n">
        <f aca="false">(E74-L74)/2</f>
        <v>0.25</v>
      </c>
      <c r="N74" s="0" t="n">
        <f aca="false">E74*3.1416</f>
        <v>3.1416</v>
      </c>
      <c r="O74" s="0" t="n">
        <f aca="false">C74*3.1416*E74*B74/100</f>
        <v>9.41702376237625E-005</v>
      </c>
      <c r="P74" s="0" t="n">
        <f aca="false">C74*E74/100*E74/100*3.1416/4*B74</f>
        <v>2.35425594059406E-007</v>
      </c>
      <c r="Q74" s="0" t="n">
        <f aca="false">Q73+O74</f>
        <v>0.679049520389205</v>
      </c>
      <c r="R74" s="0" t="n">
        <f aca="false">P74+R73</f>
        <v>0.000278345839823532</v>
      </c>
      <c r="S74" s="0" t="n">
        <f aca="false">G74/10000*C74*B74</f>
        <v>1.76569195544554E-007</v>
      </c>
      <c r="T74" s="0" t="n">
        <f aca="false">T73+S74</f>
        <v>0.00025222622240957</v>
      </c>
      <c r="U74" s="0" t="n">
        <f aca="false">U73+C74*B74</f>
        <v>184.631435000535</v>
      </c>
      <c r="V74" s="0" t="n">
        <f aca="false">E74/2*B74</f>
        <v>0.5</v>
      </c>
      <c r="W74" s="142" t="n">
        <f aca="false">C74/(G74/10000)*$B$13*($F$21/F74)^($B$12)</f>
        <v>0.00522426844816199</v>
      </c>
      <c r="X74" s="142" t="n">
        <f aca="false">W74/B74</f>
        <v>0.00522426844816199</v>
      </c>
      <c r="Y74" s="142" t="n">
        <f aca="false">Y75+X74</f>
        <v>-0.980945916889975</v>
      </c>
      <c r="Z74" s="540" t="n">
        <f aca="false">-Y74*$B$4*2</f>
        <v>0.980945916889975</v>
      </c>
      <c r="AJ74" s="142"/>
    </row>
    <row r="75" customFormat="false" ht="15.75" hidden="false" customHeight="false" outlineLevel="0" collapsed="false">
      <c r="A75" s="0" t="n">
        <f aca="false">A74+1</f>
        <v>54</v>
      </c>
      <c r="B75" s="0" t="n">
        <f aca="false">MAX(B74/$G$5,1)</f>
        <v>1</v>
      </c>
      <c r="C75" s="0" t="n">
        <f aca="false">$B$10+A75*$G$4</f>
        <v>0.00234653465346535</v>
      </c>
      <c r="D75" s="0" t="n">
        <f aca="false">(A75+1)*($B$10+$G$4*A75/2)</f>
        <v>1.0957797029703</v>
      </c>
      <c r="E75" s="0" t="n">
        <f aca="false">IF(A75&lt;$G$6,($B$6/10)*$G$5^(A75/$G$3),($B$6/10)*$G$5^($G$6/$G$3))</f>
        <v>1</v>
      </c>
      <c r="F75" s="0" t="n">
        <f aca="false">IF(A75&lt;$G$6,($B$7/10)*$G$5^(A75/$G$2),($B$7/10)*$G$5^($G$6/$G$2))</f>
        <v>0.866025403784438</v>
      </c>
      <c r="G75" s="0" t="n">
        <f aca="false">F75*F75*3.1416/4</f>
        <v>0.58905</v>
      </c>
      <c r="H75" s="0" t="n">
        <f aca="false">E75*E75*3.1416/4</f>
        <v>0.7854</v>
      </c>
      <c r="I75" s="0" t="n">
        <f aca="false">G75*B75</f>
        <v>0.58905</v>
      </c>
      <c r="J75" s="0" t="n">
        <f aca="false">H75*B75</f>
        <v>0.7854</v>
      </c>
      <c r="K75" s="0" t="n">
        <f aca="false">H75-G75</f>
        <v>0.196350000000001</v>
      </c>
      <c r="L75" s="0" t="n">
        <f aca="false">SQRT(4*K75/3.1416)</f>
        <v>0.500000000000001</v>
      </c>
      <c r="M75" s="0" t="n">
        <f aca="false">(E75-L75)/2</f>
        <v>0.25</v>
      </c>
      <c r="N75" s="0" t="n">
        <f aca="false">E75*3.1416</f>
        <v>3.1416</v>
      </c>
      <c r="O75" s="0" t="n">
        <f aca="false">C75*3.1416*E75*B75/100</f>
        <v>7.37187326732674E-005</v>
      </c>
      <c r="P75" s="0" t="n">
        <f aca="false">C75*E75/100*E75/100*3.1416/4*B75</f>
        <v>1.84296831683169E-007</v>
      </c>
      <c r="Q75" s="0" t="n">
        <f aca="false">Q74+O75</f>
        <v>0.679123239121878</v>
      </c>
      <c r="R75" s="0" t="n">
        <f aca="false">P75+R74</f>
        <v>0.000278530136655215</v>
      </c>
      <c r="S75" s="0" t="n">
        <f aca="false">G75/10000*C75*B75</f>
        <v>1.38222623762376E-007</v>
      </c>
      <c r="T75" s="0" t="n">
        <f aca="false">T74+S75</f>
        <v>0.000252364445033333</v>
      </c>
      <c r="U75" s="0" t="n">
        <f aca="false">U74+C75*B75</f>
        <v>184.633781535188</v>
      </c>
      <c r="V75" s="0" t="n">
        <f aca="false">E75/2*B75</f>
        <v>0.5</v>
      </c>
      <c r="W75" s="142" t="n">
        <f aca="false">C75/(G75/10000)*$B$13*($F$21/F75)^($B$12)</f>
        <v>0.00408968331036958</v>
      </c>
      <c r="X75" s="142" t="n">
        <f aca="false">W75/B75</f>
        <v>0.00408968331036958</v>
      </c>
      <c r="Y75" s="142" t="n">
        <f aca="false">Y76+X75</f>
        <v>-0.986170185338137</v>
      </c>
      <c r="Z75" s="540" t="n">
        <f aca="false">-Y75*$B$4*2</f>
        <v>0.986170185338137</v>
      </c>
      <c r="AJ75" s="142"/>
    </row>
    <row r="76" customFormat="false" ht="15.75" hidden="false" customHeight="false" outlineLevel="0" collapsed="false">
      <c r="A76" s="0" t="n">
        <f aca="false">A75+1</f>
        <v>55</v>
      </c>
      <c r="B76" s="0" t="n">
        <f aca="false">MAX(B75/$G$5,1)</f>
        <v>1</v>
      </c>
      <c r="C76" s="0" t="n">
        <f aca="false">$B$10+A76*$G$4</f>
        <v>0.00169554455445545</v>
      </c>
      <c r="D76" s="0" t="n">
        <f aca="false">(A76+1)*($B$10+$G$4*A76/2)</f>
        <v>1.09747524752475</v>
      </c>
      <c r="E76" s="0" t="n">
        <f aca="false">IF(A76&lt;$G$6,($B$6/10)*$G$5^(A76/$G$3),($B$6/10)*$G$5^($G$6/$G$3))</f>
        <v>1</v>
      </c>
      <c r="F76" s="0" t="n">
        <f aca="false">IF(A76&lt;$G$6,($B$7/10)*$G$5^(A76/$G$2),($B$7/10)*$G$5^($G$6/$G$2))</f>
        <v>0.866025403784438</v>
      </c>
      <c r="G76" s="0" t="n">
        <f aca="false">F76*F76*3.1416/4</f>
        <v>0.58905</v>
      </c>
      <c r="H76" s="0" t="n">
        <f aca="false">E76*E76*3.1416/4</f>
        <v>0.7854</v>
      </c>
      <c r="I76" s="0" t="n">
        <f aca="false">G76*B76</f>
        <v>0.58905</v>
      </c>
      <c r="J76" s="0" t="n">
        <f aca="false">H76*B76</f>
        <v>0.7854</v>
      </c>
      <c r="K76" s="0" t="n">
        <f aca="false">H76-G76</f>
        <v>0.196350000000001</v>
      </c>
      <c r="L76" s="0" t="n">
        <f aca="false">SQRT(4*K76/3.1416)</f>
        <v>0.500000000000001</v>
      </c>
      <c r="M76" s="0" t="n">
        <f aca="false">(E76-L76)/2</f>
        <v>0.25</v>
      </c>
      <c r="N76" s="0" t="n">
        <f aca="false">E76*3.1416</f>
        <v>3.1416</v>
      </c>
      <c r="O76" s="0" t="n">
        <f aca="false">C76*3.1416*E76*B76/100</f>
        <v>5.32672277227723E-005</v>
      </c>
      <c r="P76" s="0" t="n">
        <f aca="false">C76*E76/100*E76/100*3.1416/4*B76</f>
        <v>1.33168069306931E-007</v>
      </c>
      <c r="Q76" s="0" t="n">
        <f aca="false">Q75+O76</f>
        <v>0.679176506349601</v>
      </c>
      <c r="R76" s="0" t="n">
        <f aca="false">P76+R75</f>
        <v>0.000278663304724522</v>
      </c>
      <c r="S76" s="0" t="n">
        <f aca="false">G76/10000*C76*B76</f>
        <v>9.9876051980198E-008</v>
      </c>
      <c r="T76" s="0" t="n">
        <f aca="false">T75+S76</f>
        <v>0.000252464321085313</v>
      </c>
      <c r="U76" s="0" t="n">
        <f aca="false">U75+C76*B76</f>
        <v>184.635477079743</v>
      </c>
      <c r="V76" s="0" t="n">
        <f aca="false">E76/2*B76</f>
        <v>0.5</v>
      </c>
      <c r="W76" s="142" t="n">
        <f aca="false">C76/(G76/10000)*$B$13*($F$21/F76)^($B$12)</f>
        <v>0.00295509817257718</v>
      </c>
      <c r="X76" s="142" t="n">
        <f aca="false">W76/B76</f>
        <v>0.00295509817257718</v>
      </c>
      <c r="Y76" s="142" t="n">
        <f aca="false">Y77+X76</f>
        <v>-0.990259868648507</v>
      </c>
      <c r="Z76" s="540" t="n">
        <f aca="false">-Y76*$B$4*2</f>
        <v>0.990259868648507</v>
      </c>
      <c r="AJ76" s="142"/>
    </row>
    <row r="77" customFormat="false" ht="15.75" hidden="false" customHeight="false" outlineLevel="0" collapsed="false">
      <c r="A77" s="0" t="n">
        <f aca="false">A76+1</f>
        <v>56</v>
      </c>
      <c r="B77" s="0" t="n">
        <f aca="false">MAX(B76/$G$5,1)</f>
        <v>1</v>
      </c>
      <c r="C77" s="0" t="n">
        <f aca="false">$B$10+A77*$G$4</f>
        <v>0.00104455445544555</v>
      </c>
      <c r="D77" s="0" t="n">
        <f aca="false">(A77+1)*($B$10+$G$4*A77/2)</f>
        <v>1.0985198019802</v>
      </c>
      <c r="E77" s="0" t="n">
        <f aca="false">IF(A77&lt;$G$6,($B$6/10)*$G$5^(A77/$G$3),($B$6/10)*$G$5^($G$6/$G$3))</f>
        <v>1</v>
      </c>
      <c r="F77" s="0" t="n">
        <f aca="false">IF(A77&lt;$G$6,($B$7/10)*$G$5^(A77/$G$2),($B$7/10)*$G$5^($G$6/$G$2))</f>
        <v>0.866025403784438</v>
      </c>
      <c r="G77" s="0" t="n">
        <f aca="false">F77*F77*3.1416/4</f>
        <v>0.58905</v>
      </c>
      <c r="H77" s="0" t="n">
        <f aca="false">E77*E77*3.1416/4</f>
        <v>0.7854</v>
      </c>
      <c r="I77" s="0" t="n">
        <f aca="false">G77*B77</f>
        <v>0.58905</v>
      </c>
      <c r="J77" s="0" t="n">
        <f aca="false">H77*B77</f>
        <v>0.7854</v>
      </c>
      <c r="K77" s="0" t="n">
        <f aca="false">H77-G77</f>
        <v>0.196350000000001</v>
      </c>
      <c r="L77" s="0" t="n">
        <f aca="false">SQRT(4*K77/3.1416)</f>
        <v>0.500000000000001</v>
      </c>
      <c r="M77" s="0" t="n">
        <f aca="false">(E77-L77)/2</f>
        <v>0.25</v>
      </c>
      <c r="N77" s="0" t="n">
        <f aca="false">E77*3.1416</f>
        <v>3.1416</v>
      </c>
      <c r="O77" s="0" t="n">
        <f aca="false">C77*3.1416*E77*B77/100</f>
        <v>3.28157227722773E-005</v>
      </c>
      <c r="P77" s="0" t="n">
        <f aca="false">C77*E77/100*E77/100*3.1416/4*B77</f>
        <v>8.20393069306932E-008</v>
      </c>
      <c r="Q77" s="0" t="n">
        <f aca="false">Q76+O77</f>
        <v>0.679209322072373</v>
      </c>
      <c r="R77" s="0" t="n">
        <f aca="false">P77+R76</f>
        <v>0.000278745344031453</v>
      </c>
      <c r="S77" s="0" t="n">
        <f aca="false">G77/10000*C77*B77</f>
        <v>6.15294801980198E-008</v>
      </c>
      <c r="T77" s="0" t="n">
        <f aca="false">T76+S77</f>
        <v>0.000252525850565511</v>
      </c>
      <c r="U77" s="0" t="n">
        <f aca="false">U76+C77*B77</f>
        <v>184.636521634198</v>
      </c>
      <c r="V77" s="0" t="n">
        <f aca="false">E77/2*B77</f>
        <v>0.5</v>
      </c>
      <c r="W77" s="142" t="n">
        <f aca="false">C77/(G77/10000)*$B$13*($F$21/F77)^($B$12)</f>
        <v>0.00182051303478477</v>
      </c>
      <c r="X77" s="142" t="n">
        <f aca="false">W77/B77</f>
        <v>0.00182051303478477</v>
      </c>
      <c r="Y77" s="142" t="n">
        <f aca="false">Y78+X77</f>
        <v>-0.993214966821084</v>
      </c>
      <c r="Z77" s="540" t="n">
        <f aca="false">-Y77*$B$4*2</f>
        <v>0.993214966821084</v>
      </c>
      <c r="AJ77" s="142"/>
    </row>
    <row r="78" customFormat="false" ht="15.75" hidden="false" customHeight="false" outlineLevel="0" collapsed="false">
      <c r="A78" s="0" t="n">
        <f aca="false">A77+1</f>
        <v>57</v>
      </c>
      <c r="B78" s="0" t="n">
        <f aca="false">MAX(B77/$G$5,1)</f>
        <v>1</v>
      </c>
      <c r="C78" s="0" t="n">
        <f aca="false">$B$10+A78*$G$4</f>
        <v>0.000393564356435644</v>
      </c>
      <c r="D78" s="0" t="n">
        <f aca="false">(A78+1)*($B$10+$G$4*A78/2)</f>
        <v>1.09891336633663</v>
      </c>
      <c r="E78" s="0" t="n">
        <f aca="false">IF(A78&lt;$G$6,($B$6/10)*$G$5^(A78/$G$3),($B$6/10)*$G$5^($G$6/$G$3))</f>
        <v>1</v>
      </c>
      <c r="F78" s="0" t="n">
        <f aca="false">IF(A78&lt;$G$6,($B$7/10)*$G$5^(A78/$G$2),($B$7/10)*$G$5^($G$6/$G$2))</f>
        <v>0.866025403784438</v>
      </c>
      <c r="G78" s="0" t="n">
        <f aca="false">F78*F78*3.1416/4</f>
        <v>0.58905</v>
      </c>
      <c r="H78" s="0" t="n">
        <f aca="false">E78*E78*3.1416/4</f>
        <v>0.7854</v>
      </c>
      <c r="I78" s="0" t="n">
        <f aca="false">G78*B78</f>
        <v>0.58905</v>
      </c>
      <c r="J78" s="0" t="n">
        <f aca="false">H78*B78</f>
        <v>0.7854</v>
      </c>
      <c r="K78" s="0" t="n">
        <f aca="false">H78-G78</f>
        <v>0.196350000000001</v>
      </c>
      <c r="L78" s="0" t="n">
        <f aca="false">SQRT(4*K78/3.1416)</f>
        <v>0.500000000000001</v>
      </c>
      <c r="M78" s="0" t="n">
        <f aca="false">(E78-L78)/2</f>
        <v>0.25</v>
      </c>
      <c r="N78" s="0" t="n">
        <f aca="false">E78*3.1416</f>
        <v>3.1416</v>
      </c>
      <c r="O78" s="0" t="n">
        <f aca="false">C78*3.1416*E78*B78/100</f>
        <v>1.23642178217822E-005</v>
      </c>
      <c r="P78" s="0" t="n">
        <f aca="false">C78*E78/100*E78/100*3.1416/4*B78</f>
        <v>3.09105445544555E-008</v>
      </c>
      <c r="Q78" s="0" t="n">
        <f aca="false">Q77+O78</f>
        <v>0.679221686290195</v>
      </c>
      <c r="R78" s="0" t="n">
        <f aca="false">P78+R77</f>
        <v>0.000278776254576007</v>
      </c>
      <c r="S78" s="0" t="n">
        <f aca="false">G78/10000*C78*B78</f>
        <v>2.31829084158416E-008</v>
      </c>
      <c r="T78" s="0" t="n">
        <f aca="false">T77+S78</f>
        <v>0.000252549033473927</v>
      </c>
      <c r="U78" s="0" t="n">
        <f aca="false">U77+C78*B78</f>
        <v>184.636915198554</v>
      </c>
      <c r="V78" s="0" t="n">
        <f aca="false">E78/2*B78</f>
        <v>0.5</v>
      </c>
      <c r="W78" s="142" t="n">
        <f aca="false">C78/(G78/10000)*$B$13*($F$21/F78)^($B$12)</f>
        <v>0.000685927896992367</v>
      </c>
      <c r="X78" s="142" t="n">
        <f aca="false">W78/B78</f>
        <v>0.000685927896992367</v>
      </c>
      <c r="Y78" s="142" t="n">
        <f aca="false">Y79+X78</f>
        <v>-0.995035479855869</v>
      </c>
      <c r="Z78" s="540" t="n">
        <f aca="false">-Y78*$B$4*2</f>
        <v>0.995035479855869</v>
      </c>
      <c r="AJ78" s="142"/>
    </row>
    <row r="79" customFormat="false" ht="15.75" hidden="false" customHeight="false" outlineLevel="0" collapsed="false">
      <c r="A79" s="0" t="n">
        <f aca="false">A78+1</f>
        <v>58</v>
      </c>
      <c r="B79" s="0" t="n">
        <f aca="false">MAX(B78/$G$5,1)</f>
        <v>1</v>
      </c>
      <c r="C79" s="0" t="n">
        <f aca="false">$B$10+A79*$G$4</f>
        <v>-0.000257425742574258</v>
      </c>
      <c r="D79" s="0" t="n">
        <f aca="false">(A79+1)*($B$10+$G$4*A79/2)</f>
        <v>1.09865594059406</v>
      </c>
      <c r="E79" s="0" t="n">
        <f aca="false">IF(A79&lt;$G$6,($B$6/10)*$G$5^(A79/$G$3),($B$6/10)*$G$5^($G$6/$G$3))</f>
        <v>1</v>
      </c>
      <c r="F79" s="0" t="n">
        <f aca="false">IF(A79&lt;$G$6,($B$7/10)*$G$5^(A79/$G$2),($B$7/10)*$G$5^($G$6/$G$2))</f>
        <v>0.866025403784438</v>
      </c>
      <c r="G79" s="0" t="n">
        <f aca="false">F79*F79*3.1416/4</f>
        <v>0.58905</v>
      </c>
      <c r="H79" s="0" t="n">
        <f aca="false">E79*E79*3.1416/4</f>
        <v>0.7854</v>
      </c>
      <c r="I79" s="0" t="n">
        <f aca="false">G79*B79</f>
        <v>0.58905</v>
      </c>
      <c r="J79" s="0" t="n">
        <f aca="false">H79*B79</f>
        <v>0.7854</v>
      </c>
      <c r="K79" s="0" t="n">
        <f aca="false">H79-G79</f>
        <v>0.196350000000001</v>
      </c>
      <c r="L79" s="0" t="n">
        <f aca="false">SQRT(4*K79/3.1416)</f>
        <v>0.500000000000001</v>
      </c>
      <c r="M79" s="0" t="n">
        <f aca="false">(E79-L79)/2</f>
        <v>0.25</v>
      </c>
      <c r="N79" s="0" t="n">
        <f aca="false">E79*3.1416</f>
        <v>3.1416</v>
      </c>
      <c r="O79" s="0" t="n">
        <f aca="false">C79*3.1416*E79*B79/100</f>
        <v>-8.08728712871288E-006</v>
      </c>
      <c r="P79" s="0" t="n">
        <f aca="false">C79*E79/100*E79/100*3.1416/4*B79</f>
        <v>-2.02182178217822E-008</v>
      </c>
      <c r="Q79" s="0" t="n">
        <f aca="false">Q78+O79</f>
        <v>0.679213599003066</v>
      </c>
      <c r="R79" s="0" t="n">
        <f aca="false">P79+R78</f>
        <v>0.000278756036358185</v>
      </c>
      <c r="S79" s="0" t="n">
        <f aca="false">G79/10000*C79*B79</f>
        <v>-1.51636633663366E-008</v>
      </c>
      <c r="T79" s="0" t="n">
        <f aca="false">T78+S79</f>
        <v>0.00025253386981056</v>
      </c>
      <c r="U79" s="0" t="n">
        <f aca="false">U78+C79*B79</f>
        <v>184.636657772812</v>
      </c>
      <c r="V79" s="0" t="n">
        <f aca="false">E79/2*B79</f>
        <v>0.5</v>
      </c>
      <c r="W79" s="142" t="n">
        <f aca="false">C79/(G79/10000)*$B$13*($F$21/F79)^($B$12)</f>
        <v>-0.000448657240800039</v>
      </c>
      <c r="X79" s="142" t="n">
        <f aca="false">W79/B79</f>
        <v>-0.000448657240800039</v>
      </c>
      <c r="Y79" s="142" t="n">
        <f aca="false">Y80+X79</f>
        <v>-0.995721407752861</v>
      </c>
      <c r="Z79" s="540" t="n">
        <f aca="false">-Y79*$B$4*2</f>
        <v>0.995721407752861</v>
      </c>
      <c r="AJ79" s="142"/>
    </row>
    <row r="80" customFormat="false" ht="15.75" hidden="false" customHeight="false" outlineLevel="0" collapsed="false">
      <c r="A80" s="0" t="n">
        <f aca="false">A79+1</f>
        <v>59</v>
      </c>
      <c r="B80" s="0" t="n">
        <f aca="false">MAX(B79/$G$5,1)</f>
        <v>1</v>
      </c>
      <c r="C80" s="0" t="n">
        <f aca="false">$B$10+A80*$G$4</f>
        <v>-0.000908415841584152</v>
      </c>
      <c r="D80" s="0" t="n">
        <f aca="false">(A80+1)*($B$10+$G$4*A80/2)</f>
        <v>1.09774752475248</v>
      </c>
      <c r="E80" s="0" t="n">
        <f aca="false">IF(A80&lt;$G$6,($B$6/10)*$G$5^(A80/$G$3),($B$6/10)*$G$5^($G$6/$G$3))</f>
        <v>1</v>
      </c>
      <c r="F80" s="0" t="n">
        <f aca="false">IF(A80&lt;$G$6,($B$7/10)*$G$5^(A80/$G$2),($B$7/10)*$G$5^($G$6/$G$2))</f>
        <v>0.866025403784438</v>
      </c>
      <c r="G80" s="0" t="n">
        <f aca="false">F80*F80*3.1416/4</f>
        <v>0.58905</v>
      </c>
      <c r="H80" s="0" t="n">
        <f aca="false">E80*E80*3.1416/4</f>
        <v>0.7854</v>
      </c>
      <c r="I80" s="0" t="n">
        <f aca="false">G80*B80</f>
        <v>0.58905</v>
      </c>
      <c r="J80" s="0" t="n">
        <f aca="false">H80*B80</f>
        <v>0.7854</v>
      </c>
      <c r="K80" s="0" t="n">
        <f aca="false">H80-G80</f>
        <v>0.196350000000001</v>
      </c>
      <c r="L80" s="0" t="n">
        <f aca="false">SQRT(4*K80/3.1416)</f>
        <v>0.500000000000001</v>
      </c>
      <c r="M80" s="0" t="n">
        <f aca="false">(E80-L80)/2</f>
        <v>0.25</v>
      </c>
      <c r="N80" s="0" t="n">
        <f aca="false">E80*3.1416</f>
        <v>3.1416</v>
      </c>
      <c r="O80" s="0" t="n">
        <f aca="false">C80*3.1416*E80*B80/100</f>
        <v>-2.85387920792077E-005</v>
      </c>
      <c r="P80" s="0" t="n">
        <f aca="false">C80*E80/100*E80/100*3.1416/4*B80</f>
        <v>-7.13469801980194E-008</v>
      </c>
      <c r="Q80" s="0" t="n">
        <f aca="false">Q79+O80</f>
        <v>0.679185060210987</v>
      </c>
      <c r="R80" s="0" t="n">
        <f aca="false">P80+R79</f>
        <v>0.000278684689377987</v>
      </c>
      <c r="S80" s="0" t="n">
        <f aca="false">G80/10000*C80*B80</f>
        <v>-5.35102351485145E-008</v>
      </c>
      <c r="T80" s="0" t="n">
        <f aca="false">T79+S80</f>
        <v>0.000252480359575412</v>
      </c>
      <c r="U80" s="0" t="n">
        <f aca="false">U79+C80*B80</f>
        <v>184.63574935697</v>
      </c>
      <c r="V80" s="0" t="n">
        <f aca="false">E80/2*B80</f>
        <v>0.5</v>
      </c>
      <c r="W80" s="142" t="n">
        <f aca="false">C80/(G80/10000)*$B$13*($F$21/F80)^($B$12)</f>
        <v>-0.00158324237859243</v>
      </c>
      <c r="X80" s="142" t="n">
        <f aca="false">W80/B80</f>
        <v>-0.00158324237859243</v>
      </c>
      <c r="Y80" s="142" t="n">
        <f aca="false">Y81+X80</f>
        <v>-0.995272750512061</v>
      </c>
      <c r="Z80" s="540" t="n">
        <f aca="false">-Y80*$B$4*2</f>
        <v>0.995272750512061</v>
      </c>
      <c r="AJ80" s="142"/>
    </row>
    <row r="81" customFormat="false" ht="15.75" hidden="false" customHeight="false" outlineLevel="0" collapsed="false">
      <c r="A81" s="0" t="n">
        <f aca="false">A80+1</f>
        <v>60</v>
      </c>
      <c r="B81" s="0" t="n">
        <f aca="false">MAX(B80/$G$5,1)</f>
        <v>1</v>
      </c>
      <c r="C81" s="0" t="n">
        <f aca="false">$B$10+A81*$G$4</f>
        <v>-0.00155940594059405</v>
      </c>
      <c r="D81" s="0" t="n">
        <f aca="false">(A81+1)*($B$10+$G$4*A81/2)</f>
        <v>1.09618811881188</v>
      </c>
      <c r="E81" s="0" t="n">
        <f aca="false">IF(A81&lt;$G$6,($B$6/10)*$G$5^(A81/$G$3),($B$6/10)*$G$5^($G$6/$G$3))</f>
        <v>1</v>
      </c>
      <c r="F81" s="0" t="n">
        <f aca="false">IF(A81&lt;$G$6,($B$7/10)*$G$5^(A81/$G$2),($B$7/10)*$G$5^($G$6/$G$2))</f>
        <v>0.866025403784438</v>
      </c>
      <c r="G81" s="0" t="n">
        <f aca="false">F81*F81*3.1416/4</f>
        <v>0.58905</v>
      </c>
      <c r="H81" s="0" t="n">
        <f aca="false">E81*E81*3.1416/4</f>
        <v>0.7854</v>
      </c>
      <c r="I81" s="0" t="n">
        <f aca="false">G81*B81</f>
        <v>0.58905</v>
      </c>
      <c r="J81" s="0" t="n">
        <f aca="false">H81*B81</f>
        <v>0.7854</v>
      </c>
      <c r="K81" s="0" t="n">
        <f aca="false">H81-G81</f>
        <v>0.196350000000001</v>
      </c>
      <c r="L81" s="0" t="n">
        <f aca="false">SQRT(4*K81/3.1416)</f>
        <v>0.500000000000001</v>
      </c>
      <c r="M81" s="0" t="n">
        <f aca="false">(E81-L81)/2</f>
        <v>0.25</v>
      </c>
      <c r="N81" s="0" t="n">
        <f aca="false">E81*3.1416</f>
        <v>3.1416</v>
      </c>
      <c r="O81" s="0" t="n">
        <f aca="false">C81*3.1416*E81*B81/100</f>
        <v>-4.89902970297028E-005</v>
      </c>
      <c r="P81" s="0" t="n">
        <f aca="false">C81*E81/100*E81/100*3.1416/4*B81</f>
        <v>-1.22475742574257E-007</v>
      </c>
      <c r="Q81" s="0" t="n">
        <f aca="false">Q80+O81</f>
        <v>0.679136069913957</v>
      </c>
      <c r="R81" s="0" t="n">
        <f aca="false">P81+R80</f>
        <v>0.000278562213635413</v>
      </c>
      <c r="S81" s="0" t="n">
        <f aca="false">G81/10000*C81*B81</f>
        <v>-9.18568069306927E-008</v>
      </c>
      <c r="T81" s="0" t="n">
        <f aca="false">T80+S81</f>
        <v>0.000252388502768481</v>
      </c>
      <c r="U81" s="0" t="n">
        <f aca="false">U80+C81*B81</f>
        <v>184.63418995103</v>
      </c>
      <c r="V81" s="0" t="n">
        <f aca="false">E81/2*B81</f>
        <v>0.5</v>
      </c>
      <c r="W81" s="142" t="n">
        <f aca="false">C81/(G81/10000)*$B$13*($F$21/F81)^($B$12)</f>
        <v>-0.00271782751638484</v>
      </c>
      <c r="X81" s="142" t="n">
        <f aca="false">W81/B81</f>
        <v>-0.00271782751638484</v>
      </c>
      <c r="Y81" s="142" t="n">
        <f aca="false">Y82+X81</f>
        <v>-0.993689508133469</v>
      </c>
      <c r="Z81" s="540" t="n">
        <f aca="false">-Y81*$B$4*2</f>
        <v>0.993689508133469</v>
      </c>
      <c r="AJ81" s="142"/>
    </row>
    <row r="82" customFormat="false" ht="15.75" hidden="false" customHeight="false" outlineLevel="0" collapsed="false">
      <c r="A82" s="0" t="n">
        <f aca="false">A81+1</f>
        <v>61</v>
      </c>
      <c r="B82" s="0" t="n">
        <f aca="false">MAX(B81/$G$5,1)</f>
        <v>1</v>
      </c>
      <c r="C82" s="0" t="n">
        <f aca="false">$B$10+A82*$G$4</f>
        <v>-0.00221039603960396</v>
      </c>
      <c r="D82" s="0" t="n">
        <f aca="false">(A82+1)*($B$10+$G$4*A82/2)</f>
        <v>1.09397772277228</v>
      </c>
      <c r="E82" s="0" t="n">
        <f aca="false">IF(A82&lt;$G$6,($B$6/10)*$G$5^(A82/$G$3),($B$6/10)*$G$5^($G$6/$G$3))</f>
        <v>1</v>
      </c>
      <c r="F82" s="0" t="n">
        <f aca="false">IF(A82&lt;$G$6,($B$7/10)*$G$5^(A82/$G$2),($B$7/10)*$G$5^($G$6/$G$2))</f>
        <v>0.866025403784438</v>
      </c>
      <c r="G82" s="0" t="n">
        <f aca="false">F82*F82*3.1416/4</f>
        <v>0.58905</v>
      </c>
      <c r="H82" s="0" t="n">
        <f aca="false">E82*E82*3.1416/4</f>
        <v>0.7854</v>
      </c>
      <c r="I82" s="0" t="n">
        <f aca="false">G82*B82</f>
        <v>0.58905</v>
      </c>
      <c r="J82" s="0" t="n">
        <f aca="false">H82*B82</f>
        <v>0.7854</v>
      </c>
      <c r="K82" s="0" t="n">
        <f aca="false">H82-G82</f>
        <v>0.196350000000001</v>
      </c>
      <c r="L82" s="0" t="n">
        <f aca="false">SQRT(4*K82/3.1416)</f>
        <v>0.500000000000001</v>
      </c>
      <c r="M82" s="0" t="n">
        <f aca="false">(E82-L82)/2</f>
        <v>0.25</v>
      </c>
      <c r="N82" s="0" t="n">
        <f aca="false">E82*3.1416</f>
        <v>3.1416</v>
      </c>
      <c r="O82" s="0" t="n">
        <f aca="false">C82*3.1416*E82*B82/100</f>
        <v>-6.94418019801979E-005</v>
      </c>
      <c r="P82" s="0" t="n">
        <f aca="false">C82*E82/100*E82/100*3.1416/4*B82</f>
        <v>-1.73604504950495E-007</v>
      </c>
      <c r="Q82" s="0" t="n">
        <f aca="false">Q81+O82</f>
        <v>0.679066628111977</v>
      </c>
      <c r="R82" s="0" t="n">
        <f aca="false">P82+R81</f>
        <v>0.000278388609130463</v>
      </c>
      <c r="S82" s="0" t="n">
        <f aca="false">G82/10000*C82*B82</f>
        <v>-1.30203378712871E-007</v>
      </c>
      <c r="T82" s="0" t="n">
        <f aca="false">T81+S82</f>
        <v>0.000252258299389768</v>
      </c>
      <c r="U82" s="0" t="n">
        <f aca="false">U81+C82*B82</f>
        <v>184.63197955499</v>
      </c>
      <c r="V82" s="0" t="n">
        <f aca="false">E82/2*B82</f>
        <v>0.5</v>
      </c>
      <c r="W82" s="142" t="n">
        <f aca="false">C82/(G82/10000)*$B$13*($F$21/F82)^($B$12)</f>
        <v>-0.00385241265417724</v>
      </c>
      <c r="X82" s="142" t="n">
        <f aca="false">W82/B82</f>
        <v>-0.00385241265417724</v>
      </c>
      <c r="Y82" s="142" t="n">
        <f aca="false">Y83+X82</f>
        <v>-0.990971680617084</v>
      </c>
      <c r="Z82" s="540" t="n">
        <f aca="false">-Y82*$B$4*2</f>
        <v>0.990971680617084</v>
      </c>
      <c r="AJ82" s="142"/>
    </row>
    <row r="83" customFormat="false" ht="15.75" hidden="false" customHeight="false" outlineLevel="0" collapsed="false">
      <c r="A83" s="0" t="n">
        <f aca="false">A82+1</f>
        <v>62</v>
      </c>
      <c r="B83" s="0" t="n">
        <f aca="false">MAX(B82/$G$5,1)</f>
        <v>1</v>
      </c>
      <c r="C83" s="0" t="n">
        <f aca="false">$B$10+A83*$G$4</f>
        <v>-0.00286138613861386</v>
      </c>
      <c r="D83" s="0" t="n">
        <f aca="false">(A83+1)*($B$10+$G$4*A83/2)</f>
        <v>1.09111633663366</v>
      </c>
      <c r="E83" s="0" t="n">
        <f aca="false">IF(A83&lt;$G$6,($B$6/10)*$G$5^(A83/$G$3),($B$6/10)*$G$5^($G$6/$G$3))</f>
        <v>1</v>
      </c>
      <c r="F83" s="0" t="n">
        <f aca="false">IF(A83&lt;$G$6,($B$7/10)*$G$5^(A83/$G$2),($B$7/10)*$G$5^($G$6/$G$2))</f>
        <v>0.866025403784438</v>
      </c>
      <c r="G83" s="0" t="n">
        <f aca="false">F83*F83*3.1416/4</f>
        <v>0.58905</v>
      </c>
      <c r="H83" s="0" t="n">
        <f aca="false">E83*E83*3.1416/4</f>
        <v>0.7854</v>
      </c>
      <c r="I83" s="0" t="n">
        <f aca="false">G83*B83</f>
        <v>0.58905</v>
      </c>
      <c r="J83" s="0" t="n">
        <f aca="false">H83*B83</f>
        <v>0.7854</v>
      </c>
      <c r="K83" s="0" t="n">
        <f aca="false">H83-G83</f>
        <v>0.196350000000001</v>
      </c>
      <c r="L83" s="0" t="n">
        <f aca="false">SQRT(4*K83/3.1416)</f>
        <v>0.500000000000001</v>
      </c>
      <c r="M83" s="0" t="n">
        <f aca="false">(E83-L83)/2</f>
        <v>0.25</v>
      </c>
      <c r="N83" s="0" t="n">
        <f aca="false">E83*3.1416</f>
        <v>3.1416</v>
      </c>
      <c r="O83" s="0" t="n">
        <f aca="false">C83*3.1416*E83*B83/100</f>
        <v>-8.9893306930693E-005</v>
      </c>
      <c r="P83" s="0" t="n">
        <f aca="false">C83*E83/100*E83/100*3.1416/4*B83</f>
        <v>-2.24733267326732E-007</v>
      </c>
      <c r="Q83" s="0" t="n">
        <f aca="false">Q82+O83</f>
        <v>0.678976734805046</v>
      </c>
      <c r="R83" s="0" t="n">
        <f aca="false">P83+R82</f>
        <v>0.000278163875863136</v>
      </c>
      <c r="S83" s="0" t="n">
        <f aca="false">G83/10000*C83*B83</f>
        <v>-1.68549950495049E-007</v>
      </c>
      <c r="T83" s="0" t="n">
        <f aca="false">T82+S83</f>
        <v>0.000252089749439273</v>
      </c>
      <c r="U83" s="0" t="n">
        <f aca="false">U82+C83*B83</f>
        <v>184.629118168851</v>
      </c>
      <c r="V83" s="0" t="n">
        <f aca="false">E83/2*B83</f>
        <v>0.5</v>
      </c>
      <c r="W83" s="142" t="n">
        <f aca="false">C83/(G83/10000)*$B$13*($F$21/F83)^($B$12)</f>
        <v>-0.00498699779196965</v>
      </c>
      <c r="X83" s="142" t="n">
        <f aca="false">W83/B83</f>
        <v>-0.00498699779196965</v>
      </c>
      <c r="Y83" s="142" t="n">
        <f aca="false">Y84+X83</f>
        <v>-0.987119267962907</v>
      </c>
      <c r="Z83" s="540" t="n">
        <f aca="false">-Y83*$B$4*2</f>
        <v>0.987119267962907</v>
      </c>
      <c r="AJ83" s="142"/>
    </row>
    <row r="84" customFormat="false" ht="15.75" hidden="false" customHeight="false" outlineLevel="0" collapsed="false">
      <c r="A84" s="0" t="n">
        <f aca="false">A83+1</f>
        <v>63</v>
      </c>
      <c r="B84" s="0" t="n">
        <f aca="false">MAX(B83/$G$5,1)</f>
        <v>1</v>
      </c>
      <c r="C84" s="0" t="n">
        <f aca="false">$B$10+A84*$G$4</f>
        <v>-0.00351237623762376</v>
      </c>
      <c r="D84" s="0" t="n">
        <f aca="false">(A84+1)*($B$10+$G$4*A84/2)</f>
        <v>1.08760396039604</v>
      </c>
      <c r="E84" s="0" t="n">
        <f aca="false">IF(A84&lt;$G$6,($B$6/10)*$G$5^(A84/$G$3),($B$6/10)*$G$5^($G$6/$G$3))</f>
        <v>1</v>
      </c>
      <c r="F84" s="0" t="n">
        <f aca="false">IF(A84&lt;$G$6,($B$7/10)*$G$5^(A84/$G$2),($B$7/10)*$G$5^($G$6/$G$2))</f>
        <v>0.866025403784438</v>
      </c>
      <c r="G84" s="0" t="n">
        <f aca="false">F84*F84*3.1416/4</f>
        <v>0.58905</v>
      </c>
      <c r="H84" s="0" t="n">
        <f aca="false">E84*E84*3.1416/4</f>
        <v>0.7854</v>
      </c>
      <c r="I84" s="0" t="n">
        <f aca="false">G84*B84</f>
        <v>0.58905</v>
      </c>
      <c r="J84" s="0" t="n">
        <f aca="false">H84*B84</f>
        <v>0.7854</v>
      </c>
      <c r="K84" s="0" t="n">
        <f aca="false">H84-G84</f>
        <v>0.196350000000001</v>
      </c>
      <c r="L84" s="0" t="n">
        <f aca="false">SQRT(4*K84/3.1416)</f>
        <v>0.500000000000001</v>
      </c>
      <c r="M84" s="0" t="n">
        <f aca="false">(E84-L84)/2</f>
        <v>0.25</v>
      </c>
      <c r="N84" s="0" t="n">
        <f aca="false">E84*3.1416</f>
        <v>3.1416</v>
      </c>
      <c r="O84" s="0" t="n">
        <f aca="false">C84*3.1416*E84*B84/100</f>
        <v>-0.000110344811881188</v>
      </c>
      <c r="P84" s="0" t="n">
        <f aca="false">C84*E84/100*E84/100*3.1416/4*B84</f>
        <v>-2.7586202970297E-007</v>
      </c>
      <c r="Q84" s="0" t="n">
        <f aca="false">Q83+O84</f>
        <v>0.678866389993165</v>
      </c>
      <c r="R84" s="0" t="n">
        <f aca="false">P84+R83</f>
        <v>0.000277888013833433</v>
      </c>
      <c r="S84" s="0" t="n">
        <f aca="false">G84/10000*C84*B84</f>
        <v>-2.06896522277227E-007</v>
      </c>
      <c r="T84" s="0" t="n">
        <f aca="false">T83+S84</f>
        <v>0.000251882852916996</v>
      </c>
      <c r="U84" s="0" t="n">
        <f aca="false">U83+C84*B84</f>
        <v>184.625605792614</v>
      </c>
      <c r="V84" s="0" t="n">
        <f aca="false">E84/2*B84</f>
        <v>0.5</v>
      </c>
      <c r="W84" s="142" t="n">
        <f aca="false">C84/(G84/10000)*$B$13*($F$21/F84)^($B$12)</f>
        <v>-0.00612158292976205</v>
      </c>
      <c r="X84" s="142" t="n">
        <f aca="false">W84/B84</f>
        <v>-0.00612158292976205</v>
      </c>
      <c r="Y84" s="142" t="n">
        <f aca="false">Y85+X84</f>
        <v>-0.982132270170937</v>
      </c>
      <c r="Z84" s="540" t="n">
        <f aca="false">-Y84*$B$4*2</f>
        <v>0.982132270170937</v>
      </c>
      <c r="AJ84" s="142"/>
    </row>
    <row r="85" customFormat="false" ht="15.75" hidden="false" customHeight="false" outlineLevel="0" collapsed="false">
      <c r="A85" s="0" t="n">
        <f aca="false">A84+1</f>
        <v>64</v>
      </c>
      <c r="B85" s="0" t="n">
        <f aca="false">MAX(B84/$G$5,1)</f>
        <v>1</v>
      </c>
      <c r="C85" s="0" t="n">
        <f aca="false">$B$10+A85*$G$4</f>
        <v>-0.00416336633663366</v>
      </c>
      <c r="D85" s="0" t="n">
        <f aca="false">(A85+1)*($B$10+$G$4*A85/2)</f>
        <v>1.08344059405941</v>
      </c>
      <c r="E85" s="0" t="n">
        <f aca="false">IF(A85&lt;$G$6,($B$6/10)*$G$5^(A85/$G$3),($B$6/10)*$G$5^($G$6/$G$3))</f>
        <v>1</v>
      </c>
      <c r="F85" s="0" t="n">
        <f aca="false">IF(A85&lt;$G$6,($B$7/10)*$G$5^(A85/$G$2),($B$7/10)*$G$5^($G$6/$G$2))</f>
        <v>0.866025403784438</v>
      </c>
      <c r="G85" s="0" t="n">
        <f aca="false">F85*F85*3.1416/4</f>
        <v>0.58905</v>
      </c>
      <c r="H85" s="0" t="n">
        <f aca="false">E85*E85*3.1416/4</f>
        <v>0.7854</v>
      </c>
      <c r="I85" s="0" t="n">
        <f aca="false">G85*B85</f>
        <v>0.58905</v>
      </c>
      <c r="J85" s="0" t="n">
        <f aca="false">H85*B85</f>
        <v>0.7854</v>
      </c>
      <c r="K85" s="0" t="n">
        <f aca="false">H85-G85</f>
        <v>0.196350000000001</v>
      </c>
      <c r="L85" s="0" t="n">
        <f aca="false">SQRT(4*K85/3.1416)</f>
        <v>0.500000000000001</v>
      </c>
      <c r="M85" s="0" t="n">
        <f aca="false">(E85-L85)/2</f>
        <v>0.25</v>
      </c>
      <c r="N85" s="0" t="n">
        <f aca="false">E85*3.1416</f>
        <v>3.1416</v>
      </c>
      <c r="O85" s="0" t="n">
        <f aca="false">C85*3.1416*E85*B85/100</f>
        <v>-0.000130796316831683</v>
      </c>
      <c r="P85" s="0" t="n">
        <f aca="false">C85*E85/100*E85/100*3.1416/4*B85</f>
        <v>-3.26990792079208E-007</v>
      </c>
      <c r="Q85" s="0" t="n">
        <f aca="false">Q84+O85</f>
        <v>0.678735593676334</v>
      </c>
      <c r="R85" s="0" t="n">
        <f aca="false">P85+R84</f>
        <v>0.000277561023041354</v>
      </c>
      <c r="S85" s="0" t="n">
        <f aca="false">G85/10000*C85*B85</f>
        <v>-2.45243094059406E-007</v>
      </c>
      <c r="T85" s="0" t="n">
        <f aca="false">T84+S85</f>
        <v>0.000251637609822936</v>
      </c>
      <c r="U85" s="0" t="n">
        <f aca="false">U84+C85*B85</f>
        <v>184.621442426277</v>
      </c>
      <c r="V85" s="0" t="n">
        <f aca="false">E85/2*B85</f>
        <v>0.5</v>
      </c>
      <c r="W85" s="142" t="n">
        <f aca="false">C85/(G85/10000)*$B$13*($F$21/F85)^($B$12)</f>
        <v>-0.00725616806755446</v>
      </c>
      <c r="X85" s="142" t="n">
        <f aca="false">W85/B85</f>
        <v>-0.00725616806755446</v>
      </c>
      <c r="Y85" s="142" t="n">
        <f aca="false">Y86+X85</f>
        <v>-0.976010687241175</v>
      </c>
      <c r="Z85" s="540" t="n">
        <f aca="false">-Y85*$B$4*2</f>
        <v>0.976010687241175</v>
      </c>
      <c r="AJ85" s="142"/>
    </row>
    <row r="86" customFormat="false" ht="15.75" hidden="false" customHeight="false" outlineLevel="0" collapsed="false">
      <c r="A86" s="0" t="n">
        <f aca="false">A85+1</f>
        <v>65</v>
      </c>
      <c r="B86" s="0" t="n">
        <f aca="false">MAX(B85/$G$5,1)</f>
        <v>1</v>
      </c>
      <c r="C86" s="0" t="n">
        <f aca="false">$B$10+A86*$G$4</f>
        <v>-0.00481435643564356</v>
      </c>
      <c r="D86" s="0" t="n">
        <f aca="false">(A86+1)*($B$10+$G$4*A86/2)</f>
        <v>1.07862623762376</v>
      </c>
      <c r="E86" s="0" t="n">
        <f aca="false">IF(A86&lt;$G$6,($B$6/10)*$G$5^(A86/$G$3),($B$6/10)*$G$5^($G$6/$G$3))</f>
        <v>1</v>
      </c>
      <c r="F86" s="0" t="n">
        <f aca="false">IF(A86&lt;$G$6,($B$7/10)*$G$5^(A86/$G$2),($B$7/10)*$G$5^($G$6/$G$2))</f>
        <v>0.866025403784438</v>
      </c>
      <c r="G86" s="0" t="n">
        <f aca="false">F86*F86*3.1416/4</f>
        <v>0.58905</v>
      </c>
      <c r="H86" s="0" t="n">
        <f aca="false">E86*E86*3.1416/4</f>
        <v>0.7854</v>
      </c>
      <c r="I86" s="0" t="n">
        <f aca="false">G86*B86</f>
        <v>0.58905</v>
      </c>
      <c r="J86" s="0" t="n">
        <f aca="false">H86*B86</f>
        <v>0.7854</v>
      </c>
      <c r="K86" s="0" t="n">
        <f aca="false">H86-G86</f>
        <v>0.196350000000001</v>
      </c>
      <c r="L86" s="0" t="n">
        <f aca="false">SQRT(4*K86/3.1416)</f>
        <v>0.500000000000001</v>
      </c>
      <c r="M86" s="0" t="n">
        <f aca="false">(E86-L86)/2</f>
        <v>0.25</v>
      </c>
      <c r="N86" s="0" t="n">
        <f aca="false">E86*3.1416</f>
        <v>3.1416</v>
      </c>
      <c r="O86" s="0" t="n">
        <f aca="false">C86*3.1416*E86*B86/100</f>
        <v>-0.000151247821782178</v>
      </c>
      <c r="P86" s="0" t="n">
        <f aca="false">C86*E86/100*E86/100*3.1416/4*B86</f>
        <v>-3.78119554455446E-007</v>
      </c>
      <c r="Q86" s="0" t="n">
        <f aca="false">Q85+O86</f>
        <v>0.678584345854551</v>
      </c>
      <c r="R86" s="0" t="n">
        <f aca="false">P86+R85</f>
        <v>0.000277182903486898</v>
      </c>
      <c r="S86" s="0" t="n">
        <f aca="false">G86/10000*C86*B86</f>
        <v>-2.83589665841584E-007</v>
      </c>
      <c r="T86" s="0" t="n">
        <f aca="false">T85+S86</f>
        <v>0.000251354020157095</v>
      </c>
      <c r="U86" s="0" t="n">
        <f aca="false">U85+C86*B86</f>
        <v>184.616628069842</v>
      </c>
      <c r="V86" s="0" t="n">
        <f aca="false">E86/2*B86</f>
        <v>0.5</v>
      </c>
      <c r="W86" s="142" t="n">
        <f aca="false">C86/(G86/10000)*$B$13*($F$21/F86)^($B$12)</f>
        <v>-0.00839075320534686</v>
      </c>
      <c r="X86" s="142" t="n">
        <f aca="false">W86/B86</f>
        <v>-0.00839075320534686</v>
      </c>
      <c r="Y86" s="142" t="n">
        <f aca="false">Y87+X86</f>
        <v>-0.968754519173621</v>
      </c>
      <c r="Z86" s="540" t="n">
        <f aca="false">-Y86*$B$4*2</f>
        <v>0.968754519173621</v>
      </c>
      <c r="AJ86" s="142"/>
    </row>
    <row r="87" customFormat="false" ht="15.75" hidden="false" customHeight="false" outlineLevel="0" collapsed="false">
      <c r="A87" s="0" t="n">
        <f aca="false">A86+1</f>
        <v>66</v>
      </c>
      <c r="B87" s="0" t="n">
        <f aca="false">MAX(B86/$G$5,1)</f>
        <v>1</v>
      </c>
      <c r="C87" s="0" t="n">
        <f aca="false">$B$10+A87*$G$4</f>
        <v>-0.00546534653465346</v>
      </c>
      <c r="D87" s="0" t="n">
        <f aca="false">(A87+1)*($B$10+$G$4*A87/2)</f>
        <v>1.07316089108911</v>
      </c>
      <c r="E87" s="0" t="n">
        <f aca="false">IF(A87&lt;$G$6,($B$6/10)*$G$5^(A87/$G$3),($B$6/10)*$G$5^($G$6/$G$3))</f>
        <v>1</v>
      </c>
      <c r="F87" s="0" t="n">
        <f aca="false">IF(A87&lt;$G$6,($B$7/10)*$G$5^(A87/$G$2),($B$7/10)*$G$5^($G$6/$G$2))</f>
        <v>0.866025403784438</v>
      </c>
      <c r="G87" s="0" t="n">
        <f aca="false">F87*F87*3.1416/4</f>
        <v>0.58905</v>
      </c>
      <c r="H87" s="0" t="n">
        <f aca="false">E87*E87*3.1416/4</f>
        <v>0.7854</v>
      </c>
      <c r="I87" s="0" t="n">
        <f aca="false">G87*B87</f>
        <v>0.58905</v>
      </c>
      <c r="J87" s="0" t="n">
        <f aca="false">H87*B87</f>
        <v>0.7854</v>
      </c>
      <c r="K87" s="0" t="n">
        <f aca="false">H87-G87</f>
        <v>0.196350000000001</v>
      </c>
      <c r="L87" s="0" t="n">
        <f aca="false">SQRT(4*K87/3.1416)</f>
        <v>0.500000000000001</v>
      </c>
      <c r="M87" s="0" t="n">
        <f aca="false">(E87-L87)/2</f>
        <v>0.25</v>
      </c>
      <c r="N87" s="0" t="n">
        <f aca="false">E87*3.1416</f>
        <v>3.1416</v>
      </c>
      <c r="O87" s="0" t="n">
        <f aca="false">C87*3.1416*E87*B87/100</f>
        <v>-0.000171699326732673</v>
      </c>
      <c r="P87" s="0" t="n">
        <f aca="false">C87*E87/100*E87/100*3.1416/4*B87</f>
        <v>-4.29248316831683E-007</v>
      </c>
      <c r="Q87" s="0" t="n">
        <f aca="false">Q86+O87</f>
        <v>0.678412646527819</v>
      </c>
      <c r="R87" s="0" t="n">
        <f aca="false">P87+R86</f>
        <v>0.000276753655170066</v>
      </c>
      <c r="S87" s="0" t="n">
        <f aca="false">G87/10000*C87*B87</f>
        <v>-3.21936237623762E-007</v>
      </c>
      <c r="T87" s="0" t="n">
        <f aca="false">T86+S87</f>
        <v>0.000251032083919471</v>
      </c>
      <c r="U87" s="0" t="n">
        <f aca="false">U86+C87*B87</f>
        <v>184.611162723307</v>
      </c>
      <c r="V87" s="0" t="n">
        <f aca="false">E87/2*B87</f>
        <v>0.5</v>
      </c>
      <c r="W87" s="142" t="n">
        <f aca="false">C87/(G87/10000)*$B$13*($F$21/F87)^($B$12)</f>
        <v>-0.00952533834313927</v>
      </c>
      <c r="X87" s="142" t="n">
        <f aca="false">W87/B87</f>
        <v>-0.00952533834313927</v>
      </c>
      <c r="Y87" s="142" t="n">
        <f aca="false">Y88+X87</f>
        <v>-0.960363765968274</v>
      </c>
      <c r="Z87" s="540" t="n">
        <f aca="false">-Y87*$B$4*2</f>
        <v>0.960363765968274</v>
      </c>
      <c r="AJ87" s="142"/>
    </row>
    <row r="88" customFormat="false" ht="15.75" hidden="false" customHeight="false" outlineLevel="0" collapsed="false">
      <c r="A88" s="0" t="n">
        <f aca="false">A87+1</f>
        <v>67</v>
      </c>
      <c r="B88" s="0" t="n">
        <f aca="false">MAX(B87/$G$5,1)</f>
        <v>1</v>
      </c>
      <c r="C88" s="0" t="n">
        <f aca="false">$B$10+A88*$G$4</f>
        <v>-0.00611633663366337</v>
      </c>
      <c r="D88" s="0" t="n">
        <f aca="false">(A88+1)*($B$10+$G$4*A88/2)</f>
        <v>1.06704455445545</v>
      </c>
      <c r="E88" s="0" t="n">
        <f aca="false">IF(A88&lt;$G$6,($B$6/10)*$G$5^(A88/$G$3),($B$6/10)*$G$5^($G$6/$G$3))</f>
        <v>1</v>
      </c>
      <c r="F88" s="0" t="n">
        <f aca="false">IF(A88&lt;$G$6,($B$7/10)*$G$5^(A88/$G$2),($B$7/10)*$G$5^($G$6/$G$2))</f>
        <v>0.866025403784438</v>
      </c>
      <c r="G88" s="0" t="n">
        <f aca="false">F88*F88*3.1416/4</f>
        <v>0.58905</v>
      </c>
      <c r="H88" s="0" t="n">
        <f aca="false">E88*E88*3.1416/4</f>
        <v>0.7854</v>
      </c>
      <c r="I88" s="0" t="n">
        <f aca="false">G88*B88</f>
        <v>0.58905</v>
      </c>
      <c r="J88" s="0" t="n">
        <f aca="false">H88*B88</f>
        <v>0.7854</v>
      </c>
      <c r="K88" s="0" t="n">
        <f aca="false">H88-G88</f>
        <v>0.196350000000001</v>
      </c>
      <c r="L88" s="0" t="n">
        <f aca="false">SQRT(4*K88/3.1416)</f>
        <v>0.500000000000001</v>
      </c>
      <c r="M88" s="0" t="n">
        <f aca="false">(E88-L88)/2</f>
        <v>0.25</v>
      </c>
      <c r="N88" s="0" t="n">
        <f aca="false">E88*3.1416</f>
        <v>3.1416</v>
      </c>
      <c r="O88" s="0" t="n">
        <f aca="false">C88*3.1416*E88*B88/100</f>
        <v>-0.000192150831683168</v>
      </c>
      <c r="P88" s="0" t="n">
        <f aca="false">C88*E88/100*E88/100*3.1416/4*B88</f>
        <v>-4.80377079207921E-007</v>
      </c>
      <c r="Q88" s="0" t="n">
        <f aca="false">Q87+O88</f>
        <v>0.678220495696136</v>
      </c>
      <c r="R88" s="0" t="n">
        <f aca="false">P88+R87</f>
        <v>0.000276273278090858</v>
      </c>
      <c r="S88" s="0" t="n">
        <f aca="false">G88/10000*C88*B88</f>
        <v>-3.6028280940594E-007</v>
      </c>
      <c r="T88" s="0" t="n">
        <f aca="false">T87+S88</f>
        <v>0.000250671801110065</v>
      </c>
      <c r="U88" s="0" t="n">
        <f aca="false">U87+C88*B88</f>
        <v>184.605046386673</v>
      </c>
      <c r="V88" s="0" t="n">
        <f aca="false">E88/2*B88</f>
        <v>0.5</v>
      </c>
      <c r="W88" s="142" t="n">
        <f aca="false">C88/(G88/10000)*$B$13*($F$21/F88)^($B$12)</f>
        <v>-0.0106599234809317</v>
      </c>
      <c r="X88" s="142" t="n">
        <f aca="false">W88/B88</f>
        <v>-0.0106599234809317</v>
      </c>
      <c r="Y88" s="142" t="n">
        <f aca="false">Y89+X88</f>
        <v>-0.950838427625135</v>
      </c>
      <c r="Z88" s="540" t="n">
        <f aca="false">-Y88*$B$4*2</f>
        <v>0.950838427625135</v>
      </c>
      <c r="AJ88" s="142"/>
    </row>
    <row r="89" customFormat="false" ht="15.75" hidden="false" customHeight="false" outlineLevel="0" collapsed="false">
      <c r="A89" s="0" t="n">
        <f aca="false">A88+1</f>
        <v>68</v>
      </c>
      <c r="B89" s="0" t="n">
        <f aca="false">MAX(B88/$G$5,1)</f>
        <v>1</v>
      </c>
      <c r="C89" s="0" t="n">
        <f aca="false">$B$10+A89*$G$4</f>
        <v>-0.00676732673267327</v>
      </c>
      <c r="D89" s="0" t="n">
        <f aca="false">(A89+1)*($B$10+$G$4*A89/2)</f>
        <v>1.06027722772277</v>
      </c>
      <c r="E89" s="0" t="n">
        <f aca="false">IF(A89&lt;$G$6,($B$6/10)*$G$5^(A89/$G$3),($B$6/10)*$G$5^($G$6/$G$3))</f>
        <v>1</v>
      </c>
      <c r="F89" s="0" t="n">
        <f aca="false">IF(A89&lt;$G$6,($B$7/10)*$G$5^(A89/$G$2),($B$7/10)*$G$5^($G$6/$G$2))</f>
        <v>0.866025403784438</v>
      </c>
      <c r="G89" s="0" t="n">
        <f aca="false">F89*F89*3.1416/4</f>
        <v>0.58905</v>
      </c>
      <c r="H89" s="0" t="n">
        <f aca="false">E89*E89*3.1416/4</f>
        <v>0.7854</v>
      </c>
      <c r="I89" s="0" t="n">
        <f aca="false">G89*B89</f>
        <v>0.58905</v>
      </c>
      <c r="J89" s="0" t="n">
        <f aca="false">H89*B89</f>
        <v>0.7854</v>
      </c>
      <c r="K89" s="0" t="n">
        <f aca="false">H89-G89</f>
        <v>0.196350000000001</v>
      </c>
      <c r="L89" s="0" t="n">
        <f aca="false">SQRT(4*K89/3.1416)</f>
        <v>0.500000000000001</v>
      </c>
      <c r="M89" s="0" t="n">
        <f aca="false">(E89-L89)/2</f>
        <v>0.25</v>
      </c>
      <c r="N89" s="0" t="n">
        <f aca="false">E89*3.1416</f>
        <v>3.1416</v>
      </c>
      <c r="O89" s="0" t="n">
        <f aca="false">C89*3.1416*E89*B89/100</f>
        <v>-0.000212602336633663</v>
      </c>
      <c r="P89" s="0" t="n">
        <f aca="false">C89*E89/100*E89/100*3.1416/4*B89</f>
        <v>-5.31505841584159E-007</v>
      </c>
      <c r="Q89" s="0" t="n">
        <f aca="false">Q88+O89</f>
        <v>0.678007893359502</v>
      </c>
      <c r="R89" s="0" t="n">
        <f aca="false">P89+R88</f>
        <v>0.000275741772249274</v>
      </c>
      <c r="S89" s="0" t="n">
        <f aca="false">G89/10000*C89*B89</f>
        <v>-3.98629381188118E-007</v>
      </c>
      <c r="T89" s="0" t="n">
        <f aca="false">T88+S89</f>
        <v>0.000250273171728877</v>
      </c>
      <c r="U89" s="0" t="n">
        <f aca="false">U88+C89*B89</f>
        <v>184.598279059941</v>
      </c>
      <c r="V89" s="0" t="n">
        <f aca="false">E89/2*B89</f>
        <v>0.5</v>
      </c>
      <c r="W89" s="142" t="n">
        <f aca="false">C89/(G89/10000)*$B$13*($F$21/F89)^($B$12)</f>
        <v>-0.0117945086187241</v>
      </c>
      <c r="X89" s="142" t="n">
        <f aca="false">W89/B89</f>
        <v>-0.0117945086187241</v>
      </c>
      <c r="Y89" s="142" t="n">
        <f aca="false">Y90+X89</f>
        <v>-0.940178504144203</v>
      </c>
      <c r="Z89" s="540" t="n">
        <f aca="false">-Y89*$B$4*2</f>
        <v>0.940178504144203</v>
      </c>
      <c r="AJ89" s="142"/>
    </row>
    <row r="90" customFormat="false" ht="15.75" hidden="false" customHeight="false" outlineLevel="0" collapsed="false">
      <c r="A90" s="0" t="n">
        <f aca="false">A89+1</f>
        <v>69</v>
      </c>
      <c r="B90" s="0" t="n">
        <f aca="false">MAX(B89/$G$5,1)</f>
        <v>1</v>
      </c>
      <c r="C90" s="0" t="n">
        <f aca="false">$B$10+A90*$G$4</f>
        <v>-0.00741831683168317</v>
      </c>
      <c r="D90" s="0" t="n">
        <f aca="false">(A90+1)*($B$10+$G$4*A90/2)</f>
        <v>1.05285891089109</v>
      </c>
      <c r="E90" s="0" t="n">
        <f aca="false">IF(A90&lt;$G$6,($B$6/10)*$G$5^(A90/$G$3),($B$6/10)*$G$5^($G$6/$G$3))</f>
        <v>1</v>
      </c>
      <c r="F90" s="0" t="n">
        <f aca="false">IF(A90&lt;$G$6,($B$7/10)*$G$5^(A90/$G$2),($B$7/10)*$G$5^($G$6/$G$2))</f>
        <v>0.866025403784438</v>
      </c>
      <c r="G90" s="0" t="n">
        <f aca="false">F90*F90*3.1416/4</f>
        <v>0.58905</v>
      </c>
      <c r="H90" s="0" t="n">
        <f aca="false">E90*E90*3.1416/4</f>
        <v>0.7854</v>
      </c>
      <c r="I90" s="0" t="n">
        <f aca="false">G90*B90</f>
        <v>0.58905</v>
      </c>
      <c r="J90" s="0" t="n">
        <f aca="false">H90*B90</f>
        <v>0.7854</v>
      </c>
      <c r="K90" s="0" t="n">
        <f aca="false">H90-G90</f>
        <v>0.196350000000001</v>
      </c>
      <c r="L90" s="0" t="n">
        <f aca="false">SQRT(4*K90/3.1416)</f>
        <v>0.500000000000001</v>
      </c>
      <c r="M90" s="0" t="n">
        <f aca="false">(E90-L90)/2</f>
        <v>0.25</v>
      </c>
      <c r="N90" s="0" t="n">
        <f aca="false">E90*3.1416</f>
        <v>3.1416</v>
      </c>
      <c r="O90" s="0" t="n">
        <f aca="false">C90*3.1416*E90*B90/100</f>
        <v>-0.000233053841584158</v>
      </c>
      <c r="P90" s="0" t="n">
        <f aca="false">C90*E90/100*E90/100*3.1416/4*B90</f>
        <v>-5.82634603960396E-007</v>
      </c>
      <c r="Q90" s="0" t="n">
        <f aca="false">Q89+O90</f>
        <v>0.677774839517918</v>
      </c>
      <c r="R90" s="0" t="n">
        <f aca="false">P90+R89</f>
        <v>0.000275159137645314</v>
      </c>
      <c r="S90" s="0" t="n">
        <f aca="false">G90/10000*C90*B90</f>
        <v>-4.36975952970297E-007</v>
      </c>
      <c r="T90" s="0" t="n">
        <f aca="false">T89+S90</f>
        <v>0.000249836195775907</v>
      </c>
      <c r="U90" s="0" t="n">
        <f aca="false">U89+C90*B90</f>
        <v>184.590860743109</v>
      </c>
      <c r="V90" s="0" t="n">
        <f aca="false">E90/2*B90</f>
        <v>0.5</v>
      </c>
      <c r="W90" s="142" t="n">
        <f aca="false">C90/(G90/10000)*$B$13*($F$21/F90)^($B$12)</f>
        <v>-0.0129290937565165</v>
      </c>
      <c r="X90" s="142" t="n">
        <f aca="false">W90/B90</f>
        <v>-0.0129290937565165</v>
      </c>
      <c r="Y90" s="142" t="n">
        <f aca="false">Y91+X90</f>
        <v>-0.928383995525479</v>
      </c>
      <c r="Z90" s="540" t="n">
        <f aca="false">-Y90*$B$4*2</f>
        <v>0.928383995525479</v>
      </c>
      <c r="AJ90" s="142"/>
    </row>
    <row r="91" customFormat="false" ht="15.75" hidden="false" customHeight="false" outlineLevel="0" collapsed="false">
      <c r="A91" s="0" t="n">
        <f aca="false">A90+1</f>
        <v>70</v>
      </c>
      <c r="B91" s="0" t="n">
        <f aca="false">MAX(B90/$G$5,1)</f>
        <v>1</v>
      </c>
      <c r="C91" s="0" t="n">
        <f aca="false">$B$10+A91*$G$4</f>
        <v>-0.00806930693069306</v>
      </c>
      <c r="D91" s="0" t="n">
        <f aca="false">(A91+1)*($B$10+$G$4*A91/2)</f>
        <v>1.0447896039604</v>
      </c>
      <c r="E91" s="0" t="n">
        <f aca="false">IF(A91&lt;$G$6,($B$6/10)*$G$5^(A91/$G$3),($B$6/10)*$G$5^($G$6/$G$3))</f>
        <v>1</v>
      </c>
      <c r="F91" s="0" t="n">
        <f aca="false">IF(A91&lt;$G$6,($B$7/10)*$G$5^(A91/$G$2),($B$7/10)*$G$5^($G$6/$G$2))</f>
        <v>0.866025403784438</v>
      </c>
      <c r="G91" s="0" t="n">
        <f aca="false">F91*F91*3.1416/4</f>
        <v>0.58905</v>
      </c>
      <c r="H91" s="0" t="n">
        <f aca="false">E91*E91*3.1416/4</f>
        <v>0.7854</v>
      </c>
      <c r="I91" s="0" t="n">
        <f aca="false">G91*B91</f>
        <v>0.58905</v>
      </c>
      <c r="J91" s="0" t="n">
        <f aca="false">H91*B91</f>
        <v>0.7854</v>
      </c>
      <c r="K91" s="0" t="n">
        <f aca="false">H91-G91</f>
        <v>0.196350000000001</v>
      </c>
      <c r="L91" s="0" t="n">
        <f aca="false">SQRT(4*K91/3.1416)</f>
        <v>0.500000000000001</v>
      </c>
      <c r="M91" s="0" t="n">
        <f aca="false">(E91-L91)/2</f>
        <v>0.25</v>
      </c>
      <c r="N91" s="0" t="n">
        <f aca="false">E91*3.1416</f>
        <v>3.1416</v>
      </c>
      <c r="O91" s="0" t="n">
        <f aca="false">C91*3.1416*E91*B91/100</f>
        <v>-0.000253505346534653</v>
      </c>
      <c r="P91" s="0" t="n">
        <f aca="false">C91*E91/100*E91/100*3.1416/4*B91</f>
        <v>-6.33763366336633E-007</v>
      </c>
      <c r="Q91" s="0" t="n">
        <f aca="false">Q90+O91</f>
        <v>0.677521334171383</v>
      </c>
      <c r="R91" s="0" t="n">
        <f aca="false">P91+R90</f>
        <v>0.000274525374278977</v>
      </c>
      <c r="S91" s="0" t="n">
        <f aca="false">G91/10000*C91*B91</f>
        <v>-4.75322524752475E-007</v>
      </c>
      <c r="T91" s="0" t="n">
        <f aca="false">T90+S91</f>
        <v>0.000249360873251154</v>
      </c>
      <c r="U91" s="0" t="n">
        <f aca="false">U90+C91*B91</f>
        <v>184.582791436178</v>
      </c>
      <c r="V91" s="0" t="n">
        <f aca="false">E91/2*B91</f>
        <v>0.5</v>
      </c>
      <c r="W91" s="142" t="n">
        <f aca="false">C91/(G91/10000)*$B$13*($F$21/F91)^($B$12)</f>
        <v>-0.0140636788943089</v>
      </c>
      <c r="X91" s="142" t="n">
        <f aca="false">W91/B91</f>
        <v>-0.0140636788943089</v>
      </c>
      <c r="Y91" s="142" t="n">
        <f aca="false">Y92+X91</f>
        <v>-0.915454901768962</v>
      </c>
      <c r="Z91" s="540" t="n">
        <f aca="false">-Y91*$B$4*2</f>
        <v>0.915454901768962</v>
      </c>
      <c r="AA91" s="142"/>
      <c r="AJ91" s="142"/>
    </row>
    <row r="92" customFormat="false" ht="15.75" hidden="false" customHeight="false" outlineLevel="0" collapsed="false">
      <c r="A92" s="0" t="n">
        <f aca="false">A91+1</f>
        <v>71</v>
      </c>
      <c r="B92" s="0" t="n">
        <f aca="false">MAX(B91/$G$5,1)</f>
        <v>1</v>
      </c>
      <c r="C92" s="0" t="n">
        <f aca="false">$B$10+A92*$G$4</f>
        <v>-0.00872029702970296</v>
      </c>
      <c r="D92" s="0" t="n">
        <f aca="false">(A92+1)*($B$10+$G$4*A92/2)</f>
        <v>1.03606930693069</v>
      </c>
      <c r="E92" s="0" t="n">
        <f aca="false">IF(A92&lt;$G$6,($B$6/10)*$G$5^(A92/$G$3),($B$6/10)*$G$5^($G$6/$G$3))</f>
        <v>1</v>
      </c>
      <c r="F92" s="0" t="n">
        <f aca="false">IF(A92&lt;$G$6,($B$7/10)*$G$5^(A92/$G$2),($B$7/10)*$G$5^($G$6/$G$2))</f>
        <v>0.866025403784438</v>
      </c>
      <c r="G92" s="0" t="n">
        <f aca="false">F92*F92*3.1416/4</f>
        <v>0.58905</v>
      </c>
      <c r="H92" s="0" t="n">
        <f aca="false">E92*E92*3.1416/4</f>
        <v>0.7854</v>
      </c>
      <c r="I92" s="0" t="n">
        <f aca="false">G92*B92</f>
        <v>0.58905</v>
      </c>
      <c r="J92" s="0" t="n">
        <f aca="false">H92*B92</f>
        <v>0.7854</v>
      </c>
      <c r="K92" s="0" t="n">
        <f aca="false">H92-G92</f>
        <v>0.196350000000001</v>
      </c>
      <c r="L92" s="0" t="n">
        <f aca="false">SQRT(4*K92/3.1416)</f>
        <v>0.500000000000001</v>
      </c>
      <c r="M92" s="0" t="n">
        <f aca="false">(E92-L92)/2</f>
        <v>0.25</v>
      </c>
      <c r="N92" s="0" t="n">
        <f aca="false">E92*3.1416</f>
        <v>3.1416</v>
      </c>
      <c r="O92" s="0" t="n">
        <f aca="false">C92*3.1416*E92*B92/100</f>
        <v>-0.000273956851485148</v>
      </c>
      <c r="P92" s="0" t="n">
        <f aca="false">C92*E92/100*E92/100*3.1416/4*B92</f>
        <v>-6.84892128712871E-007</v>
      </c>
      <c r="Q92" s="0" t="n">
        <f aca="false">Q91+O92</f>
        <v>0.677247377319898</v>
      </c>
      <c r="R92" s="0" t="n">
        <f aca="false">P92+R91</f>
        <v>0.000273840482150264</v>
      </c>
      <c r="S92" s="0" t="n">
        <f aca="false">G92/10000*C92*B92</f>
        <v>-5.13669096534653E-007</v>
      </c>
      <c r="T92" s="0" t="n">
        <f aca="false">T91+S92</f>
        <v>0.00024884720415462</v>
      </c>
      <c r="U92" s="0" t="n">
        <f aca="false">U91+C92*B92</f>
        <v>184.574071139148</v>
      </c>
      <c r="V92" s="0" t="n">
        <f aca="false">E92/2*B92</f>
        <v>0.5</v>
      </c>
      <c r="W92" s="142" t="n">
        <f aca="false">C92/(G92/10000)*$B$13*($F$21/F92)^($B$12)</f>
        <v>-0.0151982640321013</v>
      </c>
      <c r="X92" s="142" t="n">
        <f aca="false">W92/B92</f>
        <v>-0.0151982640321013</v>
      </c>
      <c r="Y92" s="142" t="n">
        <f aca="false">Y93+X92</f>
        <v>-0.901391222874653</v>
      </c>
      <c r="Z92" s="540" t="n">
        <f aca="false">-Y92*$B$4*2</f>
        <v>0.901391222874653</v>
      </c>
      <c r="AA92" s="142"/>
      <c r="AJ92" s="142"/>
    </row>
    <row r="93" customFormat="false" ht="15.75" hidden="false" customHeight="false" outlineLevel="0" collapsed="false">
      <c r="A93" s="0" t="n">
        <f aca="false">A92+1</f>
        <v>72</v>
      </c>
      <c r="B93" s="0" t="n">
        <f aca="false">MAX(B92/$G$5,1)</f>
        <v>1</v>
      </c>
      <c r="C93" s="0" t="n">
        <f aca="false">$B$10+A93*$G$4</f>
        <v>-0.00937128712871287</v>
      </c>
      <c r="D93" s="0" t="n">
        <f aca="false">(A93+1)*($B$10+$G$4*A93/2)</f>
        <v>1.02669801980198</v>
      </c>
      <c r="E93" s="0" t="n">
        <f aca="false">IF(A93&lt;$G$6,($B$6/10)*$G$5^(A93/$G$3),($B$6/10)*$G$5^($G$6/$G$3))</f>
        <v>1</v>
      </c>
      <c r="F93" s="0" t="n">
        <f aca="false">IF(A93&lt;$G$6,($B$7/10)*$G$5^(A93/$G$2),($B$7/10)*$G$5^($G$6/$G$2))</f>
        <v>0.866025403784438</v>
      </c>
      <c r="G93" s="0" t="n">
        <f aca="false">F93*F93*3.1416/4</f>
        <v>0.58905</v>
      </c>
      <c r="H93" s="0" t="n">
        <f aca="false">E93*E93*3.1416/4</f>
        <v>0.7854</v>
      </c>
      <c r="I93" s="0" t="n">
        <f aca="false">G93*B93</f>
        <v>0.58905</v>
      </c>
      <c r="J93" s="0" t="n">
        <f aca="false">H93*B93</f>
        <v>0.7854</v>
      </c>
      <c r="K93" s="0" t="n">
        <f aca="false">H93-G93</f>
        <v>0.196350000000001</v>
      </c>
      <c r="L93" s="0" t="n">
        <f aca="false">SQRT(4*K93/3.1416)</f>
        <v>0.500000000000001</v>
      </c>
      <c r="M93" s="0" t="n">
        <f aca="false">(E93-L93)/2</f>
        <v>0.25</v>
      </c>
      <c r="N93" s="0" t="n">
        <f aca="false">E93*3.1416</f>
        <v>3.1416</v>
      </c>
      <c r="O93" s="0" t="n">
        <f aca="false">C93*3.1416*E93*B93/100</f>
        <v>-0.000294408356435643</v>
      </c>
      <c r="P93" s="0" t="n">
        <f aca="false">C93*E93/100*E93/100*3.1416/4*B93</f>
        <v>-7.36020891089109E-007</v>
      </c>
      <c r="Q93" s="0" t="n">
        <f aca="false">Q92+O93</f>
        <v>0.676952968963462</v>
      </c>
      <c r="R93" s="0" t="n">
        <f aca="false">P93+R92</f>
        <v>0.000273104461259175</v>
      </c>
      <c r="S93" s="0" t="n">
        <f aca="false">G93/10000*C93*B93</f>
        <v>-5.52015668316831E-007</v>
      </c>
      <c r="T93" s="0" t="n">
        <f aca="false">T92+S93</f>
        <v>0.000248295188486303</v>
      </c>
      <c r="U93" s="0" t="n">
        <f aca="false">U92+C93*B93</f>
        <v>184.56469985202</v>
      </c>
      <c r="V93" s="0" t="n">
        <f aca="false">E93/2*B93</f>
        <v>0.5</v>
      </c>
      <c r="W93" s="142" t="n">
        <f aca="false">C93/(G93/10000)*$B$13*($F$21/F93)^($B$12)</f>
        <v>-0.0163328491698937</v>
      </c>
      <c r="X93" s="142" t="n">
        <f aca="false">W93/B93</f>
        <v>-0.0163328491698937</v>
      </c>
      <c r="Y93" s="142" t="n">
        <f aca="false">Y94+X93</f>
        <v>-0.886192958842552</v>
      </c>
      <c r="Z93" s="540" t="n">
        <f aca="false">-Y93*$B$4*2</f>
        <v>0.886192958842552</v>
      </c>
      <c r="AA93" s="142"/>
      <c r="AJ93" s="142"/>
    </row>
    <row r="94" customFormat="false" ht="15.75" hidden="false" customHeight="false" outlineLevel="0" collapsed="false">
      <c r="A94" s="0" t="n">
        <f aca="false">A93+1</f>
        <v>73</v>
      </c>
      <c r="B94" s="0" t="n">
        <f aca="false">MAX(B93/$G$5,1)</f>
        <v>1</v>
      </c>
      <c r="C94" s="0" t="n">
        <f aca="false">$B$10+A94*$G$4</f>
        <v>-0.0100222772277228</v>
      </c>
      <c r="D94" s="0" t="n">
        <f aca="false">(A94+1)*($B$10+$G$4*A94/2)</f>
        <v>1.01667574257426</v>
      </c>
      <c r="E94" s="0" t="n">
        <f aca="false">IF(A94&lt;$G$6,($B$6/10)*$G$5^(A94/$G$3),($B$6/10)*$G$5^($G$6/$G$3))</f>
        <v>1</v>
      </c>
      <c r="F94" s="0" t="n">
        <f aca="false">IF(A94&lt;$G$6,($B$7/10)*$G$5^(A94/$G$2),($B$7/10)*$G$5^($G$6/$G$2))</f>
        <v>0.866025403784438</v>
      </c>
      <c r="G94" s="0" t="n">
        <f aca="false">F94*F94*3.1416/4</f>
        <v>0.58905</v>
      </c>
      <c r="H94" s="0" t="n">
        <f aca="false">E94*E94*3.1416/4</f>
        <v>0.7854</v>
      </c>
      <c r="I94" s="0" t="n">
        <f aca="false">G94*B94</f>
        <v>0.58905</v>
      </c>
      <c r="J94" s="0" t="n">
        <f aca="false">H94*B94</f>
        <v>0.7854</v>
      </c>
      <c r="K94" s="0" t="n">
        <f aca="false">H94-G94</f>
        <v>0.196350000000001</v>
      </c>
      <c r="L94" s="0" t="n">
        <f aca="false">SQRT(4*K94/3.1416)</f>
        <v>0.500000000000001</v>
      </c>
      <c r="M94" s="0" t="n">
        <f aca="false">(E94-L94)/2</f>
        <v>0.25</v>
      </c>
      <c r="N94" s="0" t="n">
        <f aca="false">E94*3.1416</f>
        <v>3.1416</v>
      </c>
      <c r="O94" s="0" t="n">
        <f aca="false">C94*3.1416*E94*B94/100</f>
        <v>-0.000314859861386138</v>
      </c>
      <c r="P94" s="0" t="n">
        <f aca="false">C94*E94/100*E94/100*3.1416/4*B94</f>
        <v>-7.87149653465346E-007</v>
      </c>
      <c r="Q94" s="0" t="n">
        <f aca="false">Q93+O94</f>
        <v>0.676638109102076</v>
      </c>
      <c r="R94" s="0" t="n">
        <f aca="false">P94+R93</f>
        <v>0.00027231731160571</v>
      </c>
      <c r="S94" s="0" t="n">
        <f aca="false">G94/10000*C94*B94</f>
        <v>-5.90362240099009E-007</v>
      </c>
      <c r="T94" s="0" t="n">
        <f aca="false">T93+S94</f>
        <v>0.000247704826246204</v>
      </c>
      <c r="U94" s="0" t="n">
        <f aca="false">U93+C94*B94</f>
        <v>184.554677574792</v>
      </c>
      <c r="V94" s="0" t="n">
        <f aca="false">E94/2*B94</f>
        <v>0.5</v>
      </c>
      <c r="W94" s="142" t="n">
        <f aca="false">C94/(G94/10000)*$B$13*($F$21/F94)^($B$12)</f>
        <v>-0.0174674343076861</v>
      </c>
      <c r="X94" s="142" t="n">
        <f aca="false">W94/B94</f>
        <v>-0.0174674343076861</v>
      </c>
      <c r="Y94" s="142" t="n">
        <f aca="false">Y95+X94</f>
        <v>-0.869860109672658</v>
      </c>
      <c r="Z94" s="540" t="n">
        <f aca="false">-Y94*$B$4*2</f>
        <v>0.869860109672658</v>
      </c>
      <c r="AA94" s="142"/>
      <c r="AJ94" s="142"/>
    </row>
    <row r="95" customFormat="false" ht="15.75" hidden="false" customHeight="false" outlineLevel="0" collapsed="false">
      <c r="A95" s="0" t="n">
        <f aca="false">A94+1</f>
        <v>74</v>
      </c>
      <c r="B95" s="0" t="n">
        <f aca="false">MAX(B94/$G$5,1)</f>
        <v>1</v>
      </c>
      <c r="C95" s="0" t="n">
        <f aca="false">$B$10+A95*$G$4</f>
        <v>-0.0106732673267327</v>
      </c>
      <c r="D95" s="0" t="n">
        <f aca="false">(A95+1)*($B$10+$G$4*A95/2)</f>
        <v>1.00600247524753</v>
      </c>
      <c r="E95" s="0" t="n">
        <f aca="false">IF(A95&lt;$G$6,($B$6/10)*$G$5^(A95/$G$3),($B$6/10)*$G$5^($G$6/$G$3))</f>
        <v>1</v>
      </c>
      <c r="F95" s="0" t="n">
        <f aca="false">IF(A95&lt;$G$6,($B$7/10)*$G$5^(A95/$G$2),($B$7/10)*$G$5^($G$6/$G$2))</f>
        <v>0.866025403784438</v>
      </c>
      <c r="G95" s="0" t="n">
        <f aca="false">F95*F95*3.1416/4</f>
        <v>0.58905</v>
      </c>
      <c r="H95" s="0" t="n">
        <f aca="false">E95*E95*3.1416/4</f>
        <v>0.7854</v>
      </c>
      <c r="I95" s="0" t="n">
        <f aca="false">G95*B95</f>
        <v>0.58905</v>
      </c>
      <c r="J95" s="0" t="n">
        <f aca="false">H95*B95</f>
        <v>0.7854</v>
      </c>
      <c r="K95" s="0" t="n">
        <f aca="false">H95-G95</f>
        <v>0.196350000000001</v>
      </c>
      <c r="L95" s="0" t="n">
        <f aca="false">SQRT(4*K95/3.1416)</f>
        <v>0.500000000000001</v>
      </c>
      <c r="M95" s="0" t="n">
        <f aca="false">(E95-L95)/2</f>
        <v>0.25</v>
      </c>
      <c r="N95" s="0" t="n">
        <f aca="false">E95*3.1416</f>
        <v>3.1416</v>
      </c>
      <c r="O95" s="0" t="n">
        <f aca="false">C95*3.1416*E95*B95/100</f>
        <v>-0.000335311366336634</v>
      </c>
      <c r="P95" s="0" t="n">
        <f aca="false">C95*E95/100*E95/100*3.1416/4*B95</f>
        <v>-8.38278415841584E-007</v>
      </c>
      <c r="Q95" s="0" t="n">
        <f aca="false">Q94+O95</f>
        <v>0.67630279773574</v>
      </c>
      <c r="R95" s="0" t="n">
        <f aca="false">P95+R94</f>
        <v>0.000271479033189868</v>
      </c>
      <c r="S95" s="0" t="n">
        <f aca="false">G95/10000*C95*B95</f>
        <v>-6.28708811881187E-007</v>
      </c>
      <c r="T95" s="0" t="n">
        <f aca="false">T94+S95</f>
        <v>0.000247076117434323</v>
      </c>
      <c r="U95" s="0" t="n">
        <f aca="false">U94+C95*B95</f>
        <v>184.544004307465</v>
      </c>
      <c r="V95" s="0" t="n">
        <f aca="false">E95/2*B95</f>
        <v>0.5</v>
      </c>
      <c r="W95" s="142" t="n">
        <f aca="false">C95/(G95/10000)*$B$13*($F$21/F95)^($B$12)</f>
        <v>-0.0186020194454785</v>
      </c>
      <c r="X95" s="142" t="n">
        <f aca="false">W95/B95</f>
        <v>-0.0186020194454785</v>
      </c>
      <c r="Y95" s="142" t="n">
        <f aca="false">Y96+X95</f>
        <v>-0.852392675364972</v>
      </c>
      <c r="Z95" s="540" t="n">
        <f aca="false">-Y95*$B$4*2</f>
        <v>0.852392675364972</v>
      </c>
      <c r="AA95" s="142"/>
      <c r="AJ95" s="142"/>
    </row>
    <row r="96" customFormat="false" ht="15.75" hidden="false" customHeight="false" outlineLevel="0" collapsed="false">
      <c r="A96" s="0" t="n">
        <f aca="false">A95+1</f>
        <v>75</v>
      </c>
      <c r="B96" s="0" t="n">
        <f aca="false">MAX(B95/$G$5,1)</f>
        <v>1</v>
      </c>
      <c r="C96" s="0" t="n">
        <f aca="false">$B$10+A96*$G$4</f>
        <v>-0.0113242574257426</v>
      </c>
      <c r="D96" s="0" t="n">
        <f aca="false">(A96+1)*($B$10+$G$4*A96/2)</f>
        <v>0.994678217821782</v>
      </c>
      <c r="E96" s="0" t="n">
        <f aca="false">IF(A96&lt;$G$6,($B$6/10)*$G$5^(A96/$G$3),($B$6/10)*$G$5^($G$6/$G$3))</f>
        <v>1</v>
      </c>
      <c r="F96" s="0" t="n">
        <f aca="false">IF(A96&lt;$G$6,($B$7/10)*$G$5^(A96/$G$2),($B$7/10)*$G$5^($G$6/$G$2))</f>
        <v>0.866025403784438</v>
      </c>
      <c r="G96" s="0" t="n">
        <f aca="false">F96*F96*3.1416/4</f>
        <v>0.58905</v>
      </c>
      <c r="H96" s="0" t="n">
        <f aca="false">E96*E96*3.1416/4</f>
        <v>0.7854</v>
      </c>
      <c r="I96" s="0" t="n">
        <f aca="false">G96*B96</f>
        <v>0.58905</v>
      </c>
      <c r="J96" s="0" t="n">
        <f aca="false">H96*B96</f>
        <v>0.7854</v>
      </c>
      <c r="K96" s="0" t="n">
        <f aca="false">H96-G96</f>
        <v>0.196350000000001</v>
      </c>
      <c r="L96" s="0" t="n">
        <f aca="false">SQRT(4*K96/3.1416)</f>
        <v>0.500000000000001</v>
      </c>
      <c r="M96" s="0" t="n">
        <f aca="false">(E96-L96)/2</f>
        <v>0.25</v>
      </c>
      <c r="N96" s="0" t="n">
        <f aca="false">E96*3.1416</f>
        <v>3.1416</v>
      </c>
      <c r="O96" s="0" t="n">
        <f aca="false">C96*3.1416*E96*B96/100</f>
        <v>-0.000355762871287129</v>
      </c>
      <c r="P96" s="0" t="n">
        <f aca="false">C96*E96/100*E96/100*3.1416/4*B96</f>
        <v>-8.89407178217822E-007</v>
      </c>
      <c r="Q96" s="0" t="n">
        <f aca="false">Q95+O96</f>
        <v>0.675947034864452</v>
      </c>
      <c r="R96" s="0" t="n">
        <f aca="false">P96+R95</f>
        <v>0.000270589626011651</v>
      </c>
      <c r="S96" s="0" t="n">
        <f aca="false">G96/10000*C96*B96</f>
        <v>-6.67055383663366E-007</v>
      </c>
      <c r="T96" s="0" t="n">
        <f aca="false">T95+S96</f>
        <v>0.000246409062050659</v>
      </c>
      <c r="U96" s="0" t="n">
        <f aca="false">U95+C96*B96</f>
        <v>184.53268005004</v>
      </c>
      <c r="V96" s="0" t="n">
        <f aca="false">E96/2*B96</f>
        <v>0.5</v>
      </c>
      <c r="W96" s="142" t="n">
        <f aca="false">C96/(G96/10000)*$B$13*($F$21/F96)^($B$12)</f>
        <v>-0.0197366045832709</v>
      </c>
      <c r="X96" s="142" t="n">
        <f aca="false">W96/B96</f>
        <v>-0.0197366045832709</v>
      </c>
      <c r="Y96" s="142" t="n">
        <f aca="false">Y97+X96</f>
        <v>-0.833790655919494</v>
      </c>
      <c r="Z96" s="540" t="n">
        <f aca="false">-Y96*$B$4*2</f>
        <v>0.833790655919494</v>
      </c>
      <c r="AA96" s="142"/>
      <c r="AJ96" s="142"/>
    </row>
    <row r="97" customFormat="false" ht="15.75" hidden="false" customHeight="false" outlineLevel="0" collapsed="false">
      <c r="A97" s="0" t="n">
        <f aca="false">A96+1</f>
        <v>76</v>
      </c>
      <c r="B97" s="0" t="n">
        <f aca="false">MAX(B96/$G$5,1)</f>
        <v>1</v>
      </c>
      <c r="C97" s="0" t="n">
        <f aca="false">$B$10+A97*$G$4</f>
        <v>-0.0119752475247525</v>
      </c>
      <c r="D97" s="0" t="n">
        <f aca="false">(A97+1)*($B$10+$G$4*A97/2)</f>
        <v>0.98270297029703</v>
      </c>
      <c r="E97" s="0" t="n">
        <f aca="false">IF(A97&lt;$G$6,($B$6/10)*$G$5^(A97/$G$3),($B$6/10)*$G$5^($G$6/$G$3))</f>
        <v>1</v>
      </c>
      <c r="F97" s="0" t="n">
        <f aca="false">IF(A97&lt;$G$6,($B$7/10)*$G$5^(A97/$G$2),($B$7/10)*$G$5^($G$6/$G$2))</f>
        <v>0.866025403784438</v>
      </c>
      <c r="G97" s="0" t="n">
        <f aca="false">F97*F97*3.1416/4</f>
        <v>0.58905</v>
      </c>
      <c r="H97" s="0" t="n">
        <f aca="false">E97*E97*3.1416/4</f>
        <v>0.7854</v>
      </c>
      <c r="I97" s="0" t="n">
        <f aca="false">G97*B97</f>
        <v>0.58905</v>
      </c>
      <c r="J97" s="0" t="n">
        <f aca="false">H97*B97</f>
        <v>0.7854</v>
      </c>
      <c r="K97" s="0" t="n">
        <f aca="false">H97-G97</f>
        <v>0.196350000000001</v>
      </c>
      <c r="L97" s="0" t="n">
        <f aca="false">SQRT(4*K97/3.1416)</f>
        <v>0.500000000000001</v>
      </c>
      <c r="M97" s="0" t="n">
        <f aca="false">(E97-L97)/2</f>
        <v>0.25</v>
      </c>
      <c r="N97" s="0" t="n">
        <f aca="false">E97*3.1416</f>
        <v>3.1416</v>
      </c>
      <c r="O97" s="0" t="n">
        <f aca="false">C97*3.1416*E97*B97/100</f>
        <v>-0.000376214376237624</v>
      </c>
      <c r="P97" s="0" t="n">
        <f aca="false">C97*E97/100*E97/100*3.1416/4*B97</f>
        <v>-9.4053594059406E-007</v>
      </c>
      <c r="Q97" s="0" t="n">
        <f aca="false">Q96+O97</f>
        <v>0.675570820488215</v>
      </c>
      <c r="R97" s="0" t="n">
        <f aca="false">P97+R96</f>
        <v>0.000269649090071057</v>
      </c>
      <c r="S97" s="0" t="n">
        <f aca="false">G97/10000*C97*B97</f>
        <v>-7.05401955445544E-007</v>
      </c>
      <c r="T97" s="0" t="n">
        <f aca="false">T96+S97</f>
        <v>0.000245703660095214</v>
      </c>
      <c r="U97" s="0" t="n">
        <f aca="false">U96+C97*B97</f>
        <v>184.520704802515</v>
      </c>
      <c r="V97" s="0" t="n">
        <f aca="false">E97/2*B97</f>
        <v>0.5</v>
      </c>
      <c r="W97" s="142" t="n">
        <f aca="false">C97/(G97/10000)*$B$13*($F$21/F97)^($B$12)</f>
        <v>-0.0208711897210633</v>
      </c>
      <c r="X97" s="142" t="n">
        <f aca="false">W97/B97</f>
        <v>-0.0208711897210633</v>
      </c>
      <c r="Y97" s="142" t="n">
        <f aca="false">Y98+X97</f>
        <v>-0.814054051336223</v>
      </c>
      <c r="Z97" s="540" t="n">
        <f aca="false">-Y97*$B$4*2</f>
        <v>0.814054051336223</v>
      </c>
      <c r="AA97" s="142"/>
      <c r="AJ97" s="142"/>
    </row>
    <row r="98" customFormat="false" ht="15.75" hidden="false" customHeight="false" outlineLevel="0" collapsed="false">
      <c r="A98" s="0" t="n">
        <f aca="false">A97+1</f>
        <v>77</v>
      </c>
      <c r="B98" s="0" t="n">
        <f aca="false">MAX(B97/$G$5,1)</f>
        <v>1</v>
      </c>
      <c r="C98" s="0" t="n">
        <f aca="false">$B$10+A98*$G$4</f>
        <v>-0.0126262376237624</v>
      </c>
      <c r="D98" s="0" t="n">
        <f aca="false">(A98+1)*($B$10+$G$4*A98/2)</f>
        <v>0.970076732673267</v>
      </c>
      <c r="E98" s="0" t="n">
        <f aca="false">IF(A98&lt;$G$6,($B$6/10)*$G$5^(A98/$G$3),($B$6/10)*$G$5^($G$6/$G$3))</f>
        <v>1</v>
      </c>
      <c r="F98" s="0" t="n">
        <f aca="false">IF(A98&lt;$G$6,($B$7/10)*$G$5^(A98/$G$2),($B$7/10)*$G$5^($G$6/$G$2))</f>
        <v>0.866025403784438</v>
      </c>
      <c r="G98" s="0" t="n">
        <f aca="false">F98*F98*3.1416/4</f>
        <v>0.58905</v>
      </c>
      <c r="H98" s="0" t="n">
        <f aca="false">E98*E98*3.1416/4</f>
        <v>0.7854</v>
      </c>
      <c r="I98" s="0" t="n">
        <f aca="false">G98*B98</f>
        <v>0.58905</v>
      </c>
      <c r="J98" s="0" t="n">
        <f aca="false">H98*B98</f>
        <v>0.7854</v>
      </c>
      <c r="K98" s="0" t="n">
        <f aca="false">H98-G98</f>
        <v>0.196350000000001</v>
      </c>
      <c r="L98" s="0" t="n">
        <f aca="false">SQRT(4*K98/3.1416)</f>
        <v>0.500000000000001</v>
      </c>
      <c r="M98" s="0" t="n">
        <f aca="false">(E98-L98)/2</f>
        <v>0.25</v>
      </c>
      <c r="N98" s="0" t="n">
        <f aca="false">E98*3.1416</f>
        <v>3.1416</v>
      </c>
      <c r="O98" s="0" t="n">
        <f aca="false">C98*3.1416*E98*B98/100</f>
        <v>-0.000396665881188119</v>
      </c>
      <c r="P98" s="0" t="n">
        <f aca="false">C98*E98/100*E98/100*3.1416/4*B98</f>
        <v>-9.91664702970298E-007</v>
      </c>
      <c r="Q98" s="0" t="n">
        <f aca="false">Q97+O98</f>
        <v>0.675174154607027</v>
      </c>
      <c r="R98" s="0" t="n">
        <f aca="false">P98+R97</f>
        <v>0.000268657425368086</v>
      </c>
      <c r="S98" s="0" t="n">
        <f aca="false">G98/10000*C98*B98</f>
        <v>-7.43748527227722E-007</v>
      </c>
      <c r="T98" s="0" t="n">
        <f aca="false">T97+S98</f>
        <v>0.000244959911567986</v>
      </c>
      <c r="U98" s="0" t="n">
        <f aca="false">U97+C98*B98</f>
        <v>184.508078564891</v>
      </c>
      <c r="V98" s="0" t="n">
        <f aca="false">E98/2*B98</f>
        <v>0.5</v>
      </c>
      <c r="W98" s="142" t="n">
        <f aca="false">C98/(G98/10000)*$B$13*($F$21/F98)^($B$12)</f>
        <v>-0.0220057748588557</v>
      </c>
      <c r="X98" s="142" t="n">
        <f aca="false">W98/B98</f>
        <v>-0.0220057748588557</v>
      </c>
      <c r="Y98" s="142" t="n">
        <f aca="false">Y99+X98</f>
        <v>-0.79318286161516</v>
      </c>
      <c r="Z98" s="540" t="n">
        <f aca="false">-Y98*$B$4*2</f>
        <v>0.79318286161516</v>
      </c>
      <c r="AA98" s="142"/>
      <c r="AJ98" s="142"/>
    </row>
    <row r="99" customFormat="false" ht="15.75" hidden="false" customHeight="false" outlineLevel="0" collapsed="false">
      <c r="A99" s="0" t="n">
        <f aca="false">A98+1</f>
        <v>78</v>
      </c>
      <c r="B99" s="0" t="n">
        <f aca="false">MAX(B98/$G$5,1)</f>
        <v>1</v>
      </c>
      <c r="C99" s="0" t="n">
        <f aca="false">$B$10+A99*$G$4</f>
        <v>-0.0132772277227723</v>
      </c>
      <c r="D99" s="0" t="n">
        <f aca="false">(A99+1)*($B$10+$G$4*A99/2)</f>
        <v>0.956799504950495</v>
      </c>
      <c r="E99" s="0" t="n">
        <f aca="false">IF(A99&lt;$G$6,($B$6/10)*$G$5^(A99/$G$3),($B$6/10)*$G$5^($G$6/$G$3))</f>
        <v>1</v>
      </c>
      <c r="F99" s="0" t="n">
        <f aca="false">IF(A99&lt;$G$6,($B$7/10)*$G$5^(A99/$G$2),($B$7/10)*$G$5^($G$6/$G$2))</f>
        <v>0.866025403784438</v>
      </c>
      <c r="G99" s="0" t="n">
        <f aca="false">F99*F99*3.1416/4</f>
        <v>0.58905</v>
      </c>
      <c r="H99" s="0" t="n">
        <f aca="false">E99*E99*3.1416/4</f>
        <v>0.7854</v>
      </c>
      <c r="I99" s="0" t="n">
        <f aca="false">G99*B99</f>
        <v>0.58905</v>
      </c>
      <c r="J99" s="0" t="n">
        <f aca="false">H99*B99</f>
        <v>0.7854</v>
      </c>
      <c r="K99" s="0" t="n">
        <f aca="false">H99-G99</f>
        <v>0.196350000000001</v>
      </c>
      <c r="L99" s="0" t="n">
        <f aca="false">SQRT(4*K99/3.1416)</f>
        <v>0.500000000000001</v>
      </c>
      <c r="M99" s="0" t="n">
        <f aca="false">(E99-L99)/2</f>
        <v>0.25</v>
      </c>
      <c r="N99" s="0" t="n">
        <f aca="false">E99*3.1416</f>
        <v>3.1416</v>
      </c>
      <c r="O99" s="0" t="n">
        <f aca="false">C99*3.1416*E99*B99/100</f>
        <v>-0.000417117386138614</v>
      </c>
      <c r="P99" s="0" t="n">
        <f aca="false">C99*E99/100*E99/100*3.1416/4*B99</f>
        <v>-1.04279346534654E-006</v>
      </c>
      <c r="Q99" s="0" t="n">
        <f aca="false">Q98+O99</f>
        <v>0.674757037220888</v>
      </c>
      <c r="R99" s="0" t="n">
        <f aca="false">P99+R98</f>
        <v>0.00026761463190274</v>
      </c>
      <c r="S99" s="0" t="n">
        <f aca="false">G99/10000*C99*B99</f>
        <v>-7.820950990099E-007</v>
      </c>
      <c r="T99" s="0" t="n">
        <f aca="false">T98+S99</f>
        <v>0.000244177816468976</v>
      </c>
      <c r="U99" s="0" t="n">
        <f aca="false">U98+C99*B99</f>
        <v>184.494801337168</v>
      </c>
      <c r="V99" s="0" t="n">
        <f aca="false">E99/2*B99</f>
        <v>0.5</v>
      </c>
      <c r="W99" s="142" t="n">
        <f aca="false">C99/(G99/10000)*$B$13*($F$21/F99)^($B$12)</f>
        <v>-0.0231403599966481</v>
      </c>
      <c r="X99" s="142" t="n">
        <f aca="false">W99/B99</f>
        <v>-0.0231403599966481</v>
      </c>
      <c r="Y99" s="142" t="n">
        <f aca="false">Y100+X99</f>
        <v>-0.771177086756304</v>
      </c>
      <c r="Z99" s="540" t="n">
        <f aca="false">-Y99*$B$4*2</f>
        <v>0.771177086756304</v>
      </c>
      <c r="AA99" s="142"/>
      <c r="AJ99" s="142"/>
    </row>
    <row r="100" customFormat="false" ht="15.75" hidden="false" customHeight="false" outlineLevel="0" collapsed="false">
      <c r="A100" s="0" t="n">
        <f aca="false">A99+1</f>
        <v>79</v>
      </c>
      <c r="B100" s="0" t="n">
        <f aca="false">MAX(B99/$G$5,1)</f>
        <v>1</v>
      </c>
      <c r="C100" s="0" t="n">
        <f aca="false">$B$10+A100*$G$4</f>
        <v>-0.0139282178217822</v>
      </c>
      <c r="D100" s="0" t="n">
        <f aca="false">(A100+1)*($B$10+$G$4*A100/2)</f>
        <v>0.942871287128713</v>
      </c>
      <c r="E100" s="0" t="n">
        <f aca="false">IF(A100&lt;$G$6,($B$6/10)*$G$5^(A100/$G$3),($B$6/10)*$G$5^($G$6/$G$3))</f>
        <v>1</v>
      </c>
      <c r="F100" s="0" t="n">
        <f aca="false">IF(A100&lt;$G$6,($B$7/10)*$G$5^(A100/$G$2),($B$7/10)*$G$5^($G$6/$G$2))</f>
        <v>0.866025403784438</v>
      </c>
      <c r="G100" s="0" t="n">
        <f aca="false">F100*F100*3.1416/4</f>
        <v>0.58905</v>
      </c>
      <c r="H100" s="0" t="n">
        <f aca="false">E100*E100*3.1416/4</f>
        <v>0.7854</v>
      </c>
      <c r="I100" s="0" t="n">
        <f aca="false">G100*B100</f>
        <v>0.58905</v>
      </c>
      <c r="J100" s="0" t="n">
        <f aca="false">H100*B100</f>
        <v>0.7854</v>
      </c>
      <c r="K100" s="0" t="n">
        <f aca="false">H100-G100</f>
        <v>0.196350000000001</v>
      </c>
      <c r="L100" s="0" t="n">
        <f aca="false">SQRT(4*K100/3.1416)</f>
        <v>0.500000000000001</v>
      </c>
      <c r="M100" s="0" t="n">
        <f aca="false">(E100-L100)/2</f>
        <v>0.25</v>
      </c>
      <c r="N100" s="0" t="n">
        <f aca="false">E100*3.1416</f>
        <v>3.1416</v>
      </c>
      <c r="O100" s="0" t="n">
        <f aca="false">C100*3.1416*E100*B100/100</f>
        <v>-0.000437568891089109</v>
      </c>
      <c r="P100" s="0" t="n">
        <f aca="false">C100*E100/100*E100/100*3.1416/4*B100</f>
        <v>-1.09392222772277E-006</v>
      </c>
      <c r="Q100" s="0" t="n">
        <f aca="false">Q99+O100</f>
        <v>0.674319468329799</v>
      </c>
      <c r="R100" s="0" t="n">
        <f aca="false">P100+R99</f>
        <v>0.000266520709675017</v>
      </c>
      <c r="S100" s="0" t="n">
        <f aca="false">G100/10000*C100*B100</f>
        <v>-8.20441670792079E-007</v>
      </c>
      <c r="T100" s="0" t="n">
        <f aca="false">T99+S100</f>
        <v>0.000243357374798184</v>
      </c>
      <c r="U100" s="0" t="n">
        <f aca="false">U99+C100*B100</f>
        <v>184.480873119347</v>
      </c>
      <c r="V100" s="0" t="n">
        <f aca="false">E100/2*B100</f>
        <v>0.5</v>
      </c>
      <c r="W100" s="142" t="n">
        <f aca="false">C100/(G100/10000)*$B$13*($F$21/F100)^($B$12)</f>
        <v>-0.0242749451344405</v>
      </c>
      <c r="X100" s="142" t="n">
        <f aca="false">W100/B100</f>
        <v>-0.0242749451344405</v>
      </c>
      <c r="Y100" s="142" t="n">
        <f aca="false">Y101+X100</f>
        <v>-0.748036726759656</v>
      </c>
      <c r="Z100" s="540" t="n">
        <f aca="false">-Y100*$B$4*2</f>
        <v>0.748036726759656</v>
      </c>
      <c r="AA100" s="142"/>
      <c r="AJ100" s="142"/>
    </row>
    <row r="101" customFormat="false" ht="15.75" hidden="false" customHeight="false" outlineLevel="0" collapsed="false">
      <c r="A101" s="0" t="n">
        <f aca="false">A100+1</f>
        <v>80</v>
      </c>
      <c r="B101" s="0" t="n">
        <f aca="false">MAX(B100/$G$5,1)</f>
        <v>1</v>
      </c>
      <c r="C101" s="0" t="n">
        <f aca="false">$B$10+A101*$G$4</f>
        <v>-0.0145792079207921</v>
      </c>
      <c r="D101" s="0" t="n">
        <f aca="false">(A101+1)*($B$10+$G$4*A101/2)</f>
        <v>0.928292079207921</v>
      </c>
      <c r="E101" s="0" t="n">
        <f aca="false">IF(A101&lt;$G$6,($B$6/10)*$G$5^(A101/$G$3),($B$6/10)*$G$5^($G$6/$G$3))</f>
        <v>1</v>
      </c>
      <c r="F101" s="0" t="n">
        <f aca="false">IF(A101&lt;$G$6,($B$7/10)*$G$5^(A101/$G$2),($B$7/10)*$G$5^($G$6/$G$2))</f>
        <v>0.866025403784438</v>
      </c>
      <c r="G101" s="0" t="n">
        <f aca="false">F101*F101*3.1416/4</f>
        <v>0.58905</v>
      </c>
      <c r="H101" s="0" t="n">
        <f aca="false">E101*E101*3.1416/4</f>
        <v>0.7854</v>
      </c>
      <c r="I101" s="0" t="n">
        <f aca="false">G101*B101</f>
        <v>0.58905</v>
      </c>
      <c r="J101" s="0" t="n">
        <f aca="false">H101*B101</f>
        <v>0.7854</v>
      </c>
      <c r="K101" s="0" t="n">
        <f aca="false">H101-G101</f>
        <v>0.196350000000001</v>
      </c>
      <c r="L101" s="0" t="n">
        <f aca="false">SQRT(4*K101/3.1416)</f>
        <v>0.500000000000001</v>
      </c>
      <c r="M101" s="0" t="n">
        <f aca="false">(E101-L101)/2</f>
        <v>0.25</v>
      </c>
      <c r="N101" s="0" t="n">
        <f aca="false">E101*3.1416</f>
        <v>3.1416</v>
      </c>
      <c r="O101" s="0" t="n">
        <f aca="false">C101*3.1416*E101*B101/100</f>
        <v>-0.000458020396039604</v>
      </c>
      <c r="P101" s="0" t="n">
        <f aca="false">C101*E101/100*E101/100*3.1416/4*B101</f>
        <v>-1.14505099009901E-006</v>
      </c>
      <c r="Q101" s="0" t="n">
        <f aca="false">Q100+O101</f>
        <v>0.673861447933759</v>
      </c>
      <c r="R101" s="0" t="n">
        <f aca="false">P101+R100</f>
        <v>0.000265375658684918</v>
      </c>
      <c r="S101" s="0" t="n">
        <f aca="false">G101/10000*C101*B101</f>
        <v>-8.58788242574256E-007</v>
      </c>
      <c r="T101" s="0" t="n">
        <f aca="false">T100+S101</f>
        <v>0.00024249858655561</v>
      </c>
      <c r="U101" s="0" t="n">
        <f aca="false">U100+C101*B101</f>
        <v>184.466293911426</v>
      </c>
      <c r="V101" s="0" t="n">
        <f aca="false">E101/2*B101</f>
        <v>0.5</v>
      </c>
      <c r="W101" s="142" t="n">
        <f aca="false">C101/(G101/10000)*$B$13*($F$21/F101)^($B$12)</f>
        <v>-0.0254095302722329</v>
      </c>
      <c r="X101" s="142" t="n">
        <f aca="false">W101/B101</f>
        <v>-0.0254095302722329</v>
      </c>
      <c r="Y101" s="142" t="n">
        <f aca="false">Y102+X101</f>
        <v>-0.723761781625215</v>
      </c>
      <c r="Z101" s="540" t="n">
        <f aca="false">-Y101*$B$4*2</f>
        <v>0.723761781625215</v>
      </c>
      <c r="AA101" s="142"/>
      <c r="AJ101" s="142"/>
    </row>
    <row r="102" customFormat="false" ht="15.75" hidden="false" customHeight="false" outlineLevel="0" collapsed="false">
      <c r="A102" s="0" t="n">
        <f aca="false">A101+1</f>
        <v>81</v>
      </c>
      <c r="B102" s="0" t="n">
        <f aca="false">MAX(B101/$G$5,1)</f>
        <v>1</v>
      </c>
      <c r="C102" s="0" t="n">
        <f aca="false">$B$10+A102*$G$4</f>
        <v>-0.015230198019802</v>
      </c>
      <c r="D102" s="0" t="n">
        <f aca="false">(A102+1)*($B$10+$G$4*A102/2)</f>
        <v>0.913061881188119</v>
      </c>
      <c r="E102" s="0" t="n">
        <f aca="false">IF(A102&lt;$G$6,($B$6/10)*$G$5^(A102/$G$3),($B$6/10)*$G$5^($G$6/$G$3))</f>
        <v>1</v>
      </c>
      <c r="F102" s="0" t="n">
        <f aca="false">IF(A102&lt;$G$6,($B$7/10)*$G$5^(A102/$G$2),($B$7/10)*$G$5^($G$6/$G$2))</f>
        <v>0.866025403784438</v>
      </c>
      <c r="G102" s="0" t="n">
        <f aca="false">F102*F102*3.1416/4</f>
        <v>0.58905</v>
      </c>
      <c r="H102" s="0" t="n">
        <f aca="false">E102*E102*3.1416/4</f>
        <v>0.7854</v>
      </c>
      <c r="I102" s="0" t="n">
        <f aca="false">G102*B102</f>
        <v>0.58905</v>
      </c>
      <c r="J102" s="0" t="n">
        <f aca="false">H102*B102</f>
        <v>0.7854</v>
      </c>
      <c r="K102" s="0" t="n">
        <f aca="false">H102-G102</f>
        <v>0.196350000000001</v>
      </c>
      <c r="L102" s="0" t="n">
        <f aca="false">SQRT(4*K102/3.1416)</f>
        <v>0.500000000000001</v>
      </c>
      <c r="M102" s="0" t="n">
        <f aca="false">(E102-L102)/2</f>
        <v>0.25</v>
      </c>
      <c r="N102" s="0" t="n">
        <f aca="false">E102*3.1416</f>
        <v>3.1416</v>
      </c>
      <c r="O102" s="0" t="n">
        <f aca="false">C102*3.1416*E102*B102/100</f>
        <v>-0.000478471900990099</v>
      </c>
      <c r="P102" s="0" t="n">
        <f aca="false">C102*E102/100*E102/100*3.1416/4*B102</f>
        <v>-1.19617975247525E-006</v>
      </c>
      <c r="Q102" s="0" t="n">
        <f aca="false">Q101+O102</f>
        <v>0.673382976032769</v>
      </c>
      <c r="R102" s="0" t="n">
        <f aca="false">P102+R101</f>
        <v>0.000264179478932443</v>
      </c>
      <c r="S102" s="0" t="n">
        <f aca="false">G102/10000*C102*B102</f>
        <v>-8.97134814356435E-007</v>
      </c>
      <c r="T102" s="0" t="n">
        <f aca="false">T101+S102</f>
        <v>0.000241601451741253</v>
      </c>
      <c r="U102" s="0" t="n">
        <f aca="false">U101+C102*B102</f>
        <v>184.451063713406</v>
      </c>
      <c r="V102" s="0" t="n">
        <f aca="false">E102/2*B102</f>
        <v>0.5</v>
      </c>
      <c r="W102" s="142" t="n">
        <f aca="false">C102/(G102/10000)*$B$13*($F$21/F102)^($B$12)</f>
        <v>-0.0265441154100253</v>
      </c>
      <c r="X102" s="142" t="n">
        <f aca="false">W102/B102</f>
        <v>-0.0265441154100253</v>
      </c>
      <c r="Y102" s="142" t="n">
        <f aca="false">Y103+X102</f>
        <v>-0.698352251352982</v>
      </c>
      <c r="Z102" s="540" t="n">
        <f aca="false">-Y102*$B$4*2</f>
        <v>0.698352251352982</v>
      </c>
      <c r="AA102" s="142"/>
      <c r="AJ102" s="142"/>
    </row>
    <row r="103" customFormat="false" ht="15.75" hidden="false" customHeight="false" outlineLevel="0" collapsed="false">
      <c r="A103" s="0" t="n">
        <f aca="false">A102+1</f>
        <v>82</v>
      </c>
      <c r="B103" s="0" t="n">
        <f aca="false">MAX(B102/$G$5,1)</f>
        <v>1</v>
      </c>
      <c r="C103" s="0" t="n">
        <f aca="false">$B$10+A103*$G$4</f>
        <v>-0.0158811881188119</v>
      </c>
      <c r="D103" s="0" t="n">
        <f aca="false">(A103+1)*($B$10+$G$4*A103/2)</f>
        <v>0.897180693069307</v>
      </c>
      <c r="E103" s="0" t="n">
        <f aca="false">IF(A103&lt;$G$6,($B$6/10)*$G$5^(A103/$G$3),($B$6/10)*$G$5^($G$6/$G$3))</f>
        <v>1</v>
      </c>
      <c r="F103" s="0" t="n">
        <f aca="false">IF(A103&lt;$G$6,($B$7/10)*$G$5^(A103/$G$2),($B$7/10)*$G$5^($G$6/$G$2))</f>
        <v>0.866025403784438</v>
      </c>
      <c r="G103" s="0" t="n">
        <f aca="false">F103*F103*3.1416/4</f>
        <v>0.58905</v>
      </c>
      <c r="H103" s="0" t="n">
        <f aca="false">E103*E103*3.1416/4</f>
        <v>0.7854</v>
      </c>
      <c r="I103" s="0" t="n">
        <f aca="false">G103*B103</f>
        <v>0.58905</v>
      </c>
      <c r="J103" s="0" t="n">
        <f aca="false">H103*B103</f>
        <v>0.7854</v>
      </c>
      <c r="K103" s="0" t="n">
        <f aca="false">H103-G103</f>
        <v>0.196350000000001</v>
      </c>
      <c r="L103" s="0" t="n">
        <f aca="false">SQRT(4*K103/3.1416)</f>
        <v>0.500000000000001</v>
      </c>
      <c r="M103" s="0" t="n">
        <f aca="false">(E103-L103)/2</f>
        <v>0.25</v>
      </c>
      <c r="N103" s="0" t="n">
        <f aca="false">E103*3.1416</f>
        <v>3.1416</v>
      </c>
      <c r="O103" s="0" t="n">
        <f aca="false">C103*3.1416*E103*B103/100</f>
        <v>-0.000498923405940594</v>
      </c>
      <c r="P103" s="0" t="n">
        <f aca="false">C103*E103/100*E103/100*3.1416/4*B103</f>
        <v>-1.24730851485149E-006</v>
      </c>
      <c r="Q103" s="0" t="n">
        <f aca="false">Q102+O103</f>
        <v>0.672884052626829</v>
      </c>
      <c r="R103" s="0" t="n">
        <f aca="false">P103+R102</f>
        <v>0.000262932170417591</v>
      </c>
      <c r="S103" s="0" t="n">
        <f aca="false">G103/10000*C103*B103</f>
        <v>-9.35481386138613E-007</v>
      </c>
      <c r="T103" s="0" t="n">
        <f aca="false">T102+S103</f>
        <v>0.000240665970355115</v>
      </c>
      <c r="U103" s="0" t="n">
        <f aca="false">U102+C103*B103</f>
        <v>184.435182525287</v>
      </c>
      <c r="V103" s="0" t="n">
        <f aca="false">E103/2*B103</f>
        <v>0.5</v>
      </c>
      <c r="W103" s="142" t="n">
        <f aca="false">C103/(G103/10000)*$B$13*($F$21/F103)^($B$12)</f>
        <v>-0.0276787005478177</v>
      </c>
      <c r="X103" s="142" t="n">
        <f aca="false">W103/B103</f>
        <v>-0.0276787005478177</v>
      </c>
      <c r="Y103" s="142" t="n">
        <f aca="false">Y104+X103</f>
        <v>-0.671808135942957</v>
      </c>
      <c r="Z103" s="540" t="n">
        <f aca="false">-Y103*$B$4*2</f>
        <v>0.671808135942957</v>
      </c>
      <c r="AA103" s="142"/>
      <c r="AJ103" s="142"/>
    </row>
    <row r="104" customFormat="false" ht="15.75" hidden="false" customHeight="false" outlineLevel="0" collapsed="false">
      <c r="A104" s="0" t="n">
        <f aca="false">A103+1</f>
        <v>83</v>
      </c>
      <c r="B104" s="0" t="n">
        <f aca="false">MAX(B103/$G$5,1)</f>
        <v>1</v>
      </c>
      <c r="C104" s="0" t="n">
        <f aca="false">$B$10+A104*$G$4</f>
        <v>-0.0165321782178218</v>
      </c>
      <c r="D104" s="0" t="n">
        <f aca="false">(A104+1)*($B$10+$G$4*A104/2)</f>
        <v>0.880648514851485</v>
      </c>
      <c r="E104" s="0" t="n">
        <f aca="false">IF(A104&lt;$G$6,($B$6/10)*$G$5^(A104/$G$3),($B$6/10)*$G$5^($G$6/$G$3))</f>
        <v>1</v>
      </c>
      <c r="F104" s="0" t="n">
        <f aca="false">IF(A104&lt;$G$6,($B$7/10)*$G$5^(A104/$G$2),($B$7/10)*$G$5^($G$6/$G$2))</f>
        <v>0.866025403784438</v>
      </c>
      <c r="G104" s="0" t="n">
        <f aca="false">F104*F104*3.1416/4</f>
        <v>0.58905</v>
      </c>
      <c r="H104" s="0" t="n">
        <f aca="false">E104*E104*3.1416/4</f>
        <v>0.7854</v>
      </c>
      <c r="I104" s="0" t="n">
        <f aca="false">G104*B104</f>
        <v>0.58905</v>
      </c>
      <c r="J104" s="0" t="n">
        <f aca="false">H104*B104</f>
        <v>0.7854</v>
      </c>
      <c r="K104" s="0" t="n">
        <f aca="false">H104-G104</f>
        <v>0.196350000000001</v>
      </c>
      <c r="L104" s="0" t="n">
        <f aca="false">SQRT(4*K104/3.1416)</f>
        <v>0.500000000000001</v>
      </c>
      <c r="M104" s="0" t="n">
        <f aca="false">(E104-L104)/2</f>
        <v>0.25</v>
      </c>
      <c r="N104" s="0" t="n">
        <f aca="false">E104*3.1416</f>
        <v>3.1416</v>
      </c>
      <c r="O104" s="0" t="n">
        <f aca="false">C104*3.1416*E104*B104/100</f>
        <v>-0.000519374910891089</v>
      </c>
      <c r="P104" s="0" t="n">
        <f aca="false">C104*E104/100*E104/100*3.1416/4*B104</f>
        <v>-1.29843727722772E-006</v>
      </c>
      <c r="Q104" s="0" t="n">
        <f aca="false">Q103+O104</f>
        <v>0.672364677715938</v>
      </c>
      <c r="R104" s="0" t="n">
        <f aca="false">P104+R103</f>
        <v>0.000261633733140364</v>
      </c>
      <c r="S104" s="0" t="n">
        <f aca="false">G104/10000*C104*B104</f>
        <v>-9.73827957920791E-007</v>
      </c>
      <c r="T104" s="0" t="n">
        <f aca="false">T103+S104</f>
        <v>0.000239692142397194</v>
      </c>
      <c r="U104" s="0" t="n">
        <f aca="false">U103+C104*B104</f>
        <v>184.418650347069</v>
      </c>
      <c r="V104" s="0" t="n">
        <f aca="false">E104/2*B104</f>
        <v>0.5</v>
      </c>
      <c r="W104" s="142" t="n">
        <f aca="false">C104/(G104/10000)*$B$13*($F$21/F104)^($B$12)</f>
        <v>-0.0288132856856101</v>
      </c>
      <c r="X104" s="142" t="n">
        <f aca="false">W104/B104</f>
        <v>-0.0288132856856101</v>
      </c>
      <c r="Y104" s="142" t="n">
        <f aca="false">Y105+X104</f>
        <v>-0.644129435395139</v>
      </c>
      <c r="Z104" s="540" t="n">
        <f aca="false">-Y104*$B$4*2</f>
        <v>0.644129435395139</v>
      </c>
      <c r="AA104" s="142"/>
      <c r="AJ104" s="142"/>
    </row>
    <row r="105" customFormat="false" ht="15.75" hidden="false" customHeight="false" outlineLevel="0" collapsed="false">
      <c r="A105" s="0" t="n">
        <f aca="false">A104+1</f>
        <v>84</v>
      </c>
      <c r="B105" s="0" t="n">
        <f aca="false">MAX(B104/$G$5,1)</f>
        <v>1</v>
      </c>
      <c r="C105" s="0" t="n">
        <f aca="false">$B$10+A105*$G$4</f>
        <v>-0.0171831683168317</v>
      </c>
      <c r="D105" s="0" t="n">
        <f aca="false">(A105+1)*($B$10+$G$4*A105/2)</f>
        <v>0.863465346534654</v>
      </c>
      <c r="E105" s="0" t="n">
        <f aca="false">IF(A105&lt;$G$6,($B$6/10)*$G$5^(A105/$G$3),($B$6/10)*$G$5^($G$6/$G$3))</f>
        <v>1</v>
      </c>
      <c r="F105" s="0" t="n">
        <f aca="false">IF(A105&lt;$G$6,($B$7/10)*$G$5^(A105/$G$2),($B$7/10)*$G$5^($G$6/$G$2))</f>
        <v>0.866025403784438</v>
      </c>
      <c r="G105" s="0" t="n">
        <f aca="false">F105*F105*3.1416/4</f>
        <v>0.58905</v>
      </c>
      <c r="H105" s="0" t="n">
        <f aca="false">E105*E105*3.1416/4</f>
        <v>0.7854</v>
      </c>
      <c r="I105" s="0" t="n">
        <f aca="false">G105*B105</f>
        <v>0.58905</v>
      </c>
      <c r="J105" s="0" t="n">
        <f aca="false">H105*B105</f>
        <v>0.7854</v>
      </c>
      <c r="K105" s="0" t="n">
        <f aca="false">H105-G105</f>
        <v>0.196350000000001</v>
      </c>
      <c r="L105" s="0" t="n">
        <f aca="false">SQRT(4*K105/3.1416)</f>
        <v>0.500000000000001</v>
      </c>
      <c r="M105" s="0" t="n">
        <f aca="false">(E105-L105)/2</f>
        <v>0.25</v>
      </c>
      <c r="N105" s="0" t="n">
        <f aca="false">E105*3.1416</f>
        <v>3.1416</v>
      </c>
      <c r="O105" s="0" t="n">
        <f aca="false">C105*3.1416*E105*B105/100</f>
        <v>-0.000539826415841584</v>
      </c>
      <c r="P105" s="0" t="n">
        <f aca="false">C105*E105/100*E105/100*3.1416/4*B105</f>
        <v>-1.34956603960396E-006</v>
      </c>
      <c r="Q105" s="0" t="n">
        <f aca="false">Q104+O105</f>
        <v>0.671824851300096</v>
      </c>
      <c r="R105" s="0" t="n">
        <f aca="false">P105+R104</f>
        <v>0.00026028416710076</v>
      </c>
      <c r="S105" s="0" t="n">
        <f aca="false">G105/10000*C105*B105</f>
        <v>-1.01217452970297E-006</v>
      </c>
      <c r="T105" s="0" t="n">
        <f aca="false">T104+S105</f>
        <v>0.000238679967867491</v>
      </c>
      <c r="U105" s="0" t="n">
        <f aca="false">U104+C105*B105</f>
        <v>184.401467178752</v>
      </c>
      <c r="V105" s="0" t="n">
        <f aca="false">E105/2*B105</f>
        <v>0.5</v>
      </c>
      <c r="W105" s="142" t="n">
        <f aca="false">C105/(G105/10000)*$B$13*($F$21/F105)^($B$12)</f>
        <v>-0.0299478708234025</v>
      </c>
      <c r="X105" s="142" t="n">
        <f aca="false">W105/B105</f>
        <v>-0.0299478708234025</v>
      </c>
      <c r="Y105" s="142" t="n">
        <f aca="false">Y106+X105</f>
        <v>-0.615316149709529</v>
      </c>
      <c r="Z105" s="540" t="n">
        <f aca="false">-Y105*$B$4*2</f>
        <v>0.615316149709529</v>
      </c>
      <c r="AA105" s="142"/>
      <c r="AJ105" s="142"/>
    </row>
    <row r="106" customFormat="false" ht="15.75" hidden="false" customHeight="false" outlineLevel="0" collapsed="false">
      <c r="A106" s="0" t="n">
        <f aca="false">A105+1</f>
        <v>85</v>
      </c>
      <c r="B106" s="0" t="n">
        <f aca="false">MAX(B105/$G$5,1)</f>
        <v>1</v>
      </c>
      <c r="C106" s="0" t="n">
        <f aca="false">$B$10+A106*$G$4</f>
        <v>-0.0178341584158416</v>
      </c>
      <c r="D106" s="0" t="n">
        <f aca="false">(A106+1)*($B$10+$G$4*A106/2)</f>
        <v>0.845631188118812</v>
      </c>
      <c r="E106" s="0" t="n">
        <f aca="false">IF(A106&lt;$G$6,($B$6/10)*$G$5^(A106/$G$3),($B$6/10)*$G$5^($G$6/$G$3))</f>
        <v>1</v>
      </c>
      <c r="F106" s="0" t="n">
        <f aca="false">IF(A106&lt;$G$6,($B$7/10)*$G$5^(A106/$G$2),($B$7/10)*$G$5^($G$6/$G$2))</f>
        <v>0.866025403784438</v>
      </c>
      <c r="G106" s="0" t="n">
        <f aca="false">F106*F106*3.1416/4</f>
        <v>0.58905</v>
      </c>
      <c r="H106" s="0" t="n">
        <f aca="false">E106*E106*3.1416/4</f>
        <v>0.7854</v>
      </c>
      <c r="I106" s="0" t="n">
        <f aca="false">G106*B106</f>
        <v>0.58905</v>
      </c>
      <c r="J106" s="0" t="n">
        <f aca="false">H106*B106</f>
        <v>0.7854</v>
      </c>
      <c r="K106" s="0" t="n">
        <f aca="false">H106-G106</f>
        <v>0.196350000000001</v>
      </c>
      <c r="L106" s="0" t="n">
        <f aca="false">SQRT(4*K106/3.1416)</f>
        <v>0.500000000000001</v>
      </c>
      <c r="M106" s="0" t="n">
        <f aca="false">(E106-L106)/2</f>
        <v>0.25</v>
      </c>
      <c r="N106" s="0" t="n">
        <f aca="false">E106*3.1416</f>
        <v>3.1416</v>
      </c>
      <c r="O106" s="0" t="n">
        <f aca="false">C106*3.1416*E106*B106/100</f>
        <v>-0.000560277920792079</v>
      </c>
      <c r="P106" s="0" t="n">
        <f aca="false">C106*E106/100*E106/100*3.1416/4*B106</f>
        <v>-1.4006948019802E-006</v>
      </c>
      <c r="Q106" s="0" t="n">
        <f aca="false">Q105+O106</f>
        <v>0.671264573379304</v>
      </c>
      <c r="R106" s="0" t="n">
        <f aca="false">P106+R105</f>
        <v>0.000258883472298779</v>
      </c>
      <c r="S106" s="0" t="n">
        <f aca="false">G106/10000*C106*B106</f>
        <v>-1.05052110148515E-006</v>
      </c>
      <c r="T106" s="0" t="n">
        <f aca="false">T105+S106</f>
        <v>0.000237629446766006</v>
      </c>
      <c r="U106" s="0" t="n">
        <f aca="false">U105+C106*B106</f>
        <v>184.383633020337</v>
      </c>
      <c r="V106" s="0" t="n">
        <f aca="false">E106/2*B106</f>
        <v>0.5</v>
      </c>
      <c r="W106" s="142" t="n">
        <f aca="false">C106/(G106/10000)*$B$13*($F$21/F106)^($B$12)</f>
        <v>-0.0310824559611949</v>
      </c>
      <c r="X106" s="142" t="n">
        <f aca="false">W106/B106</f>
        <v>-0.0310824559611949</v>
      </c>
      <c r="Y106" s="142" t="n">
        <f aca="false">Y107+X106</f>
        <v>-0.585368278886127</v>
      </c>
      <c r="Z106" s="540" t="n">
        <f aca="false">-Y106*$B$4*2</f>
        <v>0.585368278886127</v>
      </c>
      <c r="AA106" s="142"/>
      <c r="AJ106" s="142"/>
    </row>
    <row r="107" customFormat="false" ht="15.75" hidden="false" customHeight="false" outlineLevel="0" collapsed="false">
      <c r="A107" s="0" t="n">
        <f aca="false">A106+1</f>
        <v>86</v>
      </c>
      <c r="B107" s="0" t="n">
        <f aca="false">MAX(B106/$G$5,1)</f>
        <v>1</v>
      </c>
      <c r="C107" s="0" t="n">
        <f aca="false">$B$10+A107*$G$4</f>
        <v>-0.0184851485148515</v>
      </c>
      <c r="D107" s="0" t="n">
        <f aca="false">(A107+1)*($B$10+$G$4*A107/2)</f>
        <v>0.82714603960396</v>
      </c>
      <c r="E107" s="0" t="n">
        <f aca="false">IF(A107&lt;$G$6,($B$6/10)*$G$5^(A107/$G$3),($B$6/10)*$G$5^($G$6/$G$3))</f>
        <v>1</v>
      </c>
      <c r="F107" s="0" t="n">
        <f aca="false">IF(A107&lt;$G$6,($B$7/10)*$G$5^(A107/$G$2),($B$7/10)*$G$5^($G$6/$G$2))</f>
        <v>0.866025403784438</v>
      </c>
      <c r="G107" s="0" t="n">
        <f aca="false">F107*F107*3.1416/4</f>
        <v>0.58905</v>
      </c>
      <c r="H107" s="0" t="n">
        <f aca="false">E107*E107*3.1416/4</f>
        <v>0.7854</v>
      </c>
      <c r="I107" s="0" t="n">
        <f aca="false">G107*B107</f>
        <v>0.58905</v>
      </c>
      <c r="J107" s="0" t="n">
        <f aca="false">H107*B107</f>
        <v>0.7854</v>
      </c>
      <c r="K107" s="0" t="n">
        <f aca="false">H107-G107</f>
        <v>0.196350000000001</v>
      </c>
      <c r="L107" s="0" t="n">
        <f aca="false">SQRT(4*K107/3.1416)</f>
        <v>0.500000000000001</v>
      </c>
      <c r="M107" s="0" t="n">
        <f aca="false">(E107-L107)/2</f>
        <v>0.25</v>
      </c>
      <c r="N107" s="0" t="n">
        <f aca="false">E107*3.1416</f>
        <v>3.1416</v>
      </c>
      <c r="O107" s="0" t="n">
        <f aca="false">C107*3.1416*E107*B107/100</f>
        <v>-0.000580729425742574</v>
      </c>
      <c r="P107" s="0" t="n">
        <f aca="false">C107*E107/100*E107/100*3.1416/4*B107</f>
        <v>-1.45182356435644E-006</v>
      </c>
      <c r="Q107" s="0" t="n">
        <f aca="false">Q106+O107</f>
        <v>0.670683843953561</v>
      </c>
      <c r="R107" s="0" t="n">
        <f aca="false">P107+R106</f>
        <v>0.000257431648734423</v>
      </c>
      <c r="S107" s="0" t="n">
        <f aca="false">G107/10000*C107*B107</f>
        <v>-1.08886767326733E-006</v>
      </c>
      <c r="T107" s="0" t="n">
        <f aca="false">T106+S107</f>
        <v>0.000236540579092739</v>
      </c>
      <c r="U107" s="0" t="n">
        <f aca="false">U106+C107*B107</f>
        <v>184.365147871822</v>
      </c>
      <c r="V107" s="0" t="n">
        <f aca="false">E107/2*B107</f>
        <v>0.5</v>
      </c>
      <c r="W107" s="142" t="n">
        <f aca="false">C107/(G107/10000)*$B$13*($F$21/F107)^($B$12)</f>
        <v>-0.0322170410989873</v>
      </c>
      <c r="X107" s="142" t="n">
        <f aca="false">W107/B107</f>
        <v>-0.0322170410989873</v>
      </c>
      <c r="Y107" s="142" t="n">
        <f aca="false">Y108+X107</f>
        <v>-0.554285822924932</v>
      </c>
      <c r="Z107" s="540" t="n">
        <f aca="false">-Y107*$B$4*2</f>
        <v>0.554285822924932</v>
      </c>
      <c r="AA107" s="142"/>
      <c r="AJ107" s="142"/>
    </row>
    <row r="108" customFormat="false" ht="15.75" hidden="false" customHeight="false" outlineLevel="0" collapsed="false">
      <c r="A108" s="0" t="n">
        <f aca="false">A107+1</f>
        <v>87</v>
      </c>
      <c r="B108" s="0" t="n">
        <f aca="false">MAX(B107/$G$5,1)</f>
        <v>1</v>
      </c>
      <c r="C108" s="0" t="n">
        <f aca="false">$B$10+A108*$G$4</f>
        <v>-0.0191361386138614</v>
      </c>
      <c r="D108" s="0" t="n">
        <f aca="false">(A108+1)*($B$10+$G$4*A108/2)</f>
        <v>0.808009900990099</v>
      </c>
      <c r="E108" s="0" t="n">
        <f aca="false">IF(A108&lt;$G$6,($B$6/10)*$G$5^(A108/$G$3),($B$6/10)*$G$5^($G$6/$G$3))</f>
        <v>1</v>
      </c>
      <c r="F108" s="0" t="n">
        <f aca="false">IF(A108&lt;$G$6,($B$7/10)*$G$5^(A108/$G$2),($B$7/10)*$G$5^($G$6/$G$2))</f>
        <v>0.866025403784438</v>
      </c>
      <c r="G108" s="0" t="n">
        <f aca="false">F108*F108*3.1416/4</f>
        <v>0.58905</v>
      </c>
      <c r="H108" s="0" t="n">
        <f aca="false">E108*E108*3.1416/4</f>
        <v>0.7854</v>
      </c>
      <c r="I108" s="0" t="n">
        <f aca="false">G108*B108</f>
        <v>0.58905</v>
      </c>
      <c r="J108" s="0" t="n">
        <f aca="false">H108*B108</f>
        <v>0.7854</v>
      </c>
      <c r="K108" s="0" t="n">
        <f aca="false">H108-G108</f>
        <v>0.196350000000001</v>
      </c>
      <c r="L108" s="0" t="n">
        <f aca="false">SQRT(4*K108/3.1416)</f>
        <v>0.500000000000001</v>
      </c>
      <c r="M108" s="0" t="n">
        <f aca="false">(E108-L108)/2</f>
        <v>0.25</v>
      </c>
      <c r="N108" s="0" t="n">
        <f aca="false">E108*3.1416</f>
        <v>3.1416</v>
      </c>
      <c r="O108" s="0" t="n">
        <f aca="false">C108*3.1416*E108*B108/100</f>
        <v>-0.000601180930693069</v>
      </c>
      <c r="P108" s="0" t="n">
        <f aca="false">C108*E108/100*E108/100*3.1416/4*B108</f>
        <v>-1.50295232673267E-006</v>
      </c>
      <c r="Q108" s="0" t="n">
        <f aca="false">Q107+O108</f>
        <v>0.670082663022868</v>
      </c>
      <c r="R108" s="0" t="n">
        <f aca="false">P108+R107</f>
        <v>0.00025592869640769</v>
      </c>
      <c r="S108" s="0" t="n">
        <f aca="false">G108/10000*C108*B108</f>
        <v>-1.1272142450495E-006</v>
      </c>
      <c r="T108" s="0" t="n">
        <f aca="false">T107+S108</f>
        <v>0.000235413364847689</v>
      </c>
      <c r="U108" s="0" t="n">
        <f aca="false">U107+C108*B108</f>
        <v>184.346011733208</v>
      </c>
      <c r="V108" s="0" t="n">
        <f aca="false">E108/2*B108</f>
        <v>0.5</v>
      </c>
      <c r="W108" s="142" t="n">
        <f aca="false">C108/(G108/10000)*$B$13*($F$21/F108)^($B$12)</f>
        <v>-0.0333516262367797</v>
      </c>
      <c r="X108" s="142" t="n">
        <f aca="false">W108/B108</f>
        <v>-0.0333516262367797</v>
      </c>
      <c r="Y108" s="142" t="n">
        <f aca="false">Y109+X108</f>
        <v>-0.522068781825944</v>
      </c>
      <c r="Z108" s="540" t="n">
        <f aca="false">-Y108*$B$4*2</f>
        <v>0.522068781825944</v>
      </c>
      <c r="AA108" s="142"/>
      <c r="AJ108" s="142"/>
    </row>
    <row r="109" customFormat="false" ht="15.75" hidden="false" customHeight="false" outlineLevel="0" collapsed="false">
      <c r="A109" s="0" t="n">
        <f aca="false">A108+1</f>
        <v>88</v>
      </c>
      <c r="B109" s="0" t="n">
        <f aca="false">MAX(B108/$G$5,1)</f>
        <v>1</v>
      </c>
      <c r="C109" s="0" t="n">
        <f aca="false">$B$10+A109*$G$4</f>
        <v>-0.0197871287128713</v>
      </c>
      <c r="D109" s="0" t="n">
        <f aca="false">(A109+1)*($B$10+$G$4*A109/2)</f>
        <v>0.788222772277228</v>
      </c>
      <c r="E109" s="0" t="n">
        <f aca="false">IF(A109&lt;$G$6,($B$6/10)*$G$5^(A109/$G$3),($B$6/10)*$G$5^($G$6/$G$3))</f>
        <v>1</v>
      </c>
      <c r="F109" s="0" t="n">
        <f aca="false">IF(A109&lt;$G$6,($B$7/10)*$G$5^(A109/$G$2),($B$7/10)*$G$5^($G$6/$G$2))</f>
        <v>0.866025403784438</v>
      </c>
      <c r="G109" s="0" t="n">
        <f aca="false">F109*F109*3.1416/4</f>
        <v>0.58905</v>
      </c>
      <c r="H109" s="0" t="n">
        <f aca="false">E109*E109*3.1416/4</f>
        <v>0.7854</v>
      </c>
      <c r="I109" s="0" t="n">
        <f aca="false">G109*B109</f>
        <v>0.58905</v>
      </c>
      <c r="J109" s="0" t="n">
        <f aca="false">H109*B109</f>
        <v>0.7854</v>
      </c>
      <c r="K109" s="0" t="n">
        <f aca="false">H109-G109</f>
        <v>0.196350000000001</v>
      </c>
      <c r="L109" s="0" t="n">
        <f aca="false">SQRT(4*K109/3.1416)</f>
        <v>0.500000000000001</v>
      </c>
      <c r="M109" s="0" t="n">
        <f aca="false">(E109-L109)/2</f>
        <v>0.25</v>
      </c>
      <c r="N109" s="0" t="n">
        <f aca="false">E109*3.1416</f>
        <v>3.1416</v>
      </c>
      <c r="O109" s="0" t="n">
        <f aca="false">C109*3.1416*E109*B109/100</f>
        <v>-0.000621632435643564</v>
      </c>
      <c r="P109" s="0" t="n">
        <f aca="false">C109*E109/100*E109/100*3.1416/4*B109</f>
        <v>-1.55408108910891E-006</v>
      </c>
      <c r="Q109" s="0" t="n">
        <f aca="false">Q108+O109</f>
        <v>0.669461030587225</v>
      </c>
      <c r="R109" s="0" t="n">
        <f aca="false">P109+R108</f>
        <v>0.000254374615318581</v>
      </c>
      <c r="S109" s="0" t="n">
        <f aca="false">G109/10000*C109*B109</f>
        <v>-1.16556081683168E-006</v>
      </c>
      <c r="T109" s="0" t="n">
        <f aca="false">T108+S109</f>
        <v>0.000234247804030857</v>
      </c>
      <c r="U109" s="0" t="n">
        <f aca="false">U108+C109*B109</f>
        <v>184.326224604495</v>
      </c>
      <c r="V109" s="0" t="n">
        <f aca="false">E109/2*B109</f>
        <v>0.5</v>
      </c>
      <c r="W109" s="142" t="n">
        <f aca="false">C109/(G109/10000)*$B$13*($F$21/F109)^($B$12)</f>
        <v>-0.0344862113745722</v>
      </c>
      <c r="X109" s="142" t="n">
        <f aca="false">W109/B109</f>
        <v>-0.0344862113745722</v>
      </c>
      <c r="Y109" s="142" t="n">
        <f aca="false">Y110+X109</f>
        <v>-0.488717155589165</v>
      </c>
      <c r="Z109" s="540" t="n">
        <f aca="false">-Y109*$B$4*2</f>
        <v>0.488717155589165</v>
      </c>
      <c r="AA109" s="142"/>
      <c r="AJ109" s="142"/>
    </row>
    <row r="110" customFormat="false" ht="15.75" hidden="false" customHeight="false" outlineLevel="0" collapsed="false">
      <c r="A110" s="0" t="n">
        <f aca="false">A109+1</f>
        <v>89</v>
      </c>
      <c r="B110" s="0" t="n">
        <f aca="false">MAX(B109/$G$5,1)</f>
        <v>1</v>
      </c>
      <c r="C110" s="0" t="n">
        <f aca="false">$B$10+A110*$G$4</f>
        <v>-0.0204381188118812</v>
      </c>
      <c r="D110" s="0" t="n">
        <f aca="false">(A110+1)*($B$10+$G$4*A110/2)</f>
        <v>0.767784653465347</v>
      </c>
      <c r="E110" s="0" t="n">
        <f aca="false">IF(A110&lt;$G$6,($B$6/10)*$G$5^(A110/$G$3),($B$6/10)*$G$5^($G$6/$G$3))</f>
        <v>1</v>
      </c>
      <c r="F110" s="0" t="n">
        <f aca="false">IF(A110&lt;$G$6,($B$7/10)*$G$5^(A110/$G$2),($B$7/10)*$G$5^($G$6/$G$2))</f>
        <v>0.866025403784438</v>
      </c>
      <c r="G110" s="0" t="n">
        <f aca="false">F110*F110*3.1416/4</f>
        <v>0.58905</v>
      </c>
      <c r="H110" s="0" t="n">
        <f aca="false">E110*E110*3.1416/4</f>
        <v>0.7854</v>
      </c>
      <c r="I110" s="0" t="n">
        <f aca="false">G110*B110</f>
        <v>0.58905</v>
      </c>
      <c r="J110" s="0" t="n">
        <f aca="false">H110*B110</f>
        <v>0.7854</v>
      </c>
      <c r="K110" s="0" t="n">
        <f aca="false">H110-G110</f>
        <v>0.196350000000001</v>
      </c>
      <c r="L110" s="0" t="n">
        <f aca="false">SQRT(4*K110/3.1416)</f>
        <v>0.500000000000001</v>
      </c>
      <c r="M110" s="0" t="n">
        <f aca="false">(E110-L110)/2</f>
        <v>0.25</v>
      </c>
      <c r="N110" s="0" t="n">
        <f aca="false">E110*3.1416</f>
        <v>3.1416</v>
      </c>
      <c r="O110" s="0" t="n">
        <f aca="false">C110*3.1416*E110*B110/100</f>
        <v>-0.000642083940594059</v>
      </c>
      <c r="P110" s="0" t="n">
        <f aca="false">C110*E110/100*E110/100*3.1416/4*B110</f>
        <v>-1.60520985148515E-006</v>
      </c>
      <c r="Q110" s="0" t="n">
        <f aca="false">Q109+O110</f>
        <v>0.668818946646631</v>
      </c>
      <c r="R110" s="0" t="n">
        <f aca="false">P110+R109</f>
        <v>0.000252769405467096</v>
      </c>
      <c r="S110" s="0" t="n">
        <f aca="false">G110/10000*C110*B110</f>
        <v>-1.20390738861386E-006</v>
      </c>
      <c r="T110" s="0" t="n">
        <f aca="false">T109+S110</f>
        <v>0.000233043896642243</v>
      </c>
      <c r="U110" s="0" t="n">
        <f aca="false">U109+C110*B110</f>
        <v>184.305786485683</v>
      </c>
      <c r="V110" s="0" t="n">
        <f aca="false">E110/2*B110</f>
        <v>0.5</v>
      </c>
      <c r="W110" s="142" t="n">
        <f aca="false">C110/(G110/10000)*$B$13*($F$21/F110)^($B$12)</f>
        <v>-0.0356207965123646</v>
      </c>
      <c r="X110" s="142" t="n">
        <f aca="false">W110/B110</f>
        <v>-0.0356207965123646</v>
      </c>
      <c r="Y110" s="142" t="n">
        <f aca="false">Y111+X110</f>
        <v>-0.454230944214592</v>
      </c>
      <c r="Z110" s="540" t="n">
        <f aca="false">-Y110*$B$4*2</f>
        <v>0.454230944214592</v>
      </c>
      <c r="AA110" s="142"/>
      <c r="AJ110" s="142"/>
    </row>
    <row r="111" customFormat="false" ht="15.75" hidden="false" customHeight="false" outlineLevel="0" collapsed="false">
      <c r="A111" s="0" t="n">
        <f aca="false">A110+1</f>
        <v>90</v>
      </c>
      <c r="B111" s="0" t="n">
        <f aca="false">MAX(B110/$G$5,1)</f>
        <v>1</v>
      </c>
      <c r="C111" s="0" t="n">
        <f aca="false">$B$10+A111*$G$4</f>
        <v>-0.0210891089108911</v>
      </c>
      <c r="D111" s="0" t="n">
        <f aca="false">(A111+1)*($B$10+$G$4*A111/2)</f>
        <v>0.746695544554455</v>
      </c>
      <c r="E111" s="0" t="n">
        <f aca="false">IF(A111&lt;$G$6,($B$6/10)*$G$5^(A111/$G$3),($B$6/10)*$G$5^($G$6/$G$3))</f>
        <v>1</v>
      </c>
      <c r="F111" s="0" t="n">
        <f aca="false">IF(A111&lt;$G$6,($B$7/10)*$G$5^(A111/$G$2),($B$7/10)*$G$5^($G$6/$G$2))</f>
        <v>0.866025403784438</v>
      </c>
      <c r="G111" s="0" t="n">
        <f aca="false">F111*F111*3.1416/4</f>
        <v>0.58905</v>
      </c>
      <c r="H111" s="0" t="n">
        <f aca="false">E111*E111*3.1416/4</f>
        <v>0.7854</v>
      </c>
      <c r="I111" s="0" t="n">
        <f aca="false">G111*B111</f>
        <v>0.58905</v>
      </c>
      <c r="J111" s="0" t="n">
        <f aca="false">H111*B111</f>
        <v>0.7854</v>
      </c>
      <c r="K111" s="0" t="n">
        <f aca="false">H111-G111</f>
        <v>0.196350000000001</v>
      </c>
      <c r="L111" s="0" t="n">
        <f aca="false">SQRT(4*K111/3.1416)</f>
        <v>0.500000000000001</v>
      </c>
      <c r="M111" s="0" t="n">
        <f aca="false">(E111-L111)/2</f>
        <v>0.25</v>
      </c>
      <c r="N111" s="0" t="n">
        <f aca="false">E111*3.1416</f>
        <v>3.1416</v>
      </c>
      <c r="O111" s="0" t="n">
        <f aca="false">C111*3.1416*E111*B111/100</f>
        <v>-0.000662535445544555</v>
      </c>
      <c r="P111" s="0" t="n">
        <f aca="false">C111*E111/100*E111/100*3.1416/4*B111</f>
        <v>-1.65633861386139E-006</v>
      </c>
      <c r="Q111" s="0" t="n">
        <f aca="false">Q110+O111</f>
        <v>0.668156411201086</v>
      </c>
      <c r="R111" s="0" t="n">
        <f aca="false">P111+R110</f>
        <v>0.000251113066853235</v>
      </c>
      <c r="S111" s="0" t="n">
        <f aca="false">G111/10000*C111*B111</f>
        <v>-1.24225396039604E-006</v>
      </c>
      <c r="T111" s="0" t="n">
        <f aca="false">T110+S111</f>
        <v>0.000231801642681847</v>
      </c>
      <c r="U111" s="0" t="n">
        <f aca="false">U110+C111*B111</f>
        <v>184.284697376772</v>
      </c>
      <c r="V111" s="0" t="n">
        <f aca="false">E111/2*B111</f>
        <v>0.5</v>
      </c>
      <c r="W111" s="142" t="n">
        <f aca="false">C111/(G111/10000)*$B$13*($F$21/F111)^($B$12)</f>
        <v>-0.036755381650157</v>
      </c>
      <c r="X111" s="142" t="n">
        <f aca="false">W111/B111</f>
        <v>-0.036755381650157</v>
      </c>
      <c r="Y111" s="142" t="n">
        <f aca="false">Y112+X111</f>
        <v>-0.418610147702228</v>
      </c>
      <c r="Z111" s="540" t="n">
        <f aca="false">-Y111*$B$4*2</f>
        <v>0.418610147702228</v>
      </c>
      <c r="AA111" s="142"/>
      <c r="AJ111" s="142"/>
    </row>
    <row r="112" customFormat="false" ht="15.75" hidden="false" customHeight="false" outlineLevel="0" collapsed="false">
      <c r="A112" s="0" t="n">
        <f aca="false">A111+1</f>
        <v>91</v>
      </c>
      <c r="B112" s="0" t="n">
        <f aca="false">MAX(B111/$G$5,1)</f>
        <v>1</v>
      </c>
      <c r="C112" s="0" t="n">
        <f aca="false">$B$10+A112*$G$4</f>
        <v>-0.021740099009901</v>
      </c>
      <c r="D112" s="0" t="n">
        <f aca="false">(A112+1)*($B$10+$G$4*A112/2)</f>
        <v>0.724955445544555</v>
      </c>
      <c r="E112" s="0" t="n">
        <f aca="false">IF(A112&lt;$G$6,($B$6/10)*$G$5^(A112/$G$3),($B$6/10)*$G$5^($G$6/$G$3))</f>
        <v>1</v>
      </c>
      <c r="F112" s="0" t="n">
        <f aca="false">IF(A112&lt;$G$6,($B$7/10)*$G$5^(A112/$G$2),($B$7/10)*$G$5^($G$6/$G$2))</f>
        <v>0.866025403784438</v>
      </c>
      <c r="G112" s="0" t="n">
        <f aca="false">F112*F112*3.1416/4</f>
        <v>0.58905</v>
      </c>
      <c r="H112" s="0" t="n">
        <f aca="false">E112*E112*3.1416/4</f>
        <v>0.7854</v>
      </c>
      <c r="I112" s="0" t="n">
        <f aca="false">G112*B112</f>
        <v>0.58905</v>
      </c>
      <c r="J112" s="0" t="n">
        <f aca="false">H112*B112</f>
        <v>0.7854</v>
      </c>
      <c r="K112" s="0" t="n">
        <f aca="false">H112-G112</f>
        <v>0.196350000000001</v>
      </c>
      <c r="L112" s="0" t="n">
        <f aca="false">SQRT(4*K112/3.1416)</f>
        <v>0.500000000000001</v>
      </c>
      <c r="M112" s="0" t="n">
        <f aca="false">(E112-L112)/2</f>
        <v>0.25</v>
      </c>
      <c r="N112" s="0" t="n">
        <f aca="false">E112*3.1416</f>
        <v>3.1416</v>
      </c>
      <c r="O112" s="0" t="n">
        <f aca="false">C112*3.1416*E112*B112/100</f>
        <v>-0.000682986950495049</v>
      </c>
      <c r="P112" s="0" t="n">
        <f aca="false">C112*E112/100*E112/100*3.1416/4*B112</f>
        <v>-1.70746737623762E-006</v>
      </c>
      <c r="Q112" s="0" t="n">
        <f aca="false">Q111+O112</f>
        <v>0.667473424250591</v>
      </c>
      <c r="R112" s="0" t="n">
        <f aca="false">P112+R111</f>
        <v>0.000249405599476997</v>
      </c>
      <c r="S112" s="0" t="n">
        <f aca="false">G112/10000*C112*B112</f>
        <v>-1.28060053217822E-006</v>
      </c>
      <c r="T112" s="0" t="n">
        <f aca="false">T111+S112</f>
        <v>0.000230521042149669</v>
      </c>
      <c r="U112" s="0" t="n">
        <f aca="false">U111+C112*B112</f>
        <v>184.262957277762</v>
      </c>
      <c r="V112" s="0" t="n">
        <f aca="false">E112/2*B112</f>
        <v>0.5</v>
      </c>
      <c r="W112" s="142" t="n">
        <f aca="false">C112/(G112/10000)*$B$13*($F$21/F112)^($B$12)</f>
        <v>-0.0378899667879494</v>
      </c>
      <c r="X112" s="142" t="n">
        <f aca="false">W112/B112</f>
        <v>-0.0378899667879494</v>
      </c>
      <c r="Y112" s="142" t="n">
        <f aca="false">Y113+X112</f>
        <v>-0.381854766052071</v>
      </c>
      <c r="Z112" s="540" t="n">
        <f aca="false">-Y112*$B$4*2</f>
        <v>0.381854766052071</v>
      </c>
      <c r="AA112" s="142"/>
      <c r="AJ112" s="142"/>
    </row>
    <row r="113" customFormat="false" ht="15.75" hidden="false" customHeight="false" outlineLevel="0" collapsed="false">
      <c r="A113" s="0" t="n">
        <f aca="false">A112+1</f>
        <v>92</v>
      </c>
      <c r="B113" s="0" t="n">
        <f aca="false">MAX(B112/$G$5,1)</f>
        <v>1</v>
      </c>
      <c r="C113" s="0" t="n">
        <f aca="false">$B$10+A113*$G$4</f>
        <v>-0.0223910891089109</v>
      </c>
      <c r="D113" s="0" t="n">
        <f aca="false">(A113+1)*($B$10+$G$4*A113/2)</f>
        <v>0.702564356435644</v>
      </c>
      <c r="E113" s="0" t="n">
        <f aca="false">IF(A113&lt;$G$6,($B$6/10)*$G$5^(A113/$G$3),($B$6/10)*$G$5^($G$6/$G$3))</f>
        <v>1</v>
      </c>
      <c r="F113" s="0" t="n">
        <f aca="false">IF(A113&lt;$G$6,($B$7/10)*$G$5^(A113/$G$2),($B$7/10)*$G$5^($G$6/$G$2))</f>
        <v>0.866025403784438</v>
      </c>
      <c r="G113" s="0" t="n">
        <f aca="false">F113*F113*3.1416/4</f>
        <v>0.58905</v>
      </c>
      <c r="H113" s="0" t="n">
        <f aca="false">E113*E113*3.1416/4</f>
        <v>0.7854</v>
      </c>
      <c r="I113" s="0" t="n">
        <f aca="false">G113*B113</f>
        <v>0.58905</v>
      </c>
      <c r="J113" s="0" t="n">
        <f aca="false">H113*B113</f>
        <v>0.7854</v>
      </c>
      <c r="K113" s="0" t="n">
        <f aca="false">H113-G113</f>
        <v>0.196350000000001</v>
      </c>
      <c r="L113" s="0" t="n">
        <f aca="false">SQRT(4*K113/3.1416)</f>
        <v>0.500000000000001</v>
      </c>
      <c r="M113" s="0" t="n">
        <f aca="false">(E113-L113)/2</f>
        <v>0.25</v>
      </c>
      <c r="N113" s="0" t="n">
        <f aca="false">E113*3.1416</f>
        <v>3.1416</v>
      </c>
      <c r="O113" s="0" t="n">
        <f aca="false">C113*3.1416*E113*B113/100</f>
        <v>-0.000703438455445544</v>
      </c>
      <c r="P113" s="0" t="n">
        <f aca="false">C113*E113/100*E113/100*3.1416/4*B113</f>
        <v>-1.75859613861386E-006</v>
      </c>
      <c r="Q113" s="0" t="n">
        <f aca="false">Q112+O113</f>
        <v>0.666769985795145</v>
      </c>
      <c r="R113" s="0" t="n">
        <f aca="false">P113+R112</f>
        <v>0.000247647003338383</v>
      </c>
      <c r="S113" s="0" t="n">
        <f aca="false">G113/10000*C113*B113</f>
        <v>-1.31894710396039E-006</v>
      </c>
      <c r="T113" s="0" t="n">
        <f aca="false">T112+S113</f>
        <v>0.000229202095045709</v>
      </c>
      <c r="U113" s="0" t="n">
        <f aca="false">U112+C113*B113</f>
        <v>184.240566188653</v>
      </c>
      <c r="V113" s="0" t="n">
        <f aca="false">E113/2*B113</f>
        <v>0.5</v>
      </c>
      <c r="W113" s="142" t="n">
        <f aca="false">C113/(G113/10000)*$B$13*($F$21/F113)^($B$12)</f>
        <v>-0.0390245519257418</v>
      </c>
      <c r="X113" s="142" t="n">
        <f aca="false">W113/B113</f>
        <v>-0.0390245519257418</v>
      </c>
      <c r="Y113" s="142" t="n">
        <f aca="false">Y114+X113</f>
        <v>-0.343964799264121</v>
      </c>
      <c r="Z113" s="540" t="n">
        <f aca="false">-Y113*$B$4*2</f>
        <v>0.343964799264121</v>
      </c>
      <c r="AA113" s="142"/>
      <c r="AJ113" s="142"/>
    </row>
    <row r="114" customFormat="false" ht="15.75" hidden="false" customHeight="false" outlineLevel="0" collapsed="false">
      <c r="A114" s="0" t="n">
        <f aca="false">A113+1</f>
        <v>93</v>
      </c>
      <c r="B114" s="0" t="n">
        <f aca="false">MAX(B113/$G$5,1)</f>
        <v>1</v>
      </c>
      <c r="C114" s="0" t="n">
        <f aca="false">$B$10+A114*$G$4</f>
        <v>-0.0230420792079208</v>
      </c>
      <c r="D114" s="0" t="n">
        <f aca="false">(A114+1)*($B$10+$G$4*A114/2)</f>
        <v>0.679522277227723</v>
      </c>
      <c r="E114" s="0" t="n">
        <f aca="false">IF(A114&lt;$G$6,($B$6/10)*$G$5^(A114/$G$3),($B$6/10)*$G$5^($G$6/$G$3))</f>
        <v>1</v>
      </c>
      <c r="F114" s="0" t="n">
        <f aca="false">IF(A114&lt;$G$6,($B$7/10)*$G$5^(A114/$G$2),($B$7/10)*$G$5^($G$6/$G$2))</f>
        <v>0.866025403784438</v>
      </c>
      <c r="G114" s="0" t="n">
        <f aca="false">F114*F114*3.1416/4</f>
        <v>0.58905</v>
      </c>
      <c r="H114" s="0" t="n">
        <f aca="false">E114*E114*3.1416/4</f>
        <v>0.7854</v>
      </c>
      <c r="I114" s="0" t="n">
        <f aca="false">G114*B114</f>
        <v>0.58905</v>
      </c>
      <c r="J114" s="0" t="n">
        <f aca="false">H114*B114</f>
        <v>0.7854</v>
      </c>
      <c r="K114" s="0" t="n">
        <f aca="false">H114-G114</f>
        <v>0.196350000000001</v>
      </c>
      <c r="L114" s="0" t="n">
        <f aca="false">SQRT(4*K114/3.1416)</f>
        <v>0.500000000000001</v>
      </c>
      <c r="M114" s="0" t="n">
        <f aca="false">(E114-L114)/2</f>
        <v>0.25</v>
      </c>
      <c r="N114" s="0" t="n">
        <f aca="false">E114*3.1416</f>
        <v>3.1416</v>
      </c>
      <c r="O114" s="0" t="n">
        <f aca="false">C114*3.1416*E114*B114/100</f>
        <v>-0.000723889960396039</v>
      </c>
      <c r="P114" s="0" t="n">
        <f aca="false">C114*E114/100*E114/100*3.1416/4*B114</f>
        <v>-1.8097249009901E-006</v>
      </c>
      <c r="Q114" s="0" t="n">
        <f aca="false">Q113+O114</f>
        <v>0.666046095834749</v>
      </c>
      <c r="R114" s="0" t="n">
        <f aca="false">P114+R113</f>
        <v>0.000245837278437393</v>
      </c>
      <c r="S114" s="0" t="n">
        <f aca="false">G114/10000*C114*B114</f>
        <v>-1.35729367574257E-006</v>
      </c>
      <c r="T114" s="0" t="n">
        <f aca="false">T113+S114</f>
        <v>0.000227844801369966</v>
      </c>
      <c r="U114" s="0" t="n">
        <f aca="false">U113+C114*B114</f>
        <v>184.217524109446</v>
      </c>
      <c r="V114" s="0" t="n">
        <f aca="false">E114/2*B114</f>
        <v>0.5</v>
      </c>
      <c r="W114" s="142" t="n">
        <f aca="false">C114/(G114/10000)*$B$13*($F$21/F114)^($B$12)</f>
        <v>-0.0401591370635342</v>
      </c>
      <c r="X114" s="142" t="n">
        <f aca="false">W114/B114</f>
        <v>-0.0401591370635342</v>
      </c>
      <c r="Y114" s="142" t="n">
        <f aca="false">Y115+X114</f>
        <v>-0.30494024733838</v>
      </c>
      <c r="Z114" s="540" t="n">
        <f aca="false">-Y114*$B$4*2</f>
        <v>0.30494024733838</v>
      </c>
      <c r="AA114" s="142"/>
      <c r="AJ114" s="142"/>
    </row>
    <row r="115" customFormat="false" ht="15.75" hidden="false" customHeight="false" outlineLevel="0" collapsed="false">
      <c r="A115" s="0" t="n">
        <f aca="false">A114+1</f>
        <v>94</v>
      </c>
      <c r="B115" s="0" t="n">
        <f aca="false">MAX(B114/$G$5,1)</f>
        <v>1</v>
      </c>
      <c r="C115" s="0" t="n">
        <f aca="false">$B$10+A115*$G$4</f>
        <v>-0.0236930693069307</v>
      </c>
      <c r="D115" s="0" t="n">
        <f aca="false">(A115+1)*($B$10+$G$4*A115/2)</f>
        <v>0.655829207920792</v>
      </c>
      <c r="E115" s="0" t="n">
        <f aca="false">IF(A115&lt;$G$6,($B$6/10)*$G$5^(A115/$G$3),($B$6/10)*$G$5^($G$6/$G$3))</f>
        <v>1</v>
      </c>
      <c r="F115" s="0" t="n">
        <f aca="false">IF(A115&lt;$G$6,($B$7/10)*$G$5^(A115/$G$2),($B$7/10)*$G$5^($G$6/$G$2))</f>
        <v>0.866025403784438</v>
      </c>
      <c r="G115" s="0" t="n">
        <f aca="false">F115*F115*3.1416/4</f>
        <v>0.58905</v>
      </c>
      <c r="H115" s="0" t="n">
        <f aca="false">E115*E115*3.1416/4</f>
        <v>0.7854</v>
      </c>
      <c r="I115" s="0" t="n">
        <f aca="false">G115*B115</f>
        <v>0.58905</v>
      </c>
      <c r="J115" s="0" t="n">
        <f aca="false">H115*B115</f>
        <v>0.7854</v>
      </c>
      <c r="K115" s="0" t="n">
        <f aca="false">H115-G115</f>
        <v>0.196350000000001</v>
      </c>
      <c r="L115" s="0" t="n">
        <f aca="false">SQRT(4*K115/3.1416)</f>
        <v>0.500000000000001</v>
      </c>
      <c r="M115" s="0" t="n">
        <f aca="false">(E115-L115)/2</f>
        <v>0.25</v>
      </c>
      <c r="N115" s="0" t="n">
        <f aca="false">E115*3.1416</f>
        <v>3.1416</v>
      </c>
      <c r="O115" s="0" t="n">
        <f aca="false">C115*3.1416*E115*B115/100</f>
        <v>-0.000744341465346535</v>
      </c>
      <c r="P115" s="0" t="n">
        <f aca="false">C115*E115/100*E115/100*3.1416/4*B115</f>
        <v>-1.86085366336634E-006</v>
      </c>
      <c r="Q115" s="0" t="n">
        <f aca="false">Q114+O115</f>
        <v>0.665301754369403</v>
      </c>
      <c r="R115" s="0" t="n">
        <f aca="false">P115+R114</f>
        <v>0.000243976424774027</v>
      </c>
      <c r="S115" s="0" t="n">
        <f aca="false">G115/10000*C115*B115</f>
        <v>-1.39564024752475E-006</v>
      </c>
      <c r="T115" s="0" t="n">
        <f aca="false">T114+S115</f>
        <v>0.000226449161122441</v>
      </c>
      <c r="U115" s="0" t="n">
        <f aca="false">U114+C115*B115</f>
        <v>184.193831040139</v>
      </c>
      <c r="V115" s="0" t="n">
        <f aca="false">E115/2*B115</f>
        <v>0.5</v>
      </c>
      <c r="W115" s="142" t="n">
        <f aca="false">C115/(G115/10000)*$B$13*($F$21/F115)^($B$12)</f>
        <v>-0.0412937222013266</v>
      </c>
      <c r="X115" s="142" t="n">
        <f aca="false">W115/B115</f>
        <v>-0.0412937222013266</v>
      </c>
      <c r="Y115" s="142" t="n">
        <f aca="false">Y116+X115</f>
        <v>-0.264781110274845</v>
      </c>
      <c r="Z115" s="540" t="n">
        <f aca="false">-Y115*$B$4*2</f>
        <v>0.264781110274845</v>
      </c>
      <c r="AA115" s="142"/>
      <c r="AJ115" s="142"/>
    </row>
    <row r="116" customFormat="false" ht="15.75" hidden="false" customHeight="false" outlineLevel="0" collapsed="false">
      <c r="A116" s="0" t="n">
        <f aca="false">A115+1</f>
        <v>95</v>
      </c>
      <c r="B116" s="0" t="n">
        <f aca="false">MAX(B115/$G$5,1)</f>
        <v>1</v>
      </c>
      <c r="C116" s="0" t="n">
        <f aca="false">$B$10+A116*$G$4</f>
        <v>-0.0243440594059406</v>
      </c>
      <c r="D116" s="0" t="n">
        <f aca="false">(A116+1)*($B$10+$G$4*A116/2)</f>
        <v>0.631485148514852</v>
      </c>
      <c r="E116" s="0" t="n">
        <f aca="false">IF(A116&lt;$G$6,($B$6/10)*$G$5^(A116/$G$3),($B$6/10)*$G$5^($G$6/$G$3))</f>
        <v>1</v>
      </c>
      <c r="F116" s="0" t="n">
        <f aca="false">IF(A116&lt;$G$6,($B$7/10)*$G$5^(A116/$G$2),($B$7/10)*$G$5^($G$6/$G$2))</f>
        <v>0.866025403784438</v>
      </c>
      <c r="G116" s="0" t="n">
        <f aca="false">F116*F116*3.1416/4</f>
        <v>0.58905</v>
      </c>
      <c r="H116" s="0" t="n">
        <f aca="false">E116*E116*3.1416/4</f>
        <v>0.7854</v>
      </c>
      <c r="I116" s="0" t="n">
        <f aca="false">G116*B116</f>
        <v>0.58905</v>
      </c>
      <c r="J116" s="0" t="n">
        <f aca="false">H116*B116</f>
        <v>0.7854</v>
      </c>
      <c r="K116" s="0" t="n">
        <f aca="false">H116-G116</f>
        <v>0.196350000000001</v>
      </c>
      <c r="L116" s="0" t="n">
        <f aca="false">SQRT(4*K116/3.1416)</f>
        <v>0.500000000000001</v>
      </c>
      <c r="M116" s="0" t="n">
        <f aca="false">(E116-L116)/2</f>
        <v>0.25</v>
      </c>
      <c r="N116" s="0" t="n">
        <f aca="false">E116*3.1416</f>
        <v>3.1416</v>
      </c>
      <c r="O116" s="0" t="n">
        <f aca="false">C116*3.1416*E116*B116/100</f>
        <v>-0.00076479297029703</v>
      </c>
      <c r="P116" s="0" t="n">
        <f aca="false">C116*E116/100*E116/100*3.1416/4*B116</f>
        <v>-1.91198242574258E-006</v>
      </c>
      <c r="Q116" s="0" t="n">
        <f aca="false">Q115+O116</f>
        <v>0.664536961399106</v>
      </c>
      <c r="R116" s="0" t="n">
        <f aca="false">P116+R115</f>
        <v>0.000242064442348284</v>
      </c>
      <c r="S116" s="0" t="n">
        <f aca="false">G116/10000*C116*B116</f>
        <v>-1.43398681930693E-006</v>
      </c>
      <c r="T116" s="0" t="n">
        <f aca="false">T115+S116</f>
        <v>0.000225015174303135</v>
      </c>
      <c r="U116" s="0" t="n">
        <f aca="false">U115+C116*B116</f>
        <v>184.169486980733</v>
      </c>
      <c r="V116" s="0" t="n">
        <f aca="false">E116/2*B116</f>
        <v>0.5</v>
      </c>
      <c r="W116" s="142" t="n">
        <f aca="false">C116/(G116/10000)*$B$13*($F$21/F116)^($B$12)</f>
        <v>-0.042428307339119</v>
      </c>
      <c r="X116" s="142" t="n">
        <f aca="false">W116/B116</f>
        <v>-0.042428307339119</v>
      </c>
      <c r="Y116" s="142" t="n">
        <f aca="false">Y117+X116</f>
        <v>-0.223487388073519</v>
      </c>
      <c r="Z116" s="540" t="n">
        <f aca="false">-Y116*$B$4*2</f>
        <v>0.223487388073519</v>
      </c>
      <c r="AA116" s="142"/>
      <c r="AJ116" s="142"/>
    </row>
    <row r="117" customFormat="false" ht="15.75" hidden="false" customHeight="false" outlineLevel="0" collapsed="false">
      <c r="A117" s="0" t="n">
        <f aca="false">A116+1</f>
        <v>96</v>
      </c>
      <c r="B117" s="0" t="n">
        <f aca="false">MAX(B116/$G$5,1)</f>
        <v>1</v>
      </c>
      <c r="C117" s="0" t="n">
        <f aca="false">$B$10+A117*$G$4</f>
        <v>-0.0249950495049505</v>
      </c>
      <c r="D117" s="0" t="n">
        <f aca="false">(A117+1)*($B$10+$G$4*A117/2)</f>
        <v>0.606490099009901</v>
      </c>
      <c r="E117" s="0" t="n">
        <f aca="false">IF(A117&lt;$G$6,($B$6/10)*$G$5^(A117/$G$3),($B$6/10)*$G$5^($G$6/$G$3))</f>
        <v>1</v>
      </c>
      <c r="F117" s="0" t="n">
        <f aca="false">IF(A117&lt;$G$6,($B$7/10)*$G$5^(A117/$G$2),($B$7/10)*$G$5^($G$6/$G$2))</f>
        <v>0.866025403784438</v>
      </c>
      <c r="G117" s="0" t="n">
        <f aca="false">F117*F117*3.1416/4</f>
        <v>0.58905</v>
      </c>
      <c r="H117" s="0" t="n">
        <f aca="false">E117*E117*3.1416/4</f>
        <v>0.7854</v>
      </c>
      <c r="I117" s="0" t="n">
        <f aca="false">G117*B117</f>
        <v>0.58905</v>
      </c>
      <c r="J117" s="0" t="n">
        <f aca="false">H117*B117</f>
        <v>0.7854</v>
      </c>
      <c r="K117" s="0" t="n">
        <f aca="false">H117-G117</f>
        <v>0.196350000000001</v>
      </c>
      <c r="L117" s="0" t="n">
        <f aca="false">SQRT(4*K117/3.1416)</f>
        <v>0.500000000000001</v>
      </c>
      <c r="M117" s="0" t="n">
        <f aca="false">(E117-L117)/2</f>
        <v>0.25</v>
      </c>
      <c r="N117" s="0" t="n">
        <f aca="false">E117*3.1416</f>
        <v>3.1416</v>
      </c>
      <c r="O117" s="0" t="n">
        <f aca="false">C117*3.1416*E117*B117/100</f>
        <v>-0.000785244475247525</v>
      </c>
      <c r="P117" s="0" t="n">
        <f aca="false">C117*E117/100*E117/100*3.1416/4*B117</f>
        <v>-1.96311118811881E-006</v>
      </c>
      <c r="Q117" s="0" t="n">
        <f aca="false">Q116+O117</f>
        <v>0.663751716923858</v>
      </c>
      <c r="R117" s="0" t="n">
        <f aca="false">P117+R116</f>
        <v>0.000240101331160165</v>
      </c>
      <c r="S117" s="0" t="n">
        <f aca="false">G117/10000*C117*B117</f>
        <v>-1.47233339108911E-006</v>
      </c>
      <c r="T117" s="0" t="n">
        <f aca="false">T116+S117</f>
        <v>0.000223542840912045</v>
      </c>
      <c r="U117" s="0" t="n">
        <f aca="false">U116+C117*B117</f>
        <v>184.144491931228</v>
      </c>
      <c r="V117" s="0" t="n">
        <f aca="false">E117/2*B117</f>
        <v>0.5</v>
      </c>
      <c r="W117" s="142" t="n">
        <f aca="false">C117/(G117/10000)*$B$13*($F$21/F117)^($B$12)</f>
        <v>-0.0435628924769114</v>
      </c>
      <c r="X117" s="142" t="n">
        <f aca="false">W117/B117</f>
        <v>-0.0435628924769114</v>
      </c>
      <c r="Y117" s="142" t="n">
        <f aca="false">Y118+X117</f>
        <v>-0.1810590807344</v>
      </c>
      <c r="Z117" s="540" t="n">
        <f aca="false">-Y117*$B$4*2</f>
        <v>0.1810590807344</v>
      </c>
      <c r="AA117" s="142"/>
      <c r="AJ117" s="142"/>
    </row>
    <row r="118" customFormat="false" ht="15.75" hidden="false" customHeight="false" outlineLevel="0" collapsed="false">
      <c r="A118" s="0" t="n">
        <f aca="false">A117+1</f>
        <v>97</v>
      </c>
      <c r="B118" s="0" t="n">
        <f aca="false">MAX(B117/$G$5,1)</f>
        <v>1</v>
      </c>
      <c r="C118" s="0" t="n">
        <f aca="false">$B$10+A118*$G$4</f>
        <v>-0.0256460396039604</v>
      </c>
      <c r="D118" s="0" t="n">
        <f aca="false">(A118+1)*($B$10+$G$4*A118/2)</f>
        <v>0.580844059405941</v>
      </c>
      <c r="E118" s="0" t="n">
        <f aca="false">IF(A118&lt;$G$6,($B$6/10)*$G$5^(A118/$G$3),($B$6/10)*$G$5^($G$6/$G$3))</f>
        <v>1</v>
      </c>
      <c r="F118" s="0" t="n">
        <f aca="false">IF(A118&lt;$G$6,($B$7/10)*$G$5^(A118/$G$2),($B$7/10)*$G$5^($G$6/$G$2))</f>
        <v>0.866025403784438</v>
      </c>
      <c r="G118" s="0" t="n">
        <f aca="false">F118*F118*3.1416/4</f>
        <v>0.58905</v>
      </c>
      <c r="H118" s="0" t="n">
        <f aca="false">E118*E118*3.1416/4</f>
        <v>0.7854</v>
      </c>
      <c r="I118" s="0" t="n">
        <f aca="false">G118*B118</f>
        <v>0.58905</v>
      </c>
      <c r="J118" s="0" t="n">
        <f aca="false">H118*B118</f>
        <v>0.7854</v>
      </c>
      <c r="K118" s="0" t="n">
        <f aca="false">H118-G118</f>
        <v>0.196350000000001</v>
      </c>
      <c r="L118" s="0" t="n">
        <f aca="false">SQRT(4*K118/3.1416)</f>
        <v>0.500000000000001</v>
      </c>
      <c r="M118" s="0" t="n">
        <f aca="false">(E118-L118)/2</f>
        <v>0.25</v>
      </c>
      <c r="N118" s="0" t="n">
        <f aca="false">E118*3.1416</f>
        <v>3.1416</v>
      </c>
      <c r="O118" s="0" t="n">
        <f aca="false">C118*3.1416*E118*B118/100</f>
        <v>-0.00080569598019802</v>
      </c>
      <c r="P118" s="0" t="n">
        <f aca="false">C118*E118/100*E118/100*3.1416/4*B118</f>
        <v>-2.01423995049505E-006</v>
      </c>
      <c r="Q118" s="0" t="n">
        <f aca="false">Q117+O118</f>
        <v>0.66294602094366</v>
      </c>
      <c r="R118" s="0" t="n">
        <f aca="false">P118+R117</f>
        <v>0.00023808709120967</v>
      </c>
      <c r="S118" s="0" t="n">
        <f aca="false">G118/10000*C118*B118</f>
        <v>-1.51067996287129E-006</v>
      </c>
      <c r="T118" s="0" t="n">
        <f aca="false">T117+S118</f>
        <v>0.000222032160949174</v>
      </c>
      <c r="U118" s="0" t="n">
        <f aca="false">U117+C118*B118</f>
        <v>184.118845891624</v>
      </c>
      <c r="V118" s="0" t="n">
        <f aca="false">E118/2*B118</f>
        <v>0.5</v>
      </c>
      <c r="W118" s="142" t="n">
        <f aca="false">C118/(G118/10000)*$B$13*($F$21/F118)^($B$12)</f>
        <v>-0.0446974776147038</v>
      </c>
      <c r="X118" s="142" t="n">
        <f aca="false">W118/B118</f>
        <v>-0.0446974776147038</v>
      </c>
      <c r="Y118" s="142" t="n">
        <f aca="false">Y119+X118</f>
        <v>-0.137496188257489</v>
      </c>
      <c r="Z118" s="540" t="n">
        <f aca="false">-Y118*$B$4*2</f>
        <v>0.137496188257489</v>
      </c>
      <c r="AA118" s="142"/>
      <c r="AJ118" s="142"/>
    </row>
    <row r="119" customFormat="false" ht="15.75" hidden="false" customHeight="false" outlineLevel="0" collapsed="false">
      <c r="A119" s="0" t="n">
        <f aca="false">A118+1</f>
        <v>98</v>
      </c>
      <c r="B119" s="0" t="n">
        <f aca="false">MAX(B118/$G$5,1)</f>
        <v>1</v>
      </c>
      <c r="C119" s="0" t="n">
        <f aca="false">$B$10+A119*$G$4</f>
        <v>-0.0262970297029703</v>
      </c>
      <c r="D119" s="0" t="n">
        <f aca="false">(A119+1)*($B$10+$G$4*A119/2)</f>
        <v>0.554547029702971</v>
      </c>
      <c r="E119" s="0" t="n">
        <f aca="false">IF(A119&lt;$G$6,($B$6/10)*$G$5^(A119/$G$3),($B$6/10)*$G$5^($G$6/$G$3))</f>
        <v>1</v>
      </c>
      <c r="F119" s="0" t="n">
        <f aca="false">IF(A119&lt;$G$6,($B$7/10)*$G$5^(A119/$G$2),($B$7/10)*$G$5^($G$6/$G$2))</f>
        <v>0.866025403784438</v>
      </c>
      <c r="G119" s="0" t="n">
        <f aca="false">F119*F119*3.1416/4</f>
        <v>0.58905</v>
      </c>
      <c r="H119" s="0" t="n">
        <f aca="false">E119*E119*3.1416/4</f>
        <v>0.7854</v>
      </c>
      <c r="I119" s="0" t="n">
        <f aca="false">G119*B119</f>
        <v>0.58905</v>
      </c>
      <c r="J119" s="0" t="n">
        <f aca="false">H119*B119</f>
        <v>0.7854</v>
      </c>
      <c r="K119" s="0" t="n">
        <f aca="false">H119-G119</f>
        <v>0.196350000000001</v>
      </c>
      <c r="L119" s="0" t="n">
        <f aca="false">SQRT(4*K119/3.1416)</f>
        <v>0.500000000000001</v>
      </c>
      <c r="M119" s="0" t="n">
        <f aca="false">(E119-L119)/2</f>
        <v>0.25</v>
      </c>
      <c r="N119" s="0" t="n">
        <f aca="false">E119*3.1416</f>
        <v>3.1416</v>
      </c>
      <c r="O119" s="0" t="n">
        <f aca="false">C119*3.1416*E119*B119/100</f>
        <v>-0.000826147485148515</v>
      </c>
      <c r="P119" s="0" t="n">
        <f aca="false">C119*E119/100*E119/100*3.1416/4*B119</f>
        <v>-2.06536871287129E-006</v>
      </c>
      <c r="Q119" s="0" t="n">
        <f aca="false">Q118+O119</f>
        <v>0.662119873458512</v>
      </c>
      <c r="R119" s="0" t="n">
        <f aca="false">P119+R118</f>
        <v>0.000236021722496799</v>
      </c>
      <c r="S119" s="0" t="n">
        <f aca="false">G119/10000*C119*B119</f>
        <v>-1.54902653465346E-006</v>
      </c>
      <c r="T119" s="0" t="n">
        <f aca="false">T118+S119</f>
        <v>0.000220483134414521</v>
      </c>
      <c r="U119" s="0" t="n">
        <f aca="false">U118+C119*B119</f>
        <v>184.092548861921</v>
      </c>
      <c r="V119" s="0" t="n">
        <f aca="false">E119/2*B119</f>
        <v>0.5</v>
      </c>
      <c r="W119" s="142" t="n">
        <f aca="false">C119/(G119/10000)*$B$13*($F$21/F119)^($B$12)</f>
        <v>-0.0458320627524962</v>
      </c>
      <c r="X119" s="142" t="n">
        <f aca="false">W119/B119</f>
        <v>-0.0458320627524962</v>
      </c>
      <c r="Y119" s="142" t="n">
        <f aca="false">Y120+X119</f>
        <v>-0.0927987106427848</v>
      </c>
      <c r="Z119" s="540" t="n">
        <f aca="false">-Y119*$B$4*2</f>
        <v>0.0927987106427848</v>
      </c>
      <c r="AA119" s="142"/>
      <c r="AJ119" s="142"/>
    </row>
    <row r="120" customFormat="false" ht="15.75" hidden="false" customHeight="false" outlineLevel="0" collapsed="false">
      <c r="A120" s="0" t="n">
        <f aca="false">A119+1</f>
        <v>99</v>
      </c>
      <c r="B120" s="0" t="n">
        <f aca="false">MAX(B119/$G$5,1)</f>
        <v>1</v>
      </c>
      <c r="C120" s="0" t="n">
        <f aca="false">$B$10+A120*$G$4</f>
        <v>-0.0269480198019802</v>
      </c>
      <c r="D120" s="0" t="n">
        <f aca="false">(A120+1)*($B$10+$G$4*A120/2)</f>
        <v>0.527599009900991</v>
      </c>
      <c r="E120" s="0" t="n">
        <f aca="false">IF(A120&lt;$G$6,($B$6/10)*$G$5^(A120/$G$3),($B$6/10)*$G$5^($G$6/$G$3))</f>
        <v>1</v>
      </c>
      <c r="F120" s="0" t="n">
        <f aca="false">IF(A120&lt;$G$6,($B$7/10)*$G$5^(A120/$G$2),($B$7/10)*$G$5^($G$6/$G$2))</f>
        <v>0.866025403784438</v>
      </c>
      <c r="G120" s="0" t="n">
        <f aca="false">F120*F120*3.1416/4</f>
        <v>0.58905</v>
      </c>
      <c r="H120" s="0" t="n">
        <f aca="false">E120*E120*3.1416/4</f>
        <v>0.7854</v>
      </c>
      <c r="I120" s="0" t="n">
        <f aca="false">G120*B120</f>
        <v>0.58905</v>
      </c>
      <c r="J120" s="0" t="n">
        <f aca="false">H120*B120</f>
        <v>0.7854</v>
      </c>
      <c r="K120" s="0" t="n">
        <f aca="false">H120-G120</f>
        <v>0.196350000000001</v>
      </c>
      <c r="L120" s="0" t="n">
        <f aca="false">SQRT(4*K120/3.1416)</f>
        <v>0.500000000000001</v>
      </c>
      <c r="M120" s="0" t="n">
        <f aca="false">(E120-L120)/2</f>
        <v>0.25</v>
      </c>
      <c r="N120" s="0" t="n">
        <f aca="false">E120*3.1416</f>
        <v>3.1416</v>
      </c>
      <c r="O120" s="0" t="n">
        <f aca="false">C120*3.1416*E120*B120/100</f>
        <v>-0.00084659899009901</v>
      </c>
      <c r="P120" s="0" t="n">
        <f aca="false">C120*E120/100*E120/100*3.1416/4*B120</f>
        <v>-2.11649747524753E-006</v>
      </c>
      <c r="Q120" s="0" t="n">
        <f aca="false">Q119+O120</f>
        <v>0.661273274468413</v>
      </c>
      <c r="R120" s="0" t="n">
        <f aca="false">P120+R119</f>
        <v>0.000233905225021552</v>
      </c>
      <c r="S120" s="0" t="n">
        <f aca="false">G120/10000*C120*B120</f>
        <v>-1.58737310643564E-006</v>
      </c>
      <c r="T120" s="0" t="n">
        <f aca="false">T119+S120</f>
        <v>0.000218895761308085</v>
      </c>
      <c r="U120" s="0" t="n">
        <f aca="false">U119+C120*B120</f>
        <v>184.065600842119</v>
      </c>
      <c r="V120" s="0" t="n">
        <f aca="false">E120/2*B120</f>
        <v>0.5</v>
      </c>
      <c r="W120" s="142" t="n">
        <f aca="false">C120/(G120/10000)*$B$13*($F$21/F120)^($B$12)</f>
        <v>-0.0469666478902886</v>
      </c>
      <c r="X120" s="142" t="n">
        <f aca="false">W120/B120</f>
        <v>-0.0469666478902886</v>
      </c>
      <c r="Y120" s="142" t="n">
        <f aca="false">Y121+X120</f>
        <v>-0.0469666478902886</v>
      </c>
      <c r="Z120" s="540" t="n">
        <f aca="false">-Y120*$B$4*2</f>
        <v>0.0469666478902886</v>
      </c>
      <c r="AA120" s="142"/>
      <c r="AJ120" s="142"/>
    </row>
    <row r="121" customFormat="false" ht="15.75" hidden="false" customHeight="false" outlineLevel="0" collapsed="false">
      <c r="W121" s="142"/>
      <c r="X121" s="142"/>
      <c r="Y121" s="142"/>
      <c r="Z121" s="540"/>
      <c r="AA121" s="142"/>
      <c r="AJ121" s="142"/>
    </row>
    <row r="122" customFormat="false" ht="15.75" hidden="false" customHeight="false" outlineLevel="0" collapsed="false">
      <c r="W122" s="142"/>
      <c r="X122" s="530"/>
      <c r="AK122" s="142"/>
    </row>
    <row r="123" customFormat="false" ht="15.75" hidden="false" customHeight="false" outlineLevel="0" collapsed="false">
      <c r="W123" s="142"/>
      <c r="X123" s="530"/>
      <c r="AK123" s="142"/>
    </row>
    <row r="124" customFormat="false" ht="15.75" hidden="false" customHeight="false" outlineLevel="0" collapsed="false">
      <c r="W124" s="142"/>
      <c r="X124" s="530"/>
      <c r="AK124" s="142"/>
    </row>
    <row r="125" customFormat="false" ht="15.75" hidden="false" customHeight="false" outlineLevel="0" collapsed="false">
      <c r="W125" s="142"/>
      <c r="X125" s="530"/>
      <c r="AK125" s="142"/>
    </row>
    <row r="126" customFormat="false" ht="15.75" hidden="false" customHeight="false" outlineLevel="0" collapsed="false">
      <c r="W126" s="142"/>
      <c r="X126" s="530"/>
      <c r="AK126" s="142"/>
    </row>
    <row r="127" customFormat="false" ht="15.75" hidden="false" customHeight="false" outlineLevel="0" collapsed="false">
      <c r="W127" s="142"/>
      <c r="X127" s="530"/>
      <c r="AK127" s="142"/>
    </row>
    <row r="128" customFormat="false" ht="15.75" hidden="false" customHeight="false" outlineLevel="0" collapsed="false">
      <c r="W128" s="142"/>
      <c r="X128" s="530"/>
      <c r="AK128" s="142"/>
    </row>
    <row r="129" customFormat="false" ht="15.75" hidden="false" customHeight="false" outlineLevel="0" collapsed="false">
      <c r="W129" s="142"/>
      <c r="X129" s="530"/>
      <c r="AK129" s="142"/>
    </row>
    <row r="130" customFormat="false" ht="15.75" hidden="false" customHeight="false" outlineLevel="0" collapsed="false">
      <c r="W130" s="142"/>
      <c r="X130" s="530"/>
      <c r="AK130" s="142"/>
    </row>
    <row r="131" customFormat="false" ht="15.75" hidden="false" customHeight="false" outlineLevel="0" collapsed="false">
      <c r="W131" s="142"/>
      <c r="X131" s="142"/>
      <c r="Y131" s="142"/>
      <c r="Z131" s="142"/>
      <c r="AA131" s="142"/>
      <c r="AB131" s="530"/>
      <c r="AO131" s="142"/>
    </row>
    <row r="132" customFormat="false" ht="15.75" hidden="false" customHeight="false" outlineLevel="0" collapsed="false">
      <c r="W132" s="142"/>
      <c r="X132" s="142"/>
      <c r="Y132" s="142"/>
      <c r="Z132" s="142"/>
      <c r="AA132" s="142"/>
      <c r="AB132" s="530"/>
      <c r="AO132" s="142"/>
    </row>
    <row r="133" customFormat="false" ht="15.75" hidden="false" customHeight="false" outlineLevel="0" collapsed="false">
      <c r="W133" s="142"/>
      <c r="X133" s="142"/>
      <c r="Y133" s="142"/>
      <c r="Z133" s="142"/>
      <c r="AA133" s="142"/>
      <c r="AB133" s="530"/>
      <c r="AO133" s="142"/>
    </row>
    <row r="134" customFormat="false" ht="15.75" hidden="false" customHeight="false" outlineLevel="0" collapsed="false">
      <c r="W134" s="142"/>
      <c r="X134" s="142"/>
      <c r="Y134" s="142"/>
      <c r="Z134" s="142"/>
      <c r="AA134" s="142"/>
      <c r="AB134" s="530"/>
      <c r="AO134" s="142"/>
    </row>
    <row r="135" customFormat="false" ht="15.75" hidden="false" customHeight="false" outlineLevel="0" collapsed="false">
      <c r="W135" s="142"/>
      <c r="X135" s="142"/>
      <c r="Y135" s="142"/>
      <c r="Z135" s="142"/>
      <c r="AA135" s="142"/>
      <c r="AB135" s="530"/>
      <c r="AO135" s="142"/>
    </row>
    <row r="136" customFormat="false" ht="15.75" hidden="false" customHeight="false" outlineLevel="0" collapsed="false">
      <c r="W136" s="142"/>
      <c r="X136" s="142"/>
      <c r="Y136" s="142"/>
      <c r="Z136" s="142"/>
      <c r="AA136" s="142"/>
      <c r="AB136" s="530"/>
      <c r="AO136" s="142"/>
    </row>
    <row r="137" customFormat="false" ht="15.75" hidden="false" customHeight="false" outlineLevel="0" collapsed="false">
      <c r="W137" s="142"/>
      <c r="X137" s="142"/>
      <c r="Y137" s="142"/>
      <c r="Z137" s="142"/>
      <c r="AA137" s="142"/>
      <c r="AB137" s="530"/>
      <c r="AO137" s="142"/>
    </row>
    <row r="138" customFormat="false" ht="15.75" hidden="false" customHeight="false" outlineLevel="0" collapsed="false">
      <c r="W138" s="142"/>
      <c r="X138" s="142"/>
      <c r="Y138" s="142"/>
      <c r="Z138" s="142"/>
      <c r="AA138" s="142"/>
      <c r="AB138" s="530"/>
      <c r="AO138" s="142"/>
    </row>
    <row r="139" customFormat="false" ht="15.75" hidden="false" customHeight="false" outlineLevel="0" collapsed="false">
      <c r="W139" s="142"/>
      <c r="X139" s="142"/>
      <c r="Y139" s="142"/>
      <c r="Z139" s="142"/>
      <c r="AA139" s="142"/>
      <c r="AB139" s="530"/>
      <c r="AO139" s="142"/>
    </row>
    <row r="140" customFormat="false" ht="15.75" hidden="false" customHeight="false" outlineLevel="0" collapsed="false">
      <c r="W140" s="142"/>
      <c r="X140" s="142"/>
      <c r="Y140" s="142"/>
      <c r="Z140" s="142"/>
      <c r="AA140" s="142"/>
      <c r="AB140" s="530"/>
      <c r="AO140" s="142"/>
    </row>
    <row r="141" customFormat="false" ht="15.75" hidden="false" customHeight="false" outlineLevel="0" collapsed="false">
      <c r="W141" s="142"/>
      <c r="X141" s="142"/>
      <c r="Y141" s="142"/>
      <c r="Z141" s="142"/>
      <c r="AA141" s="142"/>
      <c r="AB141" s="530"/>
      <c r="AO141" s="142"/>
    </row>
    <row r="142" customFormat="false" ht="15.75" hidden="false" customHeight="false" outlineLevel="0" collapsed="false">
      <c r="W142" s="142"/>
      <c r="X142" s="142"/>
      <c r="Y142" s="142"/>
      <c r="Z142" s="142"/>
      <c r="AA142" s="142"/>
      <c r="AB142" s="530"/>
      <c r="AO142" s="142"/>
    </row>
    <row r="143" customFormat="false" ht="15.75" hidden="false" customHeight="false" outlineLevel="0" collapsed="false">
      <c r="W143" s="142"/>
      <c r="X143" s="142"/>
      <c r="Y143" s="142"/>
      <c r="Z143" s="142"/>
      <c r="AA143" s="142"/>
      <c r="AB143" s="530"/>
      <c r="AO143" s="142"/>
    </row>
    <row r="144" customFormat="false" ht="15.75" hidden="false" customHeight="false" outlineLevel="0" collapsed="false">
      <c r="W144" s="142"/>
      <c r="X144" s="142"/>
      <c r="Y144" s="142"/>
      <c r="Z144" s="142"/>
      <c r="AA144" s="142"/>
      <c r="AB144" s="530"/>
      <c r="AO144" s="142"/>
    </row>
    <row r="145" customFormat="false" ht="15.75" hidden="false" customHeight="false" outlineLevel="0" collapsed="false">
      <c r="W145" s="142"/>
      <c r="X145" s="142"/>
      <c r="Y145" s="142"/>
      <c r="Z145" s="142"/>
      <c r="AA145" s="142"/>
      <c r="AB145" s="530"/>
      <c r="AO145" s="142"/>
    </row>
    <row r="146" customFormat="false" ht="15.75" hidden="false" customHeight="false" outlineLevel="0" collapsed="false">
      <c r="W146" s="142"/>
      <c r="X146" s="142"/>
      <c r="Y146" s="142"/>
      <c r="Z146" s="142"/>
      <c r="AA146" s="142"/>
      <c r="AB146" s="530"/>
      <c r="AO146" s="142"/>
    </row>
    <row r="147" customFormat="false" ht="15.75" hidden="false" customHeight="false" outlineLevel="0" collapsed="false">
      <c r="W147" s="142"/>
      <c r="X147" s="142"/>
      <c r="Y147" s="142"/>
      <c r="Z147" s="142"/>
      <c r="AA147" s="142"/>
      <c r="AB147" s="530"/>
      <c r="AO147" s="142"/>
    </row>
    <row r="148" customFormat="false" ht="15.75" hidden="false" customHeight="false" outlineLevel="0" collapsed="false">
      <c r="W148" s="142"/>
      <c r="X148" s="142"/>
      <c r="Y148" s="142"/>
      <c r="Z148" s="142"/>
      <c r="AA148" s="142"/>
      <c r="AB148" s="530"/>
      <c r="AO148" s="142"/>
    </row>
    <row r="149" customFormat="false" ht="15.75" hidden="false" customHeight="false" outlineLevel="0" collapsed="false">
      <c r="W149" s="142"/>
      <c r="X149" s="142"/>
      <c r="Y149" s="142"/>
      <c r="Z149" s="142"/>
      <c r="AA149" s="142"/>
      <c r="AB149" s="530"/>
      <c r="AO149" s="142"/>
    </row>
    <row r="150" customFormat="false" ht="15.75" hidden="false" customHeight="false" outlineLevel="0" collapsed="false">
      <c r="W150" s="142"/>
      <c r="X150" s="142"/>
      <c r="Y150" s="142"/>
      <c r="Z150" s="142"/>
      <c r="AA150" s="142"/>
      <c r="AB150" s="530"/>
      <c r="AO150" s="142"/>
    </row>
    <row r="151" customFormat="false" ht="15.75" hidden="false" customHeight="false" outlineLevel="0" collapsed="false">
      <c r="W151" s="142"/>
      <c r="X151" s="142"/>
      <c r="Y151" s="142"/>
      <c r="Z151" s="142"/>
      <c r="AA151" s="142"/>
      <c r="AB151" s="530"/>
      <c r="AO151" s="142"/>
    </row>
    <row r="152" customFormat="false" ht="15.75" hidden="false" customHeight="false" outlineLevel="0" collapsed="false">
      <c r="W152" s="142"/>
      <c r="X152" s="142"/>
      <c r="Y152" s="142"/>
      <c r="Z152" s="142"/>
      <c r="AA152" s="142"/>
      <c r="AB152" s="530"/>
      <c r="AO152" s="142"/>
    </row>
    <row r="153" customFormat="false" ht="15.75" hidden="false" customHeight="false" outlineLevel="0" collapsed="false">
      <c r="W153" s="142"/>
      <c r="X153" s="142"/>
      <c r="Y153" s="142"/>
      <c r="Z153" s="142"/>
      <c r="AA153" s="142"/>
      <c r="AB153" s="530"/>
      <c r="AO153" s="142"/>
    </row>
    <row r="154" customFormat="false" ht="15.75" hidden="false" customHeight="false" outlineLevel="0" collapsed="false">
      <c r="W154" s="142"/>
      <c r="X154" s="142"/>
      <c r="Y154" s="142"/>
      <c r="Z154" s="142"/>
      <c r="AA154" s="142"/>
      <c r="AB154" s="530"/>
      <c r="AO154" s="142"/>
    </row>
    <row r="155" customFormat="false" ht="15.75" hidden="false" customHeight="false" outlineLevel="0" collapsed="false">
      <c r="W155" s="142"/>
      <c r="X155" s="142"/>
      <c r="Y155" s="142"/>
      <c r="Z155" s="142"/>
      <c r="AA155" s="142"/>
      <c r="AB155" s="530"/>
      <c r="AO155" s="142"/>
    </row>
    <row r="156" customFormat="false" ht="15.75" hidden="false" customHeight="false" outlineLevel="0" collapsed="false">
      <c r="W156" s="142"/>
      <c r="X156" s="142"/>
      <c r="Y156" s="142"/>
      <c r="Z156" s="142"/>
      <c r="AA156" s="142"/>
      <c r="AB156" s="530"/>
      <c r="AO156" s="142"/>
    </row>
    <row r="157" customFormat="false" ht="15.75" hidden="false" customHeight="false" outlineLevel="0" collapsed="false">
      <c r="W157" s="142"/>
      <c r="X157" s="142"/>
      <c r="Y157" s="142"/>
      <c r="Z157" s="142"/>
      <c r="AA157" s="142"/>
      <c r="AB157" s="530"/>
      <c r="AO157" s="142"/>
    </row>
    <row r="158" customFormat="false" ht="15.75" hidden="false" customHeight="false" outlineLevel="0" collapsed="false">
      <c r="W158" s="142"/>
      <c r="X158" s="142"/>
      <c r="Y158" s="142"/>
      <c r="Z158" s="142"/>
      <c r="AA158" s="142"/>
      <c r="AB158" s="530"/>
      <c r="AO158" s="142"/>
    </row>
    <row r="159" customFormat="false" ht="15.75" hidden="false" customHeight="false" outlineLevel="0" collapsed="false">
      <c r="W159" s="142"/>
      <c r="X159" s="142"/>
      <c r="Y159" s="142"/>
      <c r="Z159" s="142"/>
      <c r="AA159" s="142"/>
      <c r="AB159" s="530"/>
      <c r="AO159" s="142"/>
    </row>
    <row r="160" customFormat="false" ht="15.75" hidden="false" customHeight="false" outlineLevel="0" collapsed="false">
      <c r="W160" s="142"/>
      <c r="X160" s="142"/>
      <c r="Y160" s="142"/>
      <c r="Z160" s="142"/>
      <c r="AA160" s="142"/>
      <c r="AB160" s="530"/>
      <c r="AO160" s="142"/>
    </row>
    <row r="161" customFormat="false" ht="15.75" hidden="false" customHeight="false" outlineLevel="0" collapsed="false">
      <c r="W161" s="142"/>
      <c r="X161" s="142"/>
      <c r="Y161" s="142"/>
      <c r="Z161" s="142"/>
      <c r="AA161" s="142"/>
      <c r="AB161" s="530"/>
      <c r="AO161" s="142"/>
    </row>
    <row r="162" customFormat="false" ht="15.75" hidden="false" customHeight="false" outlineLevel="0" collapsed="false">
      <c r="W162" s="142"/>
      <c r="X162" s="142"/>
      <c r="Y162" s="142"/>
      <c r="Z162" s="142"/>
      <c r="AA162" s="142"/>
      <c r="AB162" s="530"/>
      <c r="AO162" s="142"/>
    </row>
    <row r="163" customFormat="false" ht="15.75" hidden="false" customHeight="false" outlineLevel="0" collapsed="false">
      <c r="W163" s="142"/>
      <c r="X163" s="142"/>
      <c r="Y163" s="142"/>
      <c r="Z163" s="142"/>
      <c r="AA163" s="142"/>
      <c r="AB163" s="530"/>
      <c r="AO163" s="142"/>
    </row>
    <row r="164" customFormat="false" ht="15.75" hidden="false" customHeight="false" outlineLevel="0" collapsed="false">
      <c r="W164" s="142"/>
      <c r="X164" s="142"/>
      <c r="Y164" s="142"/>
      <c r="Z164" s="142"/>
      <c r="AA164" s="142"/>
      <c r="AB164" s="530"/>
      <c r="AO164" s="142"/>
    </row>
    <row r="165" customFormat="false" ht="15.75" hidden="false" customHeight="false" outlineLevel="0" collapsed="false">
      <c r="W165" s="142"/>
      <c r="X165" s="142"/>
      <c r="Y165" s="142"/>
      <c r="Z165" s="142"/>
      <c r="AA165" s="142"/>
      <c r="AB165" s="530"/>
      <c r="AO165" s="142"/>
    </row>
    <row r="166" customFormat="false" ht="15.75" hidden="false" customHeight="false" outlineLevel="0" collapsed="false">
      <c r="W166" s="142"/>
      <c r="X166" s="142"/>
      <c r="Y166" s="142"/>
      <c r="Z166" s="142"/>
      <c r="AA166" s="142"/>
      <c r="AB166" s="530"/>
      <c r="AO166" s="142"/>
    </row>
    <row r="167" customFormat="false" ht="15.75" hidden="false" customHeight="false" outlineLevel="0" collapsed="false">
      <c r="W167" s="142"/>
      <c r="X167" s="142"/>
      <c r="Y167" s="142"/>
      <c r="Z167" s="142"/>
      <c r="AA167" s="142"/>
      <c r="AB167" s="530"/>
      <c r="AO167" s="142"/>
    </row>
    <row r="168" customFormat="false" ht="15.75" hidden="false" customHeight="false" outlineLevel="0" collapsed="false">
      <c r="W168" s="142"/>
      <c r="X168" s="142"/>
      <c r="Y168" s="142"/>
      <c r="Z168" s="142"/>
      <c r="AA168" s="142"/>
      <c r="AB168" s="530"/>
      <c r="AO168" s="142"/>
    </row>
    <row r="169" customFormat="false" ht="15.75" hidden="false" customHeight="false" outlineLevel="0" collapsed="false">
      <c r="W169" s="142"/>
      <c r="X169" s="142"/>
      <c r="Y169" s="142"/>
      <c r="Z169" s="142"/>
      <c r="AA169" s="142"/>
      <c r="AB169" s="530"/>
      <c r="AO169" s="142"/>
    </row>
    <row r="170" customFormat="false" ht="15.75" hidden="false" customHeight="false" outlineLevel="0" collapsed="false">
      <c r="W170" s="142"/>
      <c r="X170" s="142"/>
      <c r="Y170" s="142"/>
      <c r="Z170" s="142"/>
      <c r="AA170" s="142"/>
      <c r="AB170" s="530"/>
      <c r="AO170" s="142"/>
    </row>
    <row r="171" customFormat="false" ht="15.75" hidden="false" customHeight="false" outlineLevel="0" collapsed="false">
      <c r="W171" s="142"/>
      <c r="X171" s="142"/>
      <c r="Y171" s="142"/>
      <c r="Z171" s="142"/>
      <c r="AA171" s="142"/>
      <c r="AB171" s="530"/>
      <c r="AO171" s="142"/>
    </row>
    <row r="172" customFormat="false" ht="15.75" hidden="false" customHeight="false" outlineLevel="0" collapsed="false">
      <c r="W172" s="142"/>
      <c r="X172" s="142"/>
      <c r="Y172" s="142"/>
      <c r="Z172" s="142"/>
      <c r="AA172" s="142"/>
      <c r="AB172" s="530"/>
      <c r="AO172" s="142"/>
    </row>
    <row r="173" customFormat="false" ht="15.75" hidden="false" customHeight="false" outlineLevel="0" collapsed="false">
      <c r="W173" s="142"/>
      <c r="X173" s="142"/>
      <c r="Y173" s="142"/>
      <c r="Z173" s="142"/>
      <c r="AA173" s="142"/>
      <c r="AB173" s="530"/>
      <c r="AO173" s="142"/>
    </row>
    <row r="174" customFormat="false" ht="15.75" hidden="false" customHeight="false" outlineLevel="0" collapsed="false">
      <c r="W174" s="142"/>
      <c r="X174" s="142"/>
      <c r="Y174" s="142"/>
      <c r="Z174" s="142"/>
      <c r="AA174" s="142"/>
      <c r="AB174" s="530"/>
      <c r="AO174" s="142"/>
    </row>
    <row r="175" customFormat="false" ht="15.75" hidden="false" customHeight="false" outlineLevel="0" collapsed="false">
      <c r="W175" s="142"/>
      <c r="X175" s="142"/>
      <c r="Y175" s="142"/>
      <c r="Z175" s="142"/>
      <c r="AA175" s="142"/>
      <c r="AB175" s="530"/>
      <c r="AO175" s="142"/>
    </row>
    <row r="176" customFormat="false" ht="15.75" hidden="false" customHeight="false" outlineLevel="0" collapsed="false">
      <c r="W176" s="142"/>
      <c r="X176" s="142"/>
      <c r="Y176" s="142"/>
      <c r="Z176" s="142"/>
      <c r="AA176" s="142"/>
      <c r="AB176" s="530"/>
      <c r="AO176" s="142"/>
    </row>
    <row r="177" customFormat="false" ht="15.75" hidden="false" customHeight="false" outlineLevel="0" collapsed="false">
      <c r="W177" s="142"/>
      <c r="X177" s="142"/>
      <c r="Y177" s="142"/>
      <c r="Z177" s="142"/>
      <c r="AA177" s="142"/>
      <c r="AB177" s="530"/>
      <c r="AO177" s="142"/>
    </row>
    <row r="178" customFormat="false" ht="15.75" hidden="false" customHeight="false" outlineLevel="0" collapsed="false">
      <c r="W178" s="142"/>
      <c r="X178" s="142"/>
      <c r="Y178" s="142"/>
      <c r="Z178" s="142"/>
      <c r="AA178" s="142"/>
      <c r="AB178" s="530"/>
      <c r="AO178" s="142"/>
    </row>
    <row r="179" customFormat="false" ht="15.75" hidden="false" customHeight="false" outlineLevel="0" collapsed="false">
      <c r="W179" s="142"/>
      <c r="X179" s="142"/>
      <c r="Y179" s="142"/>
      <c r="Z179" s="142"/>
      <c r="AA179" s="142"/>
      <c r="AB179" s="530"/>
      <c r="AO179" s="142"/>
    </row>
    <row r="180" customFormat="false" ht="15.75" hidden="false" customHeight="false" outlineLevel="0" collapsed="false">
      <c r="W180" s="142"/>
      <c r="X180" s="142"/>
      <c r="Y180" s="142"/>
      <c r="Z180" s="142"/>
      <c r="AA180" s="142"/>
      <c r="AB180" s="530"/>
      <c r="AO180" s="142"/>
    </row>
    <row r="181" customFormat="false" ht="15.75" hidden="false" customHeight="false" outlineLevel="0" collapsed="false">
      <c r="W181" s="142"/>
      <c r="X181" s="142"/>
      <c r="Y181" s="142"/>
      <c r="Z181" s="142"/>
      <c r="AA181" s="142"/>
      <c r="AB181" s="530"/>
      <c r="AO181" s="142"/>
    </row>
    <row r="182" customFormat="false" ht="15.75" hidden="false" customHeight="false" outlineLevel="0" collapsed="false">
      <c r="W182" s="142"/>
      <c r="X182" s="142"/>
      <c r="Y182" s="142"/>
      <c r="Z182" s="142"/>
      <c r="AA182" s="142"/>
      <c r="AB182" s="530"/>
      <c r="AO182" s="142"/>
    </row>
    <row r="183" customFormat="false" ht="15.75" hidden="false" customHeight="false" outlineLevel="0" collapsed="false">
      <c r="W183" s="142"/>
      <c r="X183" s="142"/>
      <c r="Y183" s="142"/>
      <c r="Z183" s="142"/>
      <c r="AA183" s="142"/>
      <c r="AB183" s="530"/>
      <c r="AO183" s="142"/>
    </row>
    <row r="184" customFormat="false" ht="15.75" hidden="false" customHeight="false" outlineLevel="0" collapsed="false">
      <c r="W184" s="142"/>
      <c r="X184" s="142"/>
      <c r="Y184" s="142"/>
      <c r="Z184" s="142"/>
      <c r="AA184" s="142"/>
      <c r="AB184" s="530"/>
      <c r="AO184" s="142"/>
    </row>
    <row r="185" customFormat="false" ht="15.75" hidden="false" customHeight="false" outlineLevel="0" collapsed="false">
      <c r="W185" s="142"/>
      <c r="X185" s="142"/>
      <c r="Y185" s="142"/>
      <c r="Z185" s="142"/>
      <c r="AA185" s="142"/>
      <c r="AB185" s="530"/>
      <c r="AO185" s="142"/>
    </row>
    <row r="186" customFormat="false" ht="15.75" hidden="false" customHeight="false" outlineLevel="0" collapsed="false">
      <c r="W186" s="142"/>
      <c r="X186" s="142"/>
      <c r="Y186" s="142"/>
      <c r="Z186" s="142"/>
      <c r="AA186" s="142"/>
      <c r="AB186" s="530"/>
      <c r="AO186" s="142"/>
    </row>
    <row r="187" customFormat="false" ht="15.75" hidden="false" customHeight="false" outlineLevel="0" collapsed="false">
      <c r="W187" s="142"/>
      <c r="X187" s="142"/>
      <c r="Y187" s="142"/>
      <c r="Z187" s="142"/>
      <c r="AA187" s="142"/>
      <c r="AB187" s="530"/>
      <c r="AO187" s="142"/>
    </row>
    <row r="188" customFormat="false" ht="15.75" hidden="false" customHeight="false" outlineLevel="0" collapsed="false">
      <c r="W188" s="142"/>
      <c r="X188" s="142"/>
      <c r="Y188" s="142"/>
      <c r="Z188" s="142"/>
      <c r="AA188" s="142"/>
      <c r="AB188" s="530"/>
      <c r="AO188" s="142"/>
    </row>
    <row r="189" customFormat="false" ht="15.75" hidden="false" customHeight="false" outlineLevel="0" collapsed="false">
      <c r="W189" s="142"/>
      <c r="X189" s="142"/>
      <c r="Y189" s="142"/>
      <c r="Z189" s="142"/>
      <c r="AA189" s="142"/>
      <c r="AB189" s="530"/>
      <c r="AO189" s="142"/>
    </row>
    <row r="190" customFormat="false" ht="15.75" hidden="false" customHeight="false" outlineLevel="0" collapsed="false">
      <c r="W190" s="142"/>
      <c r="X190" s="142"/>
      <c r="Y190" s="142"/>
      <c r="Z190" s="142"/>
      <c r="AA190" s="142"/>
      <c r="AB190" s="530"/>
      <c r="AO190" s="142"/>
    </row>
    <row r="191" customFormat="false" ht="15.75" hidden="false" customHeight="false" outlineLevel="0" collapsed="false">
      <c r="N191" s="142"/>
      <c r="W191" s="142"/>
      <c r="X191" s="142"/>
      <c r="Y191" s="142"/>
      <c r="Z191" s="142"/>
      <c r="AA191" s="142"/>
      <c r="AB191" s="530"/>
      <c r="AO191" s="142"/>
    </row>
    <row r="192" customFormat="false" ht="15.75" hidden="false" customHeight="false" outlineLevel="0" collapsed="false">
      <c r="N192" s="142"/>
      <c r="W192" s="142"/>
      <c r="X192" s="142"/>
      <c r="Y192" s="142"/>
      <c r="Z192" s="142"/>
      <c r="AA192" s="142"/>
      <c r="AB192" s="530"/>
      <c r="AO192" s="142"/>
    </row>
    <row r="193" customFormat="false" ht="15.75" hidden="false" customHeight="false" outlineLevel="0" collapsed="false">
      <c r="N193" s="142"/>
      <c r="W193" s="142"/>
      <c r="X193" s="142"/>
      <c r="Y193" s="142"/>
      <c r="Z193" s="142"/>
      <c r="AA193" s="142"/>
      <c r="AB193" s="530"/>
      <c r="AO193" s="142"/>
    </row>
    <row r="194" customFormat="false" ht="15.75" hidden="false" customHeight="false" outlineLevel="0" collapsed="false">
      <c r="N194" s="142"/>
      <c r="W194" s="142"/>
      <c r="X194" s="142"/>
      <c r="Y194" s="142"/>
      <c r="Z194" s="142"/>
      <c r="AA194" s="142"/>
      <c r="AB194" s="530"/>
      <c r="AO194" s="142"/>
    </row>
    <row r="195" customFormat="false" ht="15.75" hidden="false" customHeight="false" outlineLevel="0" collapsed="false">
      <c r="N195" s="142"/>
      <c r="W195" s="142"/>
      <c r="X195" s="142"/>
      <c r="Y195" s="142"/>
      <c r="Z195" s="142"/>
      <c r="AA195" s="142"/>
      <c r="AB195" s="530"/>
      <c r="AO195" s="142"/>
    </row>
    <row r="196" customFormat="false" ht="15.75" hidden="false" customHeight="false" outlineLevel="0" collapsed="false">
      <c r="N196" s="142"/>
      <c r="W196" s="142"/>
      <c r="X196" s="142"/>
      <c r="Y196" s="142"/>
      <c r="Z196" s="142"/>
      <c r="AA196" s="142"/>
      <c r="AB196" s="530"/>
      <c r="AO196" s="142"/>
    </row>
    <row r="197" customFormat="false" ht="15.75" hidden="false" customHeight="false" outlineLevel="0" collapsed="false">
      <c r="N197" s="142"/>
      <c r="W197" s="142"/>
      <c r="X197" s="142"/>
      <c r="Y197" s="142"/>
      <c r="Z197" s="142"/>
      <c r="AA197" s="142"/>
      <c r="AB197" s="530"/>
      <c r="AO197" s="142"/>
    </row>
    <row r="198" customFormat="false" ht="15.75" hidden="false" customHeight="false" outlineLevel="0" collapsed="false">
      <c r="N198" s="142"/>
      <c r="W198" s="142"/>
      <c r="X198" s="142"/>
      <c r="Y198" s="142"/>
      <c r="Z198" s="142"/>
      <c r="AA198" s="142"/>
      <c r="AB198" s="530"/>
      <c r="AO198" s="142"/>
    </row>
    <row r="199" customFormat="false" ht="15.75" hidden="false" customHeight="false" outlineLevel="0" collapsed="false">
      <c r="N199" s="142"/>
      <c r="W199" s="142"/>
      <c r="X199" s="142"/>
      <c r="Y199" s="142"/>
      <c r="Z199" s="142"/>
      <c r="AA199" s="142"/>
      <c r="AB199" s="530"/>
      <c r="AO199" s="142"/>
    </row>
    <row r="200" customFormat="false" ht="15.75" hidden="false" customHeight="false" outlineLevel="0" collapsed="false">
      <c r="N200" s="142"/>
      <c r="W200" s="142"/>
      <c r="X200" s="142"/>
      <c r="Y200" s="142"/>
      <c r="Z200" s="142"/>
      <c r="AA200" s="142"/>
      <c r="AB200" s="530"/>
      <c r="AO200" s="142"/>
    </row>
    <row r="201" customFormat="false" ht="15.75" hidden="false" customHeight="false" outlineLevel="0" collapsed="false">
      <c r="N201" s="142"/>
      <c r="W201" s="142"/>
      <c r="X201" s="142"/>
      <c r="Y201" s="142"/>
      <c r="Z201" s="142"/>
      <c r="AA201" s="142"/>
      <c r="AB201" s="530"/>
      <c r="AO201" s="142"/>
    </row>
    <row r="202" customFormat="false" ht="15.75" hidden="false" customHeight="false" outlineLevel="0" collapsed="false">
      <c r="N202" s="142"/>
      <c r="W202" s="142"/>
      <c r="X202" s="142"/>
      <c r="Y202" s="142"/>
      <c r="Z202" s="142"/>
      <c r="AA202" s="142"/>
      <c r="AB202" s="530"/>
      <c r="AO202" s="142"/>
    </row>
    <row r="203" customFormat="false" ht="15.75" hidden="false" customHeight="false" outlineLevel="0" collapsed="false">
      <c r="N203" s="142"/>
      <c r="W203" s="142"/>
      <c r="X203" s="142"/>
      <c r="Y203" s="142"/>
      <c r="Z203" s="142"/>
      <c r="AA203" s="142"/>
      <c r="AB203" s="530"/>
      <c r="AO203" s="142"/>
    </row>
    <row r="204" customFormat="false" ht="15.75" hidden="false" customHeight="false" outlineLevel="0" collapsed="false">
      <c r="N204" s="142"/>
      <c r="W204" s="142"/>
      <c r="X204" s="142"/>
      <c r="Y204" s="142"/>
      <c r="Z204" s="142"/>
      <c r="AA204" s="142"/>
      <c r="AB204" s="530"/>
      <c r="AO204" s="142"/>
    </row>
    <row r="205" customFormat="false" ht="15.75" hidden="false" customHeight="false" outlineLevel="0" collapsed="false">
      <c r="N205" s="142"/>
      <c r="W205" s="142"/>
      <c r="X205" s="142"/>
      <c r="Y205" s="142"/>
      <c r="Z205" s="142"/>
      <c r="AA205" s="142"/>
      <c r="AB205" s="530"/>
      <c r="AO205" s="142"/>
    </row>
    <row r="206" customFormat="false" ht="15.75" hidden="false" customHeight="false" outlineLevel="0" collapsed="false">
      <c r="N206" s="142"/>
      <c r="W206" s="142"/>
      <c r="X206" s="142"/>
      <c r="Y206" s="142"/>
      <c r="Z206" s="142"/>
      <c r="AA206" s="142"/>
      <c r="AB206" s="530"/>
      <c r="AO206" s="142"/>
    </row>
    <row r="207" customFormat="false" ht="15.75" hidden="false" customHeight="false" outlineLevel="0" collapsed="false">
      <c r="N207" s="142"/>
      <c r="W207" s="142"/>
      <c r="X207" s="142"/>
      <c r="Y207" s="142"/>
      <c r="Z207" s="142"/>
      <c r="AA207" s="142"/>
      <c r="AB207" s="530"/>
      <c r="AO207" s="142"/>
    </row>
    <row r="208" customFormat="false" ht="15.75" hidden="false" customHeight="false" outlineLevel="0" collapsed="false">
      <c r="N208" s="142"/>
      <c r="W208" s="142"/>
      <c r="X208" s="142"/>
      <c r="Y208" s="142"/>
      <c r="Z208" s="142"/>
      <c r="AA208" s="142"/>
      <c r="AB208" s="530"/>
      <c r="AO208" s="142"/>
    </row>
    <row r="209" customFormat="false" ht="15.75" hidden="false" customHeight="false" outlineLevel="0" collapsed="false">
      <c r="N209" s="142"/>
      <c r="W209" s="142"/>
      <c r="X209" s="142"/>
      <c r="Y209" s="142"/>
      <c r="Z209" s="142"/>
      <c r="AA209" s="142"/>
      <c r="AB209" s="530"/>
      <c r="AO209" s="142"/>
    </row>
    <row r="210" customFormat="false" ht="15.75" hidden="false" customHeight="false" outlineLevel="0" collapsed="false">
      <c r="N210" s="142"/>
      <c r="W210" s="142"/>
      <c r="X210" s="142"/>
      <c r="Y210" s="142"/>
      <c r="Z210" s="142"/>
      <c r="AA210" s="142"/>
      <c r="AB210" s="530"/>
      <c r="AO210" s="142"/>
    </row>
    <row r="211" customFormat="false" ht="15.75" hidden="false" customHeight="false" outlineLevel="0" collapsed="false">
      <c r="N211" s="142"/>
      <c r="W211" s="142"/>
      <c r="X211" s="142"/>
      <c r="Y211" s="142"/>
      <c r="Z211" s="142"/>
      <c r="AA211" s="142"/>
      <c r="AB211" s="530"/>
      <c r="AO211" s="142"/>
    </row>
    <row r="212" customFormat="false" ht="15.75" hidden="false" customHeight="false" outlineLevel="0" collapsed="false">
      <c r="N212" s="142"/>
      <c r="W212" s="142"/>
      <c r="X212" s="142"/>
      <c r="Y212" s="142"/>
      <c r="Z212" s="142"/>
      <c r="AA212" s="142"/>
      <c r="AB212" s="530"/>
      <c r="AO212" s="142"/>
    </row>
    <row r="213" customFormat="false" ht="15.75" hidden="false" customHeight="false" outlineLevel="0" collapsed="false">
      <c r="N213" s="142"/>
      <c r="W213" s="142"/>
      <c r="X213" s="142"/>
      <c r="Y213" s="142"/>
      <c r="Z213" s="142"/>
      <c r="AA213" s="142"/>
      <c r="AB213" s="530"/>
      <c r="AO213" s="142"/>
    </row>
    <row r="214" customFormat="false" ht="15.75" hidden="false" customHeight="false" outlineLevel="0" collapsed="false">
      <c r="N214" s="142"/>
      <c r="W214" s="142"/>
      <c r="X214" s="142"/>
      <c r="Y214" s="142"/>
      <c r="Z214" s="142"/>
      <c r="AA214" s="142"/>
      <c r="AB214" s="530"/>
      <c r="AO214" s="142"/>
    </row>
    <row r="215" customFormat="false" ht="15.75" hidden="false" customHeight="false" outlineLevel="0" collapsed="false">
      <c r="N215" s="142"/>
      <c r="W215" s="142"/>
      <c r="X215" s="142"/>
      <c r="Y215" s="142"/>
      <c r="Z215" s="142"/>
      <c r="AA215" s="142"/>
      <c r="AB215" s="530"/>
      <c r="AO215" s="142"/>
    </row>
    <row r="216" customFormat="false" ht="15.75" hidden="false" customHeight="false" outlineLevel="0" collapsed="false">
      <c r="N216" s="142"/>
      <c r="W216" s="142"/>
      <c r="X216" s="142"/>
      <c r="Y216" s="142"/>
      <c r="Z216" s="142"/>
      <c r="AA216" s="142"/>
      <c r="AB216" s="530"/>
      <c r="AO216" s="142"/>
    </row>
    <row r="217" customFormat="false" ht="15.75" hidden="false" customHeight="false" outlineLevel="0" collapsed="false">
      <c r="N217" s="142"/>
      <c r="W217" s="142"/>
      <c r="X217" s="142"/>
      <c r="Y217" s="142"/>
      <c r="Z217" s="142"/>
      <c r="AA217" s="142"/>
      <c r="AB217" s="530"/>
      <c r="AO217" s="142"/>
    </row>
    <row r="218" customFormat="false" ht="15.75" hidden="false" customHeight="false" outlineLevel="0" collapsed="false">
      <c r="N218" s="142"/>
      <c r="W218" s="142"/>
      <c r="X218" s="142"/>
      <c r="Y218" s="142"/>
      <c r="Z218" s="142"/>
      <c r="AA218" s="142"/>
      <c r="AB218" s="530"/>
      <c r="AO218" s="142"/>
    </row>
    <row r="219" customFormat="false" ht="15.75" hidden="false" customHeight="false" outlineLevel="0" collapsed="false">
      <c r="N219" s="142"/>
      <c r="W219" s="142"/>
      <c r="X219" s="142"/>
      <c r="Y219" s="142"/>
      <c r="Z219" s="142"/>
      <c r="AA219" s="142"/>
      <c r="AB219" s="530"/>
      <c r="AO219" s="142"/>
    </row>
    <row r="220" customFormat="false" ht="15.75" hidden="false" customHeight="false" outlineLevel="0" collapsed="false">
      <c r="N220" s="142"/>
      <c r="W220" s="142"/>
      <c r="X220" s="142"/>
      <c r="Y220" s="142"/>
      <c r="Z220" s="142"/>
      <c r="AA220" s="142"/>
      <c r="AB220" s="530"/>
      <c r="AO220" s="142"/>
    </row>
    <row r="221" customFormat="false" ht="15.75" hidden="false" customHeight="false" outlineLevel="0" collapsed="false">
      <c r="N221" s="142"/>
      <c r="W221" s="142"/>
      <c r="X221" s="142"/>
      <c r="Y221" s="142"/>
      <c r="Z221" s="142"/>
      <c r="AA221" s="142"/>
      <c r="AB221" s="530"/>
      <c r="AO221" s="142"/>
    </row>
    <row r="222" customFormat="false" ht="15.75" hidden="false" customHeight="false" outlineLevel="0" collapsed="false">
      <c r="N222" s="142"/>
      <c r="W222" s="142"/>
      <c r="X222" s="142"/>
      <c r="Y222" s="142"/>
      <c r="Z222" s="142"/>
      <c r="AA222" s="142"/>
      <c r="AB222" s="530"/>
      <c r="AO222" s="142"/>
    </row>
    <row r="223" customFormat="false" ht="15.75" hidden="false" customHeight="false" outlineLevel="0" collapsed="false">
      <c r="N223" s="142"/>
      <c r="W223" s="142"/>
      <c r="X223" s="142"/>
      <c r="Y223" s="142"/>
      <c r="Z223" s="142"/>
      <c r="AA223" s="142"/>
      <c r="AB223" s="530"/>
      <c r="AO223" s="142"/>
    </row>
    <row r="224" customFormat="false" ht="15.75" hidden="false" customHeight="false" outlineLevel="0" collapsed="false">
      <c r="N224" s="142"/>
      <c r="W224" s="142"/>
      <c r="X224" s="142"/>
      <c r="Y224" s="142"/>
      <c r="Z224" s="142"/>
      <c r="AA224" s="142"/>
      <c r="AB224" s="530"/>
      <c r="AO224" s="142"/>
    </row>
    <row r="225" customFormat="false" ht="15.75" hidden="false" customHeight="false" outlineLevel="0" collapsed="false">
      <c r="N225" s="142"/>
      <c r="W225" s="142"/>
      <c r="X225" s="142"/>
      <c r="Y225" s="142"/>
      <c r="Z225" s="142"/>
      <c r="AA225" s="142"/>
      <c r="AB225" s="530"/>
      <c r="AO225" s="142"/>
    </row>
    <row r="226" customFormat="false" ht="15.75" hidden="false" customHeight="false" outlineLevel="0" collapsed="false">
      <c r="N226" s="142"/>
      <c r="W226" s="142"/>
      <c r="X226" s="142"/>
      <c r="Y226" s="142"/>
      <c r="Z226" s="142"/>
      <c r="AA226" s="142"/>
      <c r="AB226" s="530"/>
      <c r="AO226" s="142"/>
    </row>
    <row r="227" customFormat="false" ht="15.75" hidden="false" customHeight="false" outlineLevel="0" collapsed="false">
      <c r="N227" s="142"/>
      <c r="W227" s="142"/>
      <c r="X227" s="142"/>
      <c r="Y227" s="142"/>
      <c r="Z227" s="142"/>
      <c r="AA227" s="142"/>
      <c r="AB227" s="530"/>
      <c r="AO227" s="142"/>
    </row>
    <row r="228" customFormat="false" ht="15.75" hidden="false" customHeight="false" outlineLevel="0" collapsed="false">
      <c r="N228" s="142"/>
      <c r="W228" s="142"/>
      <c r="X228" s="142"/>
      <c r="Y228" s="142"/>
      <c r="Z228" s="142"/>
      <c r="AA228" s="142"/>
      <c r="AB228" s="530"/>
      <c r="AO228" s="142"/>
    </row>
    <row r="229" customFormat="false" ht="15.75" hidden="false" customHeight="false" outlineLevel="0" collapsed="false">
      <c r="N229" s="142"/>
      <c r="W229" s="142"/>
      <c r="X229" s="142"/>
      <c r="Y229" s="142"/>
      <c r="Z229" s="142"/>
      <c r="AA229" s="142"/>
      <c r="AB229" s="530"/>
      <c r="AO229" s="142"/>
    </row>
    <row r="230" customFormat="false" ht="15.75" hidden="false" customHeight="false" outlineLevel="0" collapsed="false">
      <c r="N230" s="142"/>
      <c r="W230" s="142"/>
      <c r="X230" s="142"/>
      <c r="Y230" s="142"/>
      <c r="Z230" s="142"/>
      <c r="AA230" s="142"/>
      <c r="AB230" s="530"/>
      <c r="AO230" s="142"/>
    </row>
    <row r="231" customFormat="false" ht="15.75" hidden="false" customHeight="false" outlineLevel="0" collapsed="false">
      <c r="N231" s="142"/>
      <c r="W231" s="142"/>
      <c r="X231" s="142"/>
      <c r="Y231" s="142"/>
      <c r="Z231" s="142"/>
      <c r="AA231" s="142"/>
      <c r="AB231" s="530"/>
      <c r="AO231" s="142"/>
    </row>
    <row r="232" customFormat="false" ht="15.75" hidden="false" customHeight="false" outlineLevel="0" collapsed="false">
      <c r="N232" s="142"/>
      <c r="W232" s="142"/>
      <c r="X232" s="142"/>
      <c r="Y232" s="142"/>
      <c r="Z232" s="142"/>
      <c r="AA232" s="142"/>
      <c r="AB232" s="530"/>
      <c r="AO232" s="142"/>
    </row>
    <row r="233" customFormat="false" ht="15.75" hidden="false" customHeight="false" outlineLevel="0" collapsed="false">
      <c r="N233" s="142"/>
      <c r="W233" s="142"/>
      <c r="X233" s="142"/>
      <c r="Y233" s="142"/>
      <c r="Z233" s="142"/>
      <c r="AA233" s="142"/>
      <c r="AB233" s="530"/>
      <c r="AO233" s="142"/>
    </row>
    <row r="234" customFormat="false" ht="15.75" hidden="false" customHeight="false" outlineLevel="0" collapsed="false">
      <c r="N234" s="142"/>
      <c r="W234" s="142"/>
      <c r="X234" s="142"/>
      <c r="Y234" s="142"/>
      <c r="Z234" s="142"/>
      <c r="AA234" s="142"/>
      <c r="AB234" s="530"/>
      <c r="AO234" s="142"/>
    </row>
    <row r="235" customFormat="false" ht="15.75" hidden="false" customHeight="false" outlineLevel="0" collapsed="false">
      <c r="N235" s="142"/>
      <c r="W235" s="142"/>
      <c r="X235" s="142"/>
      <c r="Y235" s="142"/>
      <c r="Z235" s="142"/>
      <c r="AA235" s="142"/>
      <c r="AB235" s="530"/>
      <c r="AO235" s="142"/>
    </row>
    <row r="236" customFormat="false" ht="15.75" hidden="false" customHeight="false" outlineLevel="0" collapsed="false">
      <c r="N236" s="142"/>
      <c r="W236" s="142"/>
      <c r="X236" s="142"/>
      <c r="Y236" s="142"/>
      <c r="Z236" s="142"/>
      <c r="AA236" s="142"/>
      <c r="AB236" s="530"/>
      <c r="AO236" s="142"/>
    </row>
    <row r="237" customFormat="false" ht="15.75" hidden="false" customHeight="false" outlineLevel="0" collapsed="false">
      <c r="N237" s="142"/>
      <c r="W237" s="142"/>
      <c r="X237" s="142"/>
      <c r="Y237" s="142"/>
      <c r="Z237" s="142"/>
      <c r="AA237" s="142"/>
      <c r="AB237" s="530"/>
      <c r="AO237" s="142"/>
    </row>
    <row r="238" customFormat="false" ht="15.75" hidden="false" customHeight="false" outlineLevel="0" collapsed="false">
      <c r="N238" s="142"/>
      <c r="W238" s="142"/>
      <c r="X238" s="142"/>
      <c r="Y238" s="142"/>
      <c r="Z238" s="142"/>
      <c r="AA238" s="142"/>
      <c r="AB238" s="530"/>
      <c r="AO238" s="142"/>
    </row>
    <row r="239" customFormat="false" ht="15.75" hidden="false" customHeight="false" outlineLevel="0" collapsed="false">
      <c r="N239" s="142"/>
      <c r="W239" s="142"/>
      <c r="X239" s="142"/>
      <c r="Y239" s="142"/>
      <c r="Z239" s="142"/>
      <c r="AA239" s="142"/>
      <c r="AB239" s="530"/>
      <c r="AO239" s="142"/>
    </row>
    <row r="240" customFormat="false" ht="15.75" hidden="false" customHeight="false" outlineLevel="0" collapsed="false">
      <c r="N240" s="142"/>
      <c r="W240" s="142"/>
      <c r="X240" s="142"/>
      <c r="Y240" s="142"/>
      <c r="Z240" s="142"/>
      <c r="AA240" s="142"/>
      <c r="AB240" s="530"/>
      <c r="AO240" s="142"/>
    </row>
    <row r="241" customFormat="false" ht="15.75" hidden="false" customHeight="false" outlineLevel="0" collapsed="false">
      <c r="N241" s="142"/>
      <c r="W241" s="142"/>
      <c r="X241" s="142"/>
      <c r="Y241" s="142"/>
      <c r="Z241" s="142"/>
      <c r="AA241" s="142"/>
      <c r="AB241" s="530"/>
      <c r="AO241" s="142"/>
    </row>
    <row r="242" customFormat="false" ht="15.75" hidden="false" customHeight="false" outlineLevel="0" collapsed="false">
      <c r="N242" s="142"/>
      <c r="W242" s="142"/>
      <c r="X242" s="142"/>
      <c r="Y242" s="142"/>
      <c r="Z242" s="142"/>
      <c r="AA242" s="142"/>
      <c r="AB242" s="530"/>
      <c r="AO242" s="142"/>
    </row>
    <row r="243" customFormat="false" ht="15.75" hidden="false" customHeight="false" outlineLevel="0" collapsed="false">
      <c r="N243" s="142"/>
      <c r="W243" s="142"/>
      <c r="X243" s="142"/>
      <c r="Y243" s="142"/>
      <c r="Z243" s="142"/>
      <c r="AA243" s="142"/>
      <c r="AB243" s="530"/>
      <c r="AO243" s="142"/>
    </row>
    <row r="244" customFormat="false" ht="15.75" hidden="false" customHeight="false" outlineLevel="0" collapsed="false">
      <c r="N244" s="142"/>
      <c r="W244" s="142"/>
      <c r="X244" s="142"/>
      <c r="Y244" s="142"/>
      <c r="Z244" s="142"/>
      <c r="AA244" s="142"/>
      <c r="AB244" s="530"/>
      <c r="AO244" s="142"/>
    </row>
    <row r="245" customFormat="false" ht="15.75" hidden="false" customHeight="false" outlineLevel="0" collapsed="false">
      <c r="N245" s="142"/>
      <c r="W245" s="142"/>
      <c r="X245" s="142"/>
      <c r="Y245" s="142"/>
      <c r="Z245" s="142"/>
      <c r="AA245" s="142"/>
      <c r="AB245" s="530"/>
      <c r="AO245" s="142"/>
    </row>
    <row r="246" customFormat="false" ht="15.75" hidden="false" customHeight="false" outlineLevel="0" collapsed="false">
      <c r="N246" s="142"/>
      <c r="W246" s="142"/>
      <c r="X246" s="142"/>
      <c r="Y246" s="142"/>
      <c r="Z246" s="142"/>
      <c r="AA246" s="142"/>
      <c r="AB246" s="530"/>
      <c r="AO246" s="142"/>
    </row>
    <row r="247" customFormat="false" ht="15.75" hidden="false" customHeight="false" outlineLevel="0" collapsed="false">
      <c r="N247" s="142"/>
      <c r="W247" s="142"/>
      <c r="X247" s="142"/>
      <c r="Y247" s="142"/>
      <c r="Z247" s="142"/>
      <c r="AA247" s="142"/>
      <c r="AB247" s="530"/>
      <c r="AO247" s="142"/>
    </row>
    <row r="248" customFormat="false" ht="15.75" hidden="false" customHeight="false" outlineLevel="0" collapsed="false">
      <c r="N248" s="142"/>
      <c r="W248" s="142"/>
      <c r="X248" s="142"/>
      <c r="Y248" s="142"/>
      <c r="Z248" s="142"/>
      <c r="AA248" s="142"/>
      <c r="AB248" s="530"/>
      <c r="AO248" s="142"/>
    </row>
    <row r="249" customFormat="false" ht="15.75" hidden="false" customHeight="false" outlineLevel="0" collapsed="false">
      <c r="N249" s="142"/>
      <c r="W249" s="142"/>
      <c r="X249" s="142"/>
      <c r="Y249" s="142"/>
      <c r="Z249" s="142"/>
      <c r="AA249" s="142"/>
      <c r="AB249" s="530"/>
      <c r="AO249" s="142"/>
    </row>
    <row r="250" customFormat="false" ht="15.75" hidden="false" customHeight="false" outlineLevel="0" collapsed="false">
      <c r="N250" s="142"/>
      <c r="W250" s="142"/>
      <c r="X250" s="142"/>
      <c r="Y250" s="142"/>
      <c r="Z250" s="142"/>
      <c r="AA250" s="142"/>
      <c r="AB250" s="530"/>
      <c r="AO250" s="142"/>
    </row>
    <row r="251" customFormat="false" ht="15.75" hidden="false" customHeight="false" outlineLevel="0" collapsed="false">
      <c r="N251" s="142"/>
      <c r="W251" s="142"/>
      <c r="X251" s="142"/>
      <c r="Y251" s="142"/>
      <c r="Z251" s="142"/>
      <c r="AA251" s="142"/>
      <c r="AB251" s="530"/>
      <c r="AO251" s="142"/>
    </row>
    <row r="252" customFormat="false" ht="15.75" hidden="false" customHeight="false" outlineLevel="0" collapsed="false">
      <c r="N252" s="142"/>
      <c r="W252" s="142"/>
      <c r="X252" s="142"/>
      <c r="Y252" s="142"/>
      <c r="Z252" s="142"/>
      <c r="AA252" s="142"/>
      <c r="AB252" s="530"/>
      <c r="AO252" s="142"/>
    </row>
    <row r="253" customFormat="false" ht="15.75" hidden="false" customHeight="false" outlineLevel="0" collapsed="false">
      <c r="N253" s="142"/>
      <c r="W253" s="142"/>
      <c r="X253" s="142"/>
      <c r="Y253" s="142"/>
      <c r="Z253" s="142"/>
      <c r="AA253" s="142"/>
      <c r="AB253" s="530"/>
      <c r="AO253" s="142"/>
    </row>
    <row r="254" customFormat="false" ht="15.75" hidden="false" customHeight="false" outlineLevel="0" collapsed="false">
      <c r="N254" s="142"/>
      <c r="W254" s="142"/>
      <c r="X254" s="142"/>
      <c r="Y254" s="142"/>
      <c r="Z254" s="142"/>
      <c r="AA254" s="142"/>
      <c r="AB254" s="530"/>
      <c r="AE254" s="541"/>
      <c r="AO254" s="142"/>
    </row>
    <row r="255" customFormat="false" ht="15.75" hidden="false" customHeight="false" outlineLevel="0" collapsed="false">
      <c r="N255" s="142"/>
      <c r="W255" s="142"/>
      <c r="X255" s="142"/>
      <c r="Y255" s="142"/>
      <c r="Z255" s="142"/>
      <c r="AA255" s="142"/>
      <c r="AB255" s="530"/>
      <c r="AE255" s="541"/>
      <c r="AO255" s="142"/>
    </row>
    <row r="256" customFormat="false" ht="15.75" hidden="false" customHeight="false" outlineLevel="0" collapsed="false">
      <c r="N256" s="142"/>
      <c r="W256" s="142"/>
      <c r="X256" s="142"/>
      <c r="Y256" s="142"/>
      <c r="Z256" s="142"/>
      <c r="AA256" s="142"/>
      <c r="AB256" s="530"/>
      <c r="AE256" s="541"/>
      <c r="AO256" s="142"/>
    </row>
    <row r="257" customFormat="false" ht="15.75" hidden="false" customHeight="false" outlineLevel="0" collapsed="false">
      <c r="N257" s="142"/>
      <c r="W257" s="142"/>
      <c r="X257" s="142"/>
      <c r="Y257" s="142"/>
      <c r="Z257" s="142"/>
      <c r="AA257" s="142"/>
      <c r="AB257" s="530"/>
      <c r="AC257" s="542"/>
      <c r="AO257" s="142"/>
    </row>
    <row r="258" customFormat="false" ht="15.75" hidden="false" customHeight="false" outlineLevel="0" collapsed="false">
      <c r="N258" s="142"/>
      <c r="W258" s="142"/>
      <c r="X258" s="142"/>
      <c r="Y258" s="142"/>
      <c r="Z258" s="142"/>
      <c r="AA258" s="142"/>
      <c r="AB258" s="530"/>
      <c r="AO258" s="142"/>
    </row>
    <row r="259" customFormat="false" ht="15.75" hidden="false" customHeight="false" outlineLevel="0" collapsed="false">
      <c r="N259" s="142"/>
      <c r="W259" s="142"/>
      <c r="X259" s="142"/>
      <c r="Y259" s="142"/>
      <c r="Z259" s="142"/>
      <c r="AA259" s="142"/>
      <c r="AB259" s="530"/>
      <c r="AO259" s="142"/>
    </row>
    <row r="260" customFormat="false" ht="15.75" hidden="false" customHeight="false" outlineLevel="0" collapsed="false">
      <c r="N260" s="142"/>
      <c r="W260" s="142"/>
      <c r="X260" s="142"/>
      <c r="Y260" s="142"/>
      <c r="Z260" s="142"/>
      <c r="AA260" s="142"/>
      <c r="AB260" s="530"/>
      <c r="AO260" s="142"/>
    </row>
    <row r="261" customFormat="false" ht="15.75" hidden="false" customHeight="false" outlineLevel="0" collapsed="false">
      <c r="N261" s="142"/>
      <c r="W261" s="142"/>
      <c r="X261" s="142"/>
      <c r="Y261" s="142"/>
      <c r="Z261" s="142"/>
      <c r="AA261" s="142"/>
      <c r="AB261" s="530"/>
      <c r="AO261" s="142"/>
    </row>
    <row r="262" customFormat="false" ht="15.75" hidden="false" customHeight="false" outlineLevel="0" collapsed="false">
      <c r="N262" s="142"/>
      <c r="W262" s="142"/>
      <c r="X262" s="142"/>
      <c r="Y262" s="142"/>
      <c r="Z262" s="142"/>
      <c r="AA262" s="142"/>
      <c r="AB262" s="530"/>
      <c r="AO262" s="142"/>
    </row>
    <row r="263" customFormat="false" ht="15.75" hidden="false" customHeight="false" outlineLevel="0" collapsed="false">
      <c r="N263" s="142"/>
      <c r="W263" s="142"/>
      <c r="X263" s="142"/>
      <c r="Y263" s="142"/>
      <c r="Z263" s="142"/>
      <c r="AA263" s="142"/>
      <c r="AB263" s="530"/>
      <c r="AO263" s="142"/>
    </row>
    <row r="264" customFormat="false" ht="15.75" hidden="false" customHeight="false" outlineLevel="0" collapsed="false">
      <c r="N264" s="142"/>
      <c r="W264" s="142"/>
      <c r="X264" s="142"/>
      <c r="Y264" s="142"/>
      <c r="Z264" s="142"/>
      <c r="AA264" s="142"/>
      <c r="AB264" s="530"/>
      <c r="AO264" s="142"/>
    </row>
    <row r="265" customFormat="false" ht="15.75" hidden="false" customHeight="false" outlineLevel="0" collapsed="false">
      <c r="N265" s="142"/>
      <c r="W265" s="142"/>
      <c r="X265" s="142"/>
      <c r="Y265" s="142"/>
      <c r="Z265" s="142"/>
      <c r="AA265" s="142"/>
      <c r="AB265" s="530"/>
      <c r="AO265" s="142"/>
    </row>
    <row r="266" customFormat="false" ht="15.75" hidden="false" customHeight="false" outlineLevel="0" collapsed="false">
      <c r="N266" s="142"/>
      <c r="W266" s="142"/>
      <c r="X266" s="142"/>
      <c r="Y266" s="142"/>
      <c r="Z266" s="142"/>
      <c r="AA266" s="142"/>
      <c r="AB266" s="530"/>
      <c r="AO266" s="142"/>
    </row>
    <row r="267" customFormat="false" ht="15.75" hidden="false" customHeight="false" outlineLevel="0" collapsed="false">
      <c r="N267" s="142"/>
      <c r="W267" s="142"/>
      <c r="X267" s="142"/>
      <c r="Y267" s="142"/>
      <c r="Z267" s="142"/>
      <c r="AA267" s="142"/>
      <c r="AB267" s="530"/>
      <c r="AO267" s="142"/>
    </row>
    <row r="268" customFormat="false" ht="15.75" hidden="false" customHeight="false" outlineLevel="0" collapsed="false">
      <c r="N268" s="142"/>
      <c r="W268" s="142"/>
      <c r="X268" s="142"/>
      <c r="Y268" s="142"/>
      <c r="Z268" s="142"/>
      <c r="AA268" s="142"/>
      <c r="AB268" s="530"/>
      <c r="AO268" s="142"/>
    </row>
    <row r="269" customFormat="false" ht="15.75" hidden="false" customHeight="false" outlineLevel="0" collapsed="false">
      <c r="N269" s="142"/>
      <c r="W269" s="142"/>
      <c r="X269" s="142"/>
      <c r="Y269" s="142"/>
      <c r="Z269" s="142"/>
      <c r="AA269" s="142"/>
      <c r="AB269" s="530"/>
      <c r="AO269" s="142"/>
    </row>
    <row r="270" customFormat="false" ht="15.75" hidden="false" customHeight="false" outlineLevel="0" collapsed="false">
      <c r="N270" s="142"/>
      <c r="W270" s="142"/>
      <c r="X270" s="142"/>
      <c r="Y270" s="142"/>
      <c r="Z270" s="142"/>
      <c r="AA270" s="142"/>
      <c r="AB270" s="530"/>
      <c r="AO270" s="142"/>
    </row>
    <row r="271" customFormat="false" ht="15.75" hidden="false" customHeight="false" outlineLevel="0" collapsed="false">
      <c r="N271" s="142"/>
      <c r="W271" s="142"/>
      <c r="X271" s="142"/>
      <c r="Y271" s="142"/>
      <c r="Z271" s="142"/>
      <c r="AA271" s="142"/>
      <c r="AB271" s="530"/>
      <c r="AO271" s="142"/>
    </row>
    <row r="272" customFormat="false" ht="15.75" hidden="false" customHeight="false" outlineLevel="0" collapsed="false">
      <c r="N272" s="142"/>
      <c r="W272" s="142"/>
      <c r="X272" s="142"/>
      <c r="Y272" s="142"/>
      <c r="Z272" s="142"/>
      <c r="AA272" s="142"/>
      <c r="AB272" s="530"/>
      <c r="AO272" s="142"/>
    </row>
    <row r="273" customFormat="false" ht="15.75" hidden="false" customHeight="false" outlineLevel="0" collapsed="false">
      <c r="N273" s="142"/>
      <c r="W273" s="142"/>
      <c r="X273" s="142"/>
      <c r="Y273" s="142"/>
      <c r="Z273" s="142"/>
      <c r="AA273" s="142"/>
      <c r="AB273" s="530"/>
      <c r="AO273" s="142"/>
    </row>
    <row r="274" customFormat="false" ht="15.75" hidden="false" customHeight="false" outlineLevel="0" collapsed="false">
      <c r="N274" s="142"/>
      <c r="W274" s="142"/>
      <c r="X274" s="142"/>
      <c r="Y274" s="142"/>
      <c r="Z274" s="142"/>
      <c r="AA274" s="142"/>
      <c r="AB274" s="530"/>
      <c r="AO274" s="142"/>
    </row>
    <row r="275" customFormat="false" ht="15.75" hidden="false" customHeight="false" outlineLevel="0" collapsed="false">
      <c r="N275" s="142"/>
      <c r="W275" s="142"/>
      <c r="X275" s="142"/>
      <c r="Y275" s="142"/>
      <c r="Z275" s="142"/>
      <c r="AA275" s="142"/>
      <c r="AB275" s="530"/>
      <c r="AO275" s="142"/>
    </row>
    <row r="276" customFormat="false" ht="15.75" hidden="false" customHeight="false" outlineLevel="0" collapsed="false">
      <c r="N276" s="142"/>
      <c r="W276" s="142"/>
      <c r="X276" s="142"/>
      <c r="Y276" s="142"/>
      <c r="Z276" s="142"/>
      <c r="AA276" s="142"/>
      <c r="AB276" s="530"/>
      <c r="AO276" s="142"/>
    </row>
    <row r="277" customFormat="false" ht="15.75" hidden="false" customHeight="false" outlineLevel="0" collapsed="false">
      <c r="N277" s="142"/>
      <c r="W277" s="142"/>
      <c r="X277" s="142"/>
      <c r="Y277" s="142"/>
      <c r="Z277" s="142"/>
      <c r="AA277" s="142"/>
      <c r="AB277" s="530"/>
      <c r="AO277" s="142"/>
    </row>
    <row r="278" customFormat="false" ht="15.75" hidden="false" customHeight="false" outlineLevel="0" collapsed="false">
      <c r="N278" s="142"/>
      <c r="W278" s="142"/>
      <c r="X278" s="142"/>
      <c r="Y278" s="142"/>
      <c r="Z278" s="142"/>
      <c r="AA278" s="142"/>
      <c r="AB278" s="530"/>
      <c r="AO278" s="142"/>
    </row>
    <row r="279" customFormat="false" ht="15.75" hidden="false" customHeight="false" outlineLevel="0" collapsed="false">
      <c r="N279" s="142"/>
      <c r="W279" s="142"/>
      <c r="X279" s="142"/>
      <c r="Y279" s="142"/>
      <c r="Z279" s="142"/>
      <c r="AA279" s="142"/>
      <c r="AB279" s="530"/>
      <c r="AO279" s="142"/>
    </row>
    <row r="280" customFormat="false" ht="15.75" hidden="false" customHeight="false" outlineLevel="0" collapsed="false">
      <c r="N280" s="142"/>
      <c r="W280" s="142"/>
      <c r="X280" s="142"/>
      <c r="Y280" s="142"/>
      <c r="Z280" s="142"/>
      <c r="AA280" s="142"/>
      <c r="AB280" s="530"/>
      <c r="AO280" s="142"/>
    </row>
    <row r="281" customFormat="false" ht="15.75" hidden="false" customHeight="false" outlineLevel="0" collapsed="false">
      <c r="N281" s="142"/>
      <c r="W281" s="142"/>
      <c r="X281" s="142"/>
      <c r="Y281" s="142"/>
      <c r="Z281" s="142"/>
      <c r="AA281" s="142"/>
      <c r="AB281" s="530"/>
      <c r="AO281" s="142"/>
    </row>
    <row r="282" customFormat="false" ht="15.75" hidden="false" customHeight="false" outlineLevel="0" collapsed="false">
      <c r="N282" s="142"/>
      <c r="W282" s="142"/>
      <c r="X282" s="142"/>
      <c r="Y282" s="142"/>
      <c r="Z282" s="142"/>
      <c r="AA282" s="142"/>
      <c r="AB282" s="530"/>
      <c r="AO282" s="142"/>
    </row>
    <row r="283" customFormat="false" ht="15.75" hidden="false" customHeight="false" outlineLevel="0" collapsed="false">
      <c r="N283" s="142"/>
      <c r="W283" s="142"/>
      <c r="X283" s="142"/>
      <c r="Y283" s="142"/>
      <c r="Z283" s="142"/>
      <c r="AA283" s="142"/>
      <c r="AB283" s="530"/>
      <c r="AO283" s="142"/>
    </row>
    <row r="284" customFormat="false" ht="15.75" hidden="false" customHeight="false" outlineLevel="0" collapsed="false">
      <c r="N284" s="142"/>
      <c r="W284" s="142"/>
      <c r="X284" s="142"/>
      <c r="Y284" s="142"/>
      <c r="Z284" s="142"/>
      <c r="AA284" s="142"/>
      <c r="AB284" s="530"/>
      <c r="AO284" s="142"/>
    </row>
    <row r="285" customFormat="false" ht="15.75" hidden="false" customHeight="false" outlineLevel="0" collapsed="false">
      <c r="N285" s="142"/>
      <c r="W285" s="142"/>
      <c r="X285" s="142"/>
      <c r="Y285" s="142"/>
      <c r="Z285" s="142"/>
      <c r="AA285" s="142"/>
      <c r="AB285" s="530"/>
      <c r="AO285" s="142"/>
    </row>
    <row r="286" customFormat="false" ht="15.75" hidden="false" customHeight="false" outlineLevel="0" collapsed="false">
      <c r="N286" s="142"/>
      <c r="W286" s="142"/>
      <c r="X286" s="142"/>
      <c r="Y286" s="142"/>
      <c r="Z286" s="142"/>
      <c r="AA286" s="142"/>
      <c r="AB286" s="530"/>
      <c r="AO286" s="142"/>
    </row>
    <row r="287" customFormat="false" ht="15.75" hidden="false" customHeight="false" outlineLevel="0" collapsed="false">
      <c r="N287" s="142"/>
      <c r="W287" s="142"/>
      <c r="X287" s="142"/>
      <c r="Y287" s="142"/>
      <c r="Z287" s="142"/>
      <c r="AA287" s="142"/>
      <c r="AB287" s="530"/>
      <c r="AO287" s="142"/>
    </row>
    <row r="288" customFormat="false" ht="15.75" hidden="false" customHeight="false" outlineLevel="0" collapsed="false">
      <c r="N288" s="142"/>
      <c r="W288" s="142"/>
      <c r="X288" s="142"/>
      <c r="Y288" s="142"/>
      <c r="Z288" s="142"/>
      <c r="AA288" s="142"/>
      <c r="AB288" s="530"/>
      <c r="AO288" s="142"/>
    </row>
    <row r="289" customFormat="false" ht="15.75" hidden="false" customHeight="false" outlineLevel="0" collapsed="false">
      <c r="N289" s="142"/>
      <c r="W289" s="142"/>
      <c r="X289" s="142"/>
      <c r="Y289" s="142"/>
      <c r="Z289" s="142"/>
      <c r="AA289" s="142"/>
      <c r="AB289" s="530"/>
      <c r="AO289" s="142"/>
    </row>
    <row r="290" customFormat="false" ht="15.75" hidden="false" customHeight="false" outlineLevel="0" collapsed="false">
      <c r="N290" s="142"/>
      <c r="W290" s="142"/>
      <c r="X290" s="142"/>
      <c r="Y290" s="142"/>
      <c r="Z290" s="142"/>
      <c r="AA290" s="142"/>
      <c r="AB290" s="530"/>
      <c r="AO290" s="142"/>
    </row>
    <row r="291" customFormat="false" ht="15.75" hidden="false" customHeight="false" outlineLevel="0" collapsed="false">
      <c r="N291" s="142"/>
      <c r="W291" s="142"/>
      <c r="X291" s="142"/>
      <c r="Y291" s="142"/>
      <c r="Z291" s="142"/>
      <c r="AA291" s="142"/>
      <c r="AB291" s="530"/>
      <c r="AO291" s="142"/>
    </row>
    <row r="292" customFormat="false" ht="15.75" hidden="false" customHeight="false" outlineLevel="0" collapsed="false">
      <c r="N292" s="142"/>
      <c r="W292" s="142"/>
      <c r="X292" s="142"/>
      <c r="Y292" s="142"/>
      <c r="Z292" s="142"/>
      <c r="AA292" s="142"/>
      <c r="AB292" s="530"/>
      <c r="AO292" s="142"/>
    </row>
    <row r="293" customFormat="false" ht="15.75" hidden="false" customHeight="false" outlineLevel="0" collapsed="false">
      <c r="N293" s="142"/>
      <c r="W293" s="142"/>
      <c r="X293" s="142"/>
      <c r="Y293" s="142"/>
      <c r="Z293" s="142"/>
      <c r="AA293" s="142"/>
      <c r="AB293" s="530"/>
      <c r="AO293" s="142"/>
    </row>
    <row r="294" customFormat="false" ht="15.75" hidden="false" customHeight="false" outlineLevel="0" collapsed="false">
      <c r="N294" s="142"/>
      <c r="W294" s="142"/>
      <c r="X294" s="142"/>
      <c r="Y294" s="142"/>
      <c r="Z294" s="142"/>
      <c r="AA294" s="142"/>
      <c r="AB294" s="530"/>
      <c r="AO294" s="142"/>
    </row>
    <row r="295" customFormat="false" ht="15.75" hidden="false" customHeight="false" outlineLevel="0" collapsed="false">
      <c r="N295" s="142"/>
      <c r="W295" s="142"/>
      <c r="X295" s="142"/>
      <c r="Y295" s="142"/>
      <c r="Z295" s="142"/>
      <c r="AA295" s="142"/>
      <c r="AB295" s="530"/>
      <c r="AO295" s="142"/>
    </row>
    <row r="296" customFormat="false" ht="15.75" hidden="false" customHeight="false" outlineLevel="0" collapsed="false">
      <c r="N296" s="142"/>
      <c r="W296" s="142"/>
      <c r="X296" s="142"/>
      <c r="Y296" s="142"/>
      <c r="Z296" s="142"/>
      <c r="AA296" s="142"/>
      <c r="AB296" s="530"/>
      <c r="AO296" s="142"/>
    </row>
    <row r="297" customFormat="false" ht="15.75" hidden="false" customHeight="false" outlineLevel="0" collapsed="false">
      <c r="N297" s="142"/>
      <c r="W297" s="142"/>
      <c r="X297" s="142"/>
      <c r="Y297" s="142"/>
      <c r="Z297" s="142"/>
      <c r="AA297" s="142"/>
      <c r="AB297" s="530"/>
      <c r="AO297" s="142"/>
    </row>
    <row r="298" customFormat="false" ht="15.75" hidden="false" customHeight="false" outlineLevel="0" collapsed="false">
      <c r="N298" s="142"/>
      <c r="W298" s="142"/>
      <c r="X298" s="142"/>
      <c r="Y298" s="142"/>
      <c r="Z298" s="142"/>
      <c r="AA298" s="142"/>
      <c r="AB298" s="530"/>
      <c r="AO298" s="142"/>
    </row>
    <row r="299" customFormat="false" ht="15.75" hidden="false" customHeight="false" outlineLevel="0" collapsed="false">
      <c r="N299" s="142"/>
      <c r="W299" s="142"/>
      <c r="X299" s="142"/>
      <c r="Y299" s="142"/>
      <c r="Z299" s="142"/>
      <c r="AA299" s="142"/>
      <c r="AB299" s="530"/>
      <c r="AO299" s="142"/>
    </row>
    <row r="300" customFormat="false" ht="15.75" hidden="false" customHeight="false" outlineLevel="0" collapsed="false">
      <c r="N300" s="142"/>
      <c r="W300" s="142"/>
      <c r="X300" s="142"/>
      <c r="Y300" s="142"/>
      <c r="Z300" s="142"/>
      <c r="AA300" s="142"/>
      <c r="AB300" s="530"/>
      <c r="AO300" s="142"/>
    </row>
    <row r="301" customFormat="false" ht="15.75" hidden="false" customHeight="false" outlineLevel="0" collapsed="false">
      <c r="N301" s="142"/>
      <c r="W301" s="142"/>
      <c r="X301" s="142"/>
      <c r="Y301" s="142"/>
      <c r="Z301" s="142"/>
      <c r="AA301" s="142"/>
      <c r="AB301" s="530"/>
      <c r="AO301" s="142"/>
    </row>
    <row r="302" customFormat="false" ht="15.75" hidden="false" customHeight="false" outlineLevel="0" collapsed="false">
      <c r="N302" s="142"/>
      <c r="W302" s="142"/>
      <c r="X302" s="142"/>
      <c r="Y302" s="142"/>
      <c r="Z302" s="142"/>
      <c r="AA302" s="142"/>
      <c r="AB302" s="530"/>
      <c r="AO302" s="142"/>
    </row>
    <row r="303" customFormat="false" ht="15.75" hidden="false" customHeight="false" outlineLevel="0" collapsed="false">
      <c r="N303" s="142"/>
      <c r="W303" s="142"/>
      <c r="X303" s="142"/>
      <c r="Y303" s="142"/>
      <c r="Z303" s="142"/>
      <c r="AA303" s="142"/>
      <c r="AB303" s="530"/>
      <c r="AO303" s="142"/>
    </row>
    <row r="304" customFormat="false" ht="15.75" hidden="false" customHeight="false" outlineLevel="0" collapsed="false">
      <c r="N304" s="142"/>
      <c r="W304" s="142"/>
      <c r="X304" s="142"/>
      <c r="Y304" s="142"/>
      <c r="Z304" s="142"/>
      <c r="AA304" s="142"/>
      <c r="AB304" s="530"/>
      <c r="AO304" s="142"/>
    </row>
    <row r="305" customFormat="false" ht="15.75" hidden="false" customHeight="false" outlineLevel="0" collapsed="false">
      <c r="N305" s="142"/>
      <c r="W305" s="142"/>
      <c r="X305" s="142"/>
      <c r="Y305" s="142"/>
      <c r="Z305" s="142"/>
      <c r="AA305" s="142"/>
      <c r="AB305" s="530"/>
      <c r="AO305" s="142"/>
    </row>
    <row r="306" customFormat="false" ht="15.75" hidden="false" customHeight="false" outlineLevel="0" collapsed="false">
      <c r="N306" s="142"/>
      <c r="W306" s="142"/>
      <c r="X306" s="142"/>
      <c r="Y306" s="142"/>
      <c r="Z306" s="142"/>
      <c r="AA306" s="142"/>
      <c r="AB306" s="530"/>
      <c r="AO306" s="142"/>
    </row>
    <row r="307" customFormat="false" ht="15.75" hidden="false" customHeight="false" outlineLevel="0" collapsed="false">
      <c r="N307" s="142"/>
      <c r="W307" s="142"/>
      <c r="X307" s="142"/>
      <c r="Y307" s="142"/>
      <c r="Z307" s="142"/>
      <c r="AA307" s="142"/>
      <c r="AB307" s="530"/>
      <c r="AO307" s="142"/>
    </row>
    <row r="308" customFormat="false" ht="15.75" hidden="false" customHeight="false" outlineLevel="0" collapsed="false">
      <c r="N308" s="142"/>
      <c r="W308" s="142"/>
      <c r="X308" s="142"/>
      <c r="Y308" s="142"/>
      <c r="Z308" s="142"/>
      <c r="AA308" s="142"/>
      <c r="AB308" s="530"/>
      <c r="AO308" s="142"/>
    </row>
    <row r="309" customFormat="false" ht="15.75" hidden="false" customHeight="false" outlineLevel="0" collapsed="false">
      <c r="N309" s="142"/>
      <c r="W309" s="142"/>
      <c r="X309" s="142"/>
      <c r="Y309" s="142"/>
      <c r="Z309" s="142"/>
      <c r="AA309" s="142"/>
      <c r="AB309" s="530"/>
      <c r="AO309" s="142"/>
    </row>
    <row r="310" customFormat="false" ht="15.75" hidden="false" customHeight="false" outlineLevel="0" collapsed="false">
      <c r="N310" s="142"/>
      <c r="W310" s="142"/>
      <c r="X310" s="142"/>
      <c r="Y310" s="142"/>
      <c r="Z310" s="142"/>
      <c r="AA310" s="142"/>
      <c r="AB310" s="530"/>
      <c r="AO310" s="142"/>
    </row>
    <row r="311" customFormat="false" ht="15.75" hidden="false" customHeight="false" outlineLevel="0" collapsed="false">
      <c r="N311" s="142"/>
      <c r="W311" s="142"/>
      <c r="X311" s="142"/>
      <c r="Y311" s="142"/>
      <c r="Z311" s="142"/>
      <c r="AA311" s="142"/>
      <c r="AB311" s="530"/>
      <c r="AO311" s="142"/>
    </row>
    <row r="312" customFormat="false" ht="15.75" hidden="false" customHeight="false" outlineLevel="0" collapsed="false">
      <c r="N312" s="142"/>
      <c r="W312" s="142"/>
      <c r="X312" s="142"/>
      <c r="Y312" s="142"/>
      <c r="Z312" s="142"/>
      <c r="AA312" s="142"/>
      <c r="AB312" s="530"/>
      <c r="AO312" s="142"/>
    </row>
    <row r="313" customFormat="false" ht="15.75" hidden="false" customHeight="false" outlineLevel="0" collapsed="false">
      <c r="N313" s="142"/>
      <c r="W313" s="142"/>
      <c r="X313" s="142"/>
      <c r="Y313" s="142"/>
      <c r="Z313" s="142"/>
      <c r="AA313" s="142"/>
      <c r="AB313" s="530"/>
      <c r="AO313" s="142"/>
    </row>
    <row r="314" customFormat="false" ht="15.75" hidden="false" customHeight="false" outlineLevel="0" collapsed="false">
      <c r="N314" s="142"/>
      <c r="W314" s="142"/>
      <c r="X314" s="142"/>
      <c r="Y314" s="142"/>
      <c r="Z314" s="142"/>
      <c r="AA314" s="142"/>
      <c r="AB314" s="530"/>
      <c r="AO314" s="142"/>
    </row>
    <row r="315" customFormat="false" ht="15.75" hidden="false" customHeight="false" outlineLevel="0" collapsed="false">
      <c r="N315" s="142"/>
      <c r="W315" s="142"/>
      <c r="X315" s="142"/>
      <c r="Y315" s="142"/>
      <c r="Z315" s="142"/>
      <c r="AA315" s="142"/>
      <c r="AB315" s="530"/>
      <c r="AO315" s="142"/>
    </row>
    <row r="316" customFormat="false" ht="15.75" hidden="false" customHeight="false" outlineLevel="0" collapsed="false">
      <c r="N316" s="142"/>
      <c r="W316" s="142"/>
      <c r="X316" s="142"/>
      <c r="Y316" s="142"/>
      <c r="Z316" s="142"/>
      <c r="AA316" s="142"/>
      <c r="AB316" s="530"/>
      <c r="AO316" s="142"/>
    </row>
    <row r="317" customFormat="false" ht="15.75" hidden="false" customHeight="false" outlineLevel="0" collapsed="false">
      <c r="N317" s="142"/>
      <c r="W317" s="142"/>
      <c r="X317" s="142"/>
      <c r="Y317" s="142"/>
      <c r="Z317" s="142"/>
      <c r="AA317" s="142"/>
      <c r="AB317" s="530"/>
      <c r="AO317" s="142"/>
    </row>
    <row r="318" customFormat="false" ht="15.75" hidden="false" customHeight="false" outlineLevel="0" collapsed="false">
      <c r="N318" s="142"/>
      <c r="W318" s="142"/>
      <c r="X318" s="142"/>
      <c r="Y318" s="142"/>
      <c r="Z318" s="142"/>
      <c r="AA318" s="142"/>
      <c r="AB318" s="530"/>
      <c r="AO318" s="142"/>
    </row>
    <row r="319" customFormat="false" ht="15.75" hidden="false" customHeight="false" outlineLevel="0" collapsed="false">
      <c r="N319" s="142"/>
      <c r="W319" s="142"/>
      <c r="X319" s="142"/>
      <c r="Y319" s="142"/>
      <c r="Z319" s="142"/>
      <c r="AA319" s="142"/>
      <c r="AB319" s="530"/>
      <c r="AO319" s="142"/>
    </row>
    <row r="320" customFormat="false" ht="15.75" hidden="false" customHeight="false" outlineLevel="0" collapsed="false">
      <c r="N320" s="142"/>
      <c r="W320" s="142"/>
      <c r="X320" s="142"/>
      <c r="Y320" s="142"/>
      <c r="Z320" s="142"/>
      <c r="AA320" s="142"/>
      <c r="AB320" s="530"/>
      <c r="AO320" s="142"/>
    </row>
    <row r="321" customFormat="false" ht="15.75" hidden="false" customHeight="false" outlineLevel="0" collapsed="false">
      <c r="N321" s="142"/>
      <c r="W321" s="142"/>
      <c r="X321" s="142"/>
      <c r="Y321" s="142"/>
      <c r="Z321" s="142"/>
      <c r="AA321" s="142"/>
      <c r="AB321" s="530"/>
      <c r="AO321" s="142"/>
    </row>
    <row r="322" customFormat="false" ht="15.75" hidden="false" customHeight="false" outlineLevel="0" collapsed="false">
      <c r="N322" s="142"/>
      <c r="W322" s="142"/>
      <c r="X322" s="142"/>
      <c r="Y322" s="142"/>
      <c r="Z322" s="142"/>
      <c r="AA322" s="142"/>
      <c r="AB322" s="530"/>
      <c r="AO322" s="142"/>
    </row>
    <row r="323" customFormat="false" ht="15.75" hidden="false" customHeight="false" outlineLevel="0" collapsed="false">
      <c r="N323" s="142"/>
      <c r="W323" s="142"/>
      <c r="X323" s="142"/>
      <c r="Y323" s="142"/>
      <c r="Z323" s="142"/>
      <c r="AA323" s="142"/>
      <c r="AB323" s="530"/>
      <c r="AO323" s="142"/>
    </row>
    <row r="324" customFormat="false" ht="15.75" hidden="false" customHeight="false" outlineLevel="0" collapsed="false">
      <c r="N324" s="142"/>
      <c r="W324" s="142"/>
      <c r="X324" s="142"/>
      <c r="Y324" s="142"/>
      <c r="Z324" s="142"/>
      <c r="AA324" s="142"/>
      <c r="AB324" s="530"/>
      <c r="AO324" s="142"/>
    </row>
    <row r="325" customFormat="false" ht="15.75" hidden="false" customHeight="false" outlineLevel="0" collapsed="false">
      <c r="N325" s="142"/>
      <c r="W325" s="142"/>
      <c r="X325" s="142"/>
      <c r="Y325" s="142"/>
      <c r="Z325" s="142"/>
      <c r="AA325" s="142"/>
      <c r="AB325" s="530"/>
      <c r="AO325" s="142"/>
    </row>
    <row r="326" customFormat="false" ht="15.75" hidden="false" customHeight="false" outlineLevel="0" collapsed="false">
      <c r="N326" s="142"/>
      <c r="W326" s="142"/>
      <c r="X326" s="142"/>
      <c r="Y326" s="142"/>
      <c r="Z326" s="142"/>
      <c r="AA326" s="142"/>
      <c r="AB326" s="530"/>
      <c r="AO326" s="142"/>
    </row>
    <row r="327" customFormat="false" ht="15.75" hidden="false" customHeight="false" outlineLevel="0" collapsed="false">
      <c r="N327" s="142"/>
      <c r="W327" s="142"/>
      <c r="X327" s="142"/>
      <c r="Y327" s="142"/>
      <c r="Z327" s="142"/>
      <c r="AA327" s="142"/>
      <c r="AB327" s="530"/>
      <c r="AO327" s="142"/>
    </row>
    <row r="328" customFormat="false" ht="15.75" hidden="false" customHeight="false" outlineLevel="0" collapsed="false">
      <c r="N328" s="142"/>
      <c r="W328" s="142"/>
      <c r="X328" s="142"/>
      <c r="Y328" s="142"/>
      <c r="Z328" s="142"/>
      <c r="AA328" s="142"/>
      <c r="AB328" s="530"/>
      <c r="AO328" s="142"/>
    </row>
    <row r="329" customFormat="false" ht="15.75" hidden="false" customHeight="false" outlineLevel="0" collapsed="false">
      <c r="N329" s="142"/>
      <c r="W329" s="142"/>
      <c r="X329" s="142"/>
      <c r="Y329" s="142"/>
      <c r="Z329" s="142"/>
      <c r="AA329" s="142"/>
      <c r="AB329" s="530"/>
      <c r="AO329" s="142"/>
    </row>
    <row r="330" customFormat="false" ht="15.75" hidden="false" customHeight="false" outlineLevel="0" collapsed="false">
      <c r="N330" s="142"/>
      <c r="W330" s="142"/>
      <c r="X330" s="142"/>
      <c r="Y330" s="142"/>
      <c r="Z330" s="142"/>
      <c r="AA330" s="142"/>
      <c r="AB330" s="530"/>
      <c r="AO330" s="142"/>
    </row>
    <row r="331" customFormat="false" ht="15.75" hidden="false" customHeight="false" outlineLevel="0" collapsed="false">
      <c r="N331" s="142"/>
      <c r="W331" s="142"/>
      <c r="X331" s="142"/>
      <c r="Y331" s="142"/>
      <c r="Z331" s="142"/>
      <c r="AA331" s="142"/>
      <c r="AB331" s="530"/>
      <c r="AO331" s="142"/>
    </row>
    <row r="332" customFormat="false" ht="15.75" hidden="false" customHeight="false" outlineLevel="0" collapsed="false">
      <c r="N332" s="142"/>
      <c r="W332" s="142"/>
      <c r="X332" s="142"/>
      <c r="Y332" s="142"/>
      <c r="Z332" s="142"/>
      <c r="AA332" s="142"/>
      <c r="AB332" s="530"/>
      <c r="AO332" s="142"/>
    </row>
    <row r="333" customFormat="false" ht="15.75" hidden="false" customHeight="false" outlineLevel="0" collapsed="false">
      <c r="N333" s="142"/>
      <c r="W333" s="142"/>
      <c r="X333" s="142"/>
      <c r="Y333" s="142"/>
      <c r="Z333" s="142"/>
      <c r="AA333" s="142"/>
      <c r="AB333" s="530"/>
      <c r="AO333" s="142"/>
    </row>
    <row r="334" customFormat="false" ht="15.75" hidden="false" customHeight="false" outlineLevel="0" collapsed="false">
      <c r="N334" s="142"/>
      <c r="W334" s="142"/>
      <c r="X334" s="142"/>
      <c r="Y334" s="142"/>
      <c r="Z334" s="142"/>
      <c r="AA334" s="142"/>
      <c r="AB334" s="530"/>
      <c r="AO334" s="142"/>
    </row>
    <row r="335" customFormat="false" ht="15.75" hidden="false" customHeight="false" outlineLevel="0" collapsed="false">
      <c r="N335" s="142"/>
      <c r="W335" s="142"/>
      <c r="X335" s="142"/>
      <c r="Y335" s="142"/>
      <c r="Z335" s="142"/>
      <c r="AA335" s="142"/>
      <c r="AB335" s="530"/>
      <c r="AO335" s="142"/>
    </row>
    <row r="336" customFormat="false" ht="15.75" hidden="false" customHeight="false" outlineLevel="0" collapsed="false">
      <c r="N336" s="142"/>
      <c r="W336" s="142"/>
      <c r="X336" s="142"/>
      <c r="Y336" s="142"/>
      <c r="Z336" s="142"/>
      <c r="AA336" s="142"/>
      <c r="AB336" s="530"/>
      <c r="AO336" s="142"/>
    </row>
    <row r="337" customFormat="false" ht="15.75" hidden="false" customHeight="false" outlineLevel="0" collapsed="false">
      <c r="N337" s="142"/>
      <c r="W337" s="142"/>
      <c r="X337" s="142"/>
      <c r="Y337" s="142"/>
      <c r="Z337" s="142"/>
      <c r="AA337" s="142"/>
      <c r="AB337" s="530"/>
      <c r="AO337" s="142"/>
    </row>
    <row r="338" customFormat="false" ht="15.75" hidden="false" customHeight="false" outlineLevel="0" collapsed="false">
      <c r="N338" s="142"/>
      <c r="W338" s="142"/>
      <c r="X338" s="142"/>
      <c r="Y338" s="142"/>
      <c r="Z338" s="142"/>
      <c r="AA338" s="142"/>
      <c r="AB338" s="530"/>
      <c r="AO338" s="142"/>
    </row>
    <row r="339" customFormat="false" ht="15.75" hidden="false" customHeight="false" outlineLevel="0" collapsed="false">
      <c r="N339" s="142"/>
      <c r="W339" s="142"/>
      <c r="X339" s="142"/>
      <c r="Y339" s="142"/>
      <c r="Z339" s="142"/>
      <c r="AA339" s="142"/>
      <c r="AB339" s="530"/>
      <c r="AO339" s="142"/>
    </row>
    <row r="340" customFormat="false" ht="15.75" hidden="false" customHeight="false" outlineLevel="0" collapsed="false">
      <c r="N340" s="142"/>
      <c r="W340" s="142"/>
      <c r="X340" s="142"/>
      <c r="Y340" s="142"/>
      <c r="Z340" s="142"/>
      <c r="AA340" s="142"/>
      <c r="AB340" s="530"/>
      <c r="AO340" s="142"/>
    </row>
    <row r="341" customFormat="false" ht="15.75" hidden="false" customHeight="false" outlineLevel="0" collapsed="false">
      <c r="N341" s="142"/>
      <c r="W341" s="142"/>
      <c r="X341" s="142"/>
      <c r="Y341" s="142"/>
      <c r="Z341" s="142"/>
      <c r="AA341" s="142"/>
      <c r="AB341" s="530"/>
      <c r="AO341" s="142"/>
    </row>
    <row r="342" customFormat="false" ht="15.75" hidden="false" customHeight="false" outlineLevel="0" collapsed="false">
      <c r="N342" s="142"/>
      <c r="W342" s="142"/>
      <c r="X342" s="142"/>
      <c r="Y342" s="142"/>
      <c r="Z342" s="142"/>
      <c r="AA342" s="142"/>
      <c r="AB342" s="530"/>
      <c r="AO342" s="142"/>
    </row>
    <row r="343" customFormat="false" ht="15.75" hidden="false" customHeight="false" outlineLevel="0" collapsed="false">
      <c r="N343" s="142"/>
      <c r="W343" s="142"/>
      <c r="X343" s="142"/>
      <c r="Y343" s="142"/>
      <c r="Z343" s="142"/>
      <c r="AA343" s="142"/>
      <c r="AB343" s="530"/>
      <c r="AO343" s="142"/>
    </row>
    <row r="344" customFormat="false" ht="15.75" hidden="false" customHeight="false" outlineLevel="0" collapsed="false">
      <c r="N344" s="142"/>
      <c r="W344" s="142"/>
      <c r="X344" s="142"/>
      <c r="Y344" s="142"/>
      <c r="Z344" s="142"/>
      <c r="AA344" s="142"/>
      <c r="AB344" s="530"/>
      <c r="AO344" s="142"/>
    </row>
    <row r="345" customFormat="false" ht="15.75" hidden="false" customHeight="false" outlineLevel="0" collapsed="false">
      <c r="N345" s="142"/>
      <c r="W345" s="142"/>
      <c r="X345" s="142"/>
      <c r="Y345" s="142"/>
      <c r="Z345" s="142"/>
      <c r="AA345" s="142"/>
      <c r="AB345" s="530"/>
      <c r="AO345" s="142"/>
    </row>
    <row r="346" customFormat="false" ht="15.75" hidden="false" customHeight="false" outlineLevel="0" collapsed="false">
      <c r="N346" s="142"/>
      <c r="W346" s="142"/>
      <c r="X346" s="142"/>
      <c r="Y346" s="142"/>
      <c r="Z346" s="142"/>
      <c r="AA346" s="142"/>
      <c r="AB346" s="530"/>
      <c r="AO346" s="142"/>
    </row>
    <row r="347" customFormat="false" ht="15.75" hidden="false" customHeight="false" outlineLevel="0" collapsed="false">
      <c r="N347" s="142"/>
      <c r="W347" s="142"/>
      <c r="X347" s="142"/>
      <c r="Y347" s="142"/>
      <c r="Z347" s="142"/>
      <c r="AA347" s="142"/>
      <c r="AB347" s="530"/>
      <c r="AO347" s="142"/>
    </row>
    <row r="348" customFormat="false" ht="15.75" hidden="false" customHeight="false" outlineLevel="0" collapsed="false">
      <c r="N348" s="142"/>
      <c r="W348" s="142"/>
      <c r="X348" s="142"/>
      <c r="Y348" s="142"/>
      <c r="Z348" s="142"/>
      <c r="AA348" s="142"/>
      <c r="AB348" s="530"/>
      <c r="AO348" s="142"/>
    </row>
    <row r="349" customFormat="false" ht="15.75" hidden="false" customHeight="false" outlineLevel="0" collapsed="false">
      <c r="N349" s="142"/>
      <c r="W349" s="142"/>
      <c r="X349" s="142"/>
      <c r="Y349" s="142"/>
      <c r="Z349" s="142"/>
      <c r="AA349" s="142"/>
      <c r="AB349" s="530"/>
      <c r="AO349" s="142"/>
    </row>
    <row r="350" customFormat="false" ht="15.75" hidden="false" customHeight="false" outlineLevel="0" collapsed="false">
      <c r="N350" s="142"/>
      <c r="W350" s="142"/>
      <c r="X350" s="142"/>
      <c r="Y350" s="142"/>
      <c r="Z350" s="142"/>
      <c r="AA350" s="142"/>
      <c r="AB350" s="530"/>
      <c r="AO350" s="142"/>
    </row>
    <row r="351" customFormat="false" ht="15.75" hidden="false" customHeight="false" outlineLevel="0" collapsed="false">
      <c r="N351" s="142"/>
      <c r="W351" s="142"/>
      <c r="X351" s="142"/>
      <c r="Y351" s="142"/>
      <c r="Z351" s="142"/>
      <c r="AA351" s="142"/>
      <c r="AB351" s="530"/>
      <c r="AO351" s="142"/>
    </row>
    <row r="352" customFormat="false" ht="15.75" hidden="false" customHeight="false" outlineLevel="0" collapsed="false">
      <c r="N352" s="142"/>
      <c r="W352" s="142"/>
      <c r="X352" s="142"/>
      <c r="Y352" s="142"/>
      <c r="Z352" s="142"/>
      <c r="AA352" s="142"/>
      <c r="AB352" s="530"/>
      <c r="AO352" s="142"/>
    </row>
    <row r="353" customFormat="false" ht="15.75" hidden="false" customHeight="false" outlineLevel="0" collapsed="false">
      <c r="N353" s="142"/>
      <c r="W353" s="142"/>
      <c r="X353" s="142"/>
      <c r="Y353" s="142"/>
      <c r="Z353" s="142"/>
      <c r="AA353" s="142"/>
      <c r="AB353" s="530"/>
      <c r="AO353" s="142"/>
    </row>
    <row r="354" customFormat="false" ht="15.75" hidden="false" customHeight="false" outlineLevel="0" collapsed="false">
      <c r="N354" s="142"/>
      <c r="W354" s="142"/>
      <c r="X354" s="142"/>
      <c r="Y354" s="142"/>
      <c r="Z354" s="142"/>
      <c r="AA354" s="142"/>
      <c r="AB354" s="530"/>
      <c r="AO354" s="142"/>
    </row>
    <row r="355" customFormat="false" ht="15.75" hidden="false" customHeight="false" outlineLevel="0" collapsed="false">
      <c r="N355" s="142"/>
      <c r="W355" s="142"/>
      <c r="X355" s="142"/>
      <c r="Y355" s="142"/>
      <c r="Z355" s="142"/>
      <c r="AA355" s="142"/>
      <c r="AB355" s="530"/>
      <c r="AO355" s="142"/>
    </row>
    <row r="356" customFormat="false" ht="15.75" hidden="false" customHeight="false" outlineLevel="0" collapsed="false">
      <c r="N356" s="142"/>
      <c r="W356" s="142"/>
      <c r="X356" s="142"/>
      <c r="Y356" s="142"/>
      <c r="Z356" s="142"/>
      <c r="AA356" s="142"/>
      <c r="AB356" s="530"/>
      <c r="AO356" s="142"/>
    </row>
    <row r="357" customFormat="false" ht="15.75" hidden="false" customHeight="false" outlineLevel="0" collapsed="false">
      <c r="N357" s="142"/>
      <c r="W357" s="142"/>
      <c r="X357" s="142"/>
      <c r="Y357" s="142"/>
      <c r="Z357" s="142"/>
      <c r="AA357" s="142"/>
      <c r="AB357" s="530"/>
      <c r="AO357" s="142"/>
    </row>
    <row r="358" customFormat="false" ht="15.75" hidden="false" customHeight="false" outlineLevel="0" collapsed="false">
      <c r="N358" s="142"/>
      <c r="W358" s="142"/>
      <c r="X358" s="142"/>
      <c r="Y358" s="142"/>
      <c r="Z358" s="142"/>
      <c r="AA358" s="142"/>
      <c r="AB358" s="530"/>
      <c r="AO358" s="142"/>
    </row>
    <row r="359" customFormat="false" ht="15.75" hidden="false" customHeight="false" outlineLevel="0" collapsed="false">
      <c r="N359" s="142"/>
      <c r="W359" s="142"/>
      <c r="X359" s="142"/>
      <c r="Y359" s="142"/>
      <c r="Z359" s="142"/>
      <c r="AA359" s="142"/>
      <c r="AB359" s="530"/>
      <c r="AO359" s="142"/>
    </row>
    <row r="360" customFormat="false" ht="15.75" hidden="false" customHeight="false" outlineLevel="0" collapsed="false">
      <c r="N360" s="142"/>
      <c r="W360" s="142"/>
      <c r="X360" s="142"/>
      <c r="Y360" s="142"/>
      <c r="Z360" s="142"/>
      <c r="AA360" s="142"/>
      <c r="AB360" s="530"/>
      <c r="AO360" s="142"/>
    </row>
    <row r="361" customFormat="false" ht="15.75" hidden="false" customHeight="false" outlineLevel="0" collapsed="false">
      <c r="N361" s="142"/>
      <c r="W361" s="142"/>
      <c r="X361" s="142"/>
      <c r="Y361" s="142"/>
      <c r="Z361" s="142"/>
      <c r="AA361" s="142"/>
      <c r="AB361" s="530"/>
      <c r="AO361" s="142"/>
    </row>
    <row r="362" customFormat="false" ht="15.75" hidden="false" customHeight="false" outlineLevel="0" collapsed="false">
      <c r="N362" s="142"/>
      <c r="W362" s="142"/>
      <c r="X362" s="142"/>
      <c r="Y362" s="142"/>
      <c r="Z362" s="142"/>
      <c r="AA362" s="142"/>
      <c r="AB362" s="530"/>
      <c r="AO362" s="142"/>
    </row>
    <row r="363" customFormat="false" ht="15.75" hidden="false" customHeight="false" outlineLevel="0" collapsed="false">
      <c r="N363" s="142"/>
      <c r="W363" s="142"/>
      <c r="X363" s="142"/>
      <c r="Y363" s="142"/>
      <c r="Z363" s="142"/>
      <c r="AA363" s="142"/>
      <c r="AB363" s="530"/>
      <c r="AO363" s="142"/>
    </row>
    <row r="364" customFormat="false" ht="15.75" hidden="false" customHeight="false" outlineLevel="0" collapsed="false">
      <c r="N364" s="142"/>
      <c r="W364" s="142"/>
      <c r="X364" s="142"/>
      <c r="Y364" s="142"/>
      <c r="Z364" s="142"/>
      <c r="AA364" s="142"/>
      <c r="AB364" s="530"/>
      <c r="AO364" s="142"/>
    </row>
    <row r="365" customFormat="false" ht="15.75" hidden="false" customHeight="false" outlineLevel="0" collapsed="false">
      <c r="N365" s="142"/>
      <c r="W365" s="142"/>
      <c r="X365" s="142"/>
      <c r="Y365" s="142"/>
      <c r="Z365" s="142"/>
      <c r="AA365" s="142"/>
      <c r="AB365" s="530"/>
      <c r="AO365" s="142"/>
    </row>
    <row r="366" customFormat="false" ht="15.75" hidden="false" customHeight="false" outlineLevel="0" collapsed="false">
      <c r="N366" s="142"/>
      <c r="W366" s="142"/>
      <c r="X366" s="142"/>
      <c r="Y366" s="142"/>
      <c r="Z366" s="142"/>
      <c r="AA366" s="142"/>
      <c r="AB366" s="530"/>
      <c r="AO366" s="142"/>
    </row>
    <row r="367" customFormat="false" ht="15.75" hidden="false" customHeight="false" outlineLevel="0" collapsed="false">
      <c r="N367" s="142"/>
      <c r="W367" s="142"/>
      <c r="X367" s="142"/>
      <c r="Y367" s="142"/>
      <c r="Z367" s="142"/>
      <c r="AA367" s="142"/>
      <c r="AB367" s="530"/>
      <c r="AO367" s="142"/>
    </row>
    <row r="368" customFormat="false" ht="15.75" hidden="false" customHeight="false" outlineLevel="0" collapsed="false">
      <c r="N368" s="142"/>
      <c r="W368" s="142"/>
      <c r="X368" s="142"/>
      <c r="Y368" s="142"/>
      <c r="Z368" s="142"/>
      <c r="AA368" s="142"/>
      <c r="AB368" s="530"/>
      <c r="AO368" s="142"/>
    </row>
    <row r="369" customFormat="false" ht="15.75" hidden="false" customHeight="false" outlineLevel="0" collapsed="false">
      <c r="N369" s="142"/>
      <c r="W369" s="142"/>
      <c r="X369" s="142"/>
      <c r="Y369" s="142"/>
      <c r="Z369" s="142"/>
      <c r="AA369" s="142"/>
      <c r="AB369" s="530"/>
      <c r="AO369" s="142"/>
    </row>
    <row r="370" customFormat="false" ht="15.75" hidden="false" customHeight="false" outlineLevel="0" collapsed="false">
      <c r="N370" s="142"/>
      <c r="W370" s="142"/>
      <c r="X370" s="142"/>
      <c r="Y370" s="142"/>
      <c r="Z370" s="142"/>
      <c r="AA370" s="142"/>
      <c r="AB370" s="530"/>
      <c r="AO370" s="142"/>
    </row>
    <row r="371" customFormat="false" ht="15.75" hidden="false" customHeight="false" outlineLevel="0" collapsed="false">
      <c r="N371" s="142"/>
      <c r="W371" s="142"/>
      <c r="X371" s="142"/>
      <c r="Y371" s="142"/>
      <c r="Z371" s="142"/>
      <c r="AA371" s="142"/>
      <c r="AB371" s="530"/>
      <c r="AO371" s="142"/>
    </row>
    <row r="372" customFormat="false" ht="15.75" hidden="false" customHeight="false" outlineLevel="0" collapsed="false">
      <c r="N372" s="142"/>
      <c r="W372" s="142"/>
      <c r="X372" s="142"/>
      <c r="Y372" s="142"/>
      <c r="Z372" s="142"/>
      <c r="AA372" s="142"/>
      <c r="AB372" s="530"/>
      <c r="AO372" s="142"/>
    </row>
    <row r="373" customFormat="false" ht="15.75" hidden="false" customHeight="false" outlineLevel="0" collapsed="false">
      <c r="N373" s="142"/>
      <c r="W373" s="142"/>
      <c r="X373" s="142"/>
      <c r="Y373" s="142"/>
      <c r="Z373" s="142"/>
      <c r="AA373" s="142"/>
      <c r="AB373" s="530"/>
      <c r="AO373" s="142"/>
    </row>
    <row r="374" customFormat="false" ht="15.75" hidden="false" customHeight="false" outlineLevel="0" collapsed="false">
      <c r="N374" s="142"/>
      <c r="W374" s="142"/>
      <c r="X374" s="142"/>
      <c r="Y374" s="142"/>
      <c r="Z374" s="142"/>
      <c r="AA374" s="142"/>
      <c r="AB374" s="530"/>
      <c r="AO374" s="142"/>
    </row>
    <row r="375" customFormat="false" ht="15.75" hidden="false" customHeight="false" outlineLevel="0" collapsed="false">
      <c r="N375" s="142"/>
      <c r="W375" s="142"/>
      <c r="X375" s="142"/>
      <c r="Y375" s="142"/>
      <c r="Z375" s="142"/>
      <c r="AA375" s="142"/>
      <c r="AB375" s="530"/>
      <c r="AO375" s="142"/>
    </row>
    <row r="376" customFormat="false" ht="15.75" hidden="false" customHeight="false" outlineLevel="0" collapsed="false">
      <c r="N376" s="142"/>
      <c r="W376" s="142"/>
      <c r="X376" s="142"/>
      <c r="Y376" s="142"/>
      <c r="Z376" s="142"/>
      <c r="AA376" s="142"/>
      <c r="AB376" s="530"/>
      <c r="AO376" s="142"/>
    </row>
    <row r="377" customFormat="false" ht="15.75" hidden="false" customHeight="false" outlineLevel="0" collapsed="false">
      <c r="N377" s="142"/>
      <c r="W377" s="142"/>
      <c r="X377" s="142"/>
      <c r="Y377" s="142"/>
      <c r="Z377" s="142"/>
      <c r="AA377" s="142"/>
      <c r="AB377" s="530"/>
      <c r="AO377" s="142"/>
    </row>
    <row r="378" customFormat="false" ht="15.75" hidden="false" customHeight="false" outlineLevel="0" collapsed="false">
      <c r="N378" s="142"/>
      <c r="W378" s="142"/>
      <c r="X378" s="142"/>
      <c r="Y378" s="142"/>
      <c r="Z378" s="142"/>
      <c r="AA378" s="142"/>
      <c r="AB378" s="530"/>
      <c r="AO378" s="142"/>
    </row>
    <row r="379" customFormat="false" ht="15.75" hidden="false" customHeight="false" outlineLevel="0" collapsed="false">
      <c r="N379" s="142"/>
      <c r="W379" s="142"/>
      <c r="X379" s="142"/>
      <c r="Y379" s="142"/>
      <c r="Z379" s="142"/>
      <c r="AA379" s="142"/>
      <c r="AB379" s="530"/>
      <c r="AO379" s="142"/>
    </row>
    <row r="380" customFormat="false" ht="15.75" hidden="false" customHeight="false" outlineLevel="0" collapsed="false">
      <c r="N380" s="142"/>
      <c r="W380" s="142"/>
      <c r="X380" s="142"/>
      <c r="Y380" s="142"/>
      <c r="Z380" s="142"/>
      <c r="AA380" s="142"/>
      <c r="AB380" s="530"/>
      <c r="AO380" s="142"/>
    </row>
    <row r="381" customFormat="false" ht="15.75" hidden="false" customHeight="false" outlineLevel="0" collapsed="false">
      <c r="N381" s="142"/>
      <c r="W381" s="142"/>
      <c r="X381" s="142"/>
      <c r="Y381" s="142"/>
      <c r="Z381" s="142"/>
      <c r="AA381" s="142"/>
      <c r="AB381" s="530"/>
      <c r="AO381" s="142"/>
    </row>
    <row r="382" customFormat="false" ht="15.75" hidden="false" customHeight="false" outlineLevel="0" collapsed="false">
      <c r="N382" s="142"/>
      <c r="W382" s="142"/>
      <c r="X382" s="142"/>
      <c r="Y382" s="142"/>
      <c r="Z382" s="142"/>
      <c r="AA382" s="142"/>
      <c r="AB382" s="530"/>
      <c r="AO382" s="142"/>
    </row>
    <row r="383" customFormat="false" ht="15.75" hidden="false" customHeight="false" outlineLevel="0" collapsed="false">
      <c r="N383" s="142"/>
      <c r="W383" s="142"/>
      <c r="X383" s="142"/>
      <c r="Y383" s="142"/>
      <c r="Z383" s="142"/>
      <c r="AA383" s="142"/>
      <c r="AB383" s="530"/>
      <c r="AO383" s="142"/>
    </row>
    <row r="384" customFormat="false" ht="15.75" hidden="false" customHeight="false" outlineLevel="0" collapsed="false">
      <c r="N384" s="142"/>
      <c r="W384" s="142"/>
      <c r="X384" s="142"/>
      <c r="Y384" s="142"/>
      <c r="Z384" s="142"/>
      <c r="AA384" s="142"/>
      <c r="AB384" s="530"/>
      <c r="AO384" s="142"/>
    </row>
    <row r="385" customFormat="false" ht="15.75" hidden="false" customHeight="false" outlineLevel="0" collapsed="false">
      <c r="N385" s="142"/>
      <c r="W385" s="142"/>
      <c r="X385" s="142"/>
      <c r="Y385" s="142"/>
      <c r="Z385" s="142"/>
      <c r="AA385" s="142"/>
      <c r="AB385" s="530"/>
      <c r="AO385" s="142"/>
    </row>
    <row r="386" customFormat="false" ht="15.75" hidden="false" customHeight="false" outlineLevel="0" collapsed="false">
      <c r="N386" s="142"/>
      <c r="W386" s="142"/>
      <c r="X386" s="142"/>
      <c r="Y386" s="142"/>
      <c r="Z386" s="142"/>
      <c r="AA386" s="142"/>
      <c r="AB386" s="530"/>
      <c r="AO386" s="142"/>
    </row>
    <row r="387" customFormat="false" ht="15.75" hidden="false" customHeight="false" outlineLevel="0" collapsed="false">
      <c r="N387" s="142"/>
      <c r="W387" s="142"/>
      <c r="X387" s="142"/>
      <c r="Y387" s="142"/>
      <c r="Z387" s="142"/>
      <c r="AA387" s="142"/>
      <c r="AB387" s="530"/>
      <c r="AO387" s="142"/>
    </row>
    <row r="388" customFormat="false" ht="15.75" hidden="false" customHeight="false" outlineLevel="0" collapsed="false">
      <c r="N388" s="142"/>
      <c r="W388" s="142"/>
      <c r="X388" s="142"/>
      <c r="Y388" s="142"/>
      <c r="Z388" s="142"/>
      <c r="AA388" s="142"/>
      <c r="AB388" s="530"/>
      <c r="AO388" s="142"/>
    </row>
    <row r="389" customFormat="false" ht="15.75" hidden="false" customHeight="false" outlineLevel="0" collapsed="false">
      <c r="N389" s="142"/>
      <c r="W389" s="142"/>
      <c r="X389" s="142"/>
      <c r="Y389" s="142"/>
      <c r="Z389" s="142"/>
      <c r="AA389" s="142"/>
      <c r="AB389" s="530"/>
      <c r="AO389" s="142"/>
    </row>
    <row r="390" customFormat="false" ht="15.75" hidden="false" customHeight="false" outlineLevel="0" collapsed="false">
      <c r="N390" s="142"/>
      <c r="W390" s="142"/>
      <c r="X390" s="142"/>
      <c r="Y390" s="142"/>
      <c r="Z390" s="142"/>
      <c r="AA390" s="142"/>
      <c r="AB390" s="530"/>
      <c r="AO390" s="142"/>
    </row>
    <row r="391" customFormat="false" ht="15.75" hidden="false" customHeight="false" outlineLevel="0" collapsed="false">
      <c r="N391" s="142"/>
      <c r="W391" s="142"/>
      <c r="X391" s="142"/>
      <c r="Y391" s="142"/>
      <c r="Z391" s="142"/>
      <c r="AA391" s="142"/>
      <c r="AB391" s="530"/>
      <c r="AO391" s="142"/>
    </row>
    <row r="392" customFormat="false" ht="15.75" hidden="false" customHeight="false" outlineLevel="0" collapsed="false">
      <c r="N392" s="142"/>
      <c r="W392" s="142"/>
      <c r="X392" s="142"/>
      <c r="Y392" s="142"/>
      <c r="Z392" s="142"/>
      <c r="AA392" s="142"/>
      <c r="AB392" s="530"/>
      <c r="AO392" s="142"/>
    </row>
    <row r="393" customFormat="false" ht="15.75" hidden="false" customHeight="false" outlineLevel="0" collapsed="false">
      <c r="N393" s="142"/>
      <c r="W393" s="142"/>
      <c r="X393" s="142"/>
      <c r="Y393" s="142"/>
      <c r="Z393" s="142"/>
      <c r="AA393" s="142"/>
      <c r="AB393" s="530"/>
      <c r="AO393" s="142"/>
    </row>
    <row r="394" customFormat="false" ht="15.75" hidden="false" customHeight="false" outlineLevel="0" collapsed="false">
      <c r="N394" s="142"/>
      <c r="W394" s="142"/>
      <c r="X394" s="142"/>
      <c r="Y394" s="142"/>
      <c r="Z394" s="142"/>
      <c r="AA394" s="142"/>
      <c r="AB394" s="530"/>
      <c r="AD394" s="543"/>
      <c r="AO394" s="142"/>
    </row>
    <row r="395" customFormat="false" ht="15.75" hidden="false" customHeight="false" outlineLevel="0" collapsed="false">
      <c r="N395" s="142"/>
      <c r="W395" s="142"/>
      <c r="X395" s="142"/>
      <c r="Y395" s="142"/>
      <c r="Z395" s="142"/>
      <c r="AA395" s="142"/>
      <c r="AB395" s="530"/>
      <c r="AD395" s="543"/>
      <c r="AO395" s="142"/>
    </row>
    <row r="396" customFormat="false" ht="15.75" hidden="false" customHeight="false" outlineLevel="0" collapsed="false">
      <c r="N396" s="142"/>
      <c r="W396" s="142"/>
      <c r="X396" s="142"/>
      <c r="Y396" s="142"/>
      <c r="Z396" s="142"/>
      <c r="AA396" s="142"/>
      <c r="AB396" s="530"/>
      <c r="AD396" s="543"/>
      <c r="AO396" s="142"/>
    </row>
    <row r="397" customFormat="false" ht="15.75" hidden="false" customHeight="false" outlineLevel="0" collapsed="false">
      <c r="N397" s="142"/>
      <c r="W397" s="142"/>
      <c r="X397" s="142"/>
      <c r="Y397" s="142"/>
      <c r="Z397" s="142"/>
      <c r="AA397" s="142"/>
      <c r="AB397" s="530"/>
      <c r="AD397" s="543"/>
      <c r="AO397" s="142"/>
    </row>
    <row r="398" customFormat="false" ht="15.75" hidden="false" customHeight="false" outlineLevel="0" collapsed="false">
      <c r="N398" s="142"/>
      <c r="W398" s="142"/>
      <c r="X398" s="142"/>
      <c r="Y398" s="142"/>
      <c r="Z398" s="142"/>
      <c r="AA398" s="142"/>
      <c r="AB398" s="530"/>
      <c r="AD398" s="543"/>
      <c r="AO398" s="142"/>
    </row>
    <row r="399" customFormat="false" ht="15.75" hidden="false" customHeight="false" outlineLevel="0" collapsed="false">
      <c r="N399" s="142"/>
      <c r="W399" s="142"/>
      <c r="X399" s="142"/>
      <c r="Y399" s="142"/>
      <c r="Z399" s="142"/>
      <c r="AA399" s="142"/>
      <c r="AB399" s="530"/>
      <c r="AD399" s="543"/>
      <c r="AO399" s="142"/>
    </row>
    <row r="400" customFormat="false" ht="15.75" hidden="false" customHeight="false" outlineLevel="0" collapsed="false">
      <c r="N400" s="142"/>
      <c r="W400" s="142"/>
      <c r="X400" s="142"/>
      <c r="Y400" s="142"/>
      <c r="Z400" s="142"/>
      <c r="AA400" s="142"/>
      <c r="AB400" s="530"/>
      <c r="AD400" s="543"/>
      <c r="AO400" s="142"/>
    </row>
    <row r="401" customFormat="false" ht="15.75" hidden="false" customHeight="false" outlineLevel="0" collapsed="false">
      <c r="N401" s="142"/>
      <c r="W401" s="142"/>
      <c r="X401" s="142"/>
      <c r="Y401" s="142"/>
      <c r="Z401" s="142"/>
      <c r="AA401" s="142"/>
      <c r="AB401" s="530"/>
      <c r="AD401" s="543"/>
      <c r="AO401" s="142"/>
    </row>
    <row r="402" customFormat="false" ht="15.75" hidden="false" customHeight="false" outlineLevel="0" collapsed="false">
      <c r="N402" s="142"/>
      <c r="W402" s="142"/>
      <c r="X402" s="142"/>
      <c r="Y402" s="142"/>
      <c r="Z402" s="142"/>
      <c r="AA402" s="142"/>
      <c r="AB402" s="530"/>
      <c r="AD402" s="543"/>
      <c r="AO402" s="142"/>
    </row>
    <row r="403" customFormat="false" ht="15.75" hidden="false" customHeight="false" outlineLevel="0" collapsed="false">
      <c r="N403" s="142"/>
      <c r="W403" s="142"/>
      <c r="X403" s="142"/>
      <c r="Y403" s="142"/>
      <c r="Z403" s="142"/>
      <c r="AA403" s="142"/>
      <c r="AB403" s="530"/>
      <c r="AD403" s="543"/>
      <c r="AO403" s="142"/>
    </row>
    <row r="404" customFormat="false" ht="15.75" hidden="false" customHeight="false" outlineLevel="0" collapsed="false">
      <c r="N404" s="142"/>
      <c r="W404" s="142"/>
      <c r="X404" s="142"/>
      <c r="Y404" s="142"/>
      <c r="Z404" s="142"/>
      <c r="AA404" s="142"/>
      <c r="AB404" s="530"/>
      <c r="AD404" s="543"/>
      <c r="AO404" s="142"/>
    </row>
    <row r="405" customFormat="false" ht="15.75" hidden="false" customHeight="false" outlineLevel="0" collapsed="false">
      <c r="N405" s="142"/>
      <c r="W405" s="142"/>
      <c r="X405" s="142"/>
      <c r="Y405" s="142"/>
      <c r="Z405" s="142"/>
      <c r="AA405" s="142"/>
      <c r="AB405" s="530"/>
      <c r="AD405" s="543"/>
      <c r="AO405" s="142"/>
    </row>
    <row r="406" customFormat="false" ht="15.75" hidden="false" customHeight="false" outlineLevel="0" collapsed="false">
      <c r="N406" s="142"/>
      <c r="W406" s="142"/>
      <c r="X406" s="142"/>
      <c r="Y406" s="142"/>
      <c r="Z406" s="142"/>
      <c r="AA406" s="142"/>
      <c r="AB406" s="530"/>
      <c r="AD406" s="543"/>
      <c r="AO406" s="142"/>
    </row>
    <row r="407" customFormat="false" ht="15.75" hidden="false" customHeight="false" outlineLevel="0" collapsed="false">
      <c r="N407" s="142"/>
      <c r="W407" s="142"/>
      <c r="X407" s="142"/>
      <c r="Y407" s="142"/>
      <c r="Z407" s="142"/>
      <c r="AA407" s="142"/>
      <c r="AB407" s="530"/>
      <c r="AD407" s="543"/>
      <c r="AO407" s="142"/>
    </row>
    <row r="408" customFormat="false" ht="15.75" hidden="false" customHeight="false" outlineLevel="0" collapsed="false">
      <c r="N408" s="142"/>
      <c r="W408" s="142"/>
      <c r="X408" s="142"/>
      <c r="Y408" s="142"/>
      <c r="Z408" s="142"/>
      <c r="AA408" s="142"/>
      <c r="AB408" s="530"/>
      <c r="AD408" s="543"/>
      <c r="AO408" s="142"/>
    </row>
    <row r="409" customFormat="false" ht="15.75" hidden="false" customHeight="false" outlineLevel="0" collapsed="false">
      <c r="N409" s="142"/>
      <c r="W409" s="142"/>
      <c r="X409" s="142"/>
      <c r="Y409" s="142"/>
      <c r="Z409" s="142"/>
      <c r="AA409" s="142"/>
      <c r="AB409" s="530"/>
      <c r="AD409" s="543"/>
      <c r="AO409" s="142"/>
    </row>
    <row r="410" customFormat="false" ht="15.75" hidden="false" customHeight="false" outlineLevel="0" collapsed="false">
      <c r="N410" s="142"/>
      <c r="W410" s="142"/>
      <c r="X410" s="142"/>
      <c r="Y410" s="142"/>
      <c r="Z410" s="142"/>
      <c r="AA410" s="142"/>
      <c r="AB410" s="530"/>
      <c r="AD410" s="543"/>
      <c r="AO410" s="142"/>
    </row>
    <row r="411" customFormat="false" ht="15.75" hidden="false" customHeight="false" outlineLevel="0" collapsed="false">
      <c r="N411" s="142"/>
      <c r="W411" s="142"/>
      <c r="X411" s="142"/>
      <c r="Y411" s="142"/>
      <c r="Z411" s="142"/>
      <c r="AA411" s="142"/>
      <c r="AB411" s="530"/>
      <c r="AD411" s="543"/>
      <c r="AO411" s="142"/>
    </row>
    <row r="412" customFormat="false" ht="15.75" hidden="false" customHeight="false" outlineLevel="0" collapsed="false">
      <c r="N412" s="142"/>
      <c r="W412" s="142"/>
      <c r="X412" s="142"/>
      <c r="Y412" s="142"/>
      <c r="Z412" s="142"/>
      <c r="AA412" s="142"/>
      <c r="AB412" s="530"/>
      <c r="AD412" s="543"/>
      <c r="AO412" s="142"/>
    </row>
    <row r="413" customFormat="false" ht="15.75" hidden="false" customHeight="false" outlineLevel="0" collapsed="false">
      <c r="N413" s="142"/>
      <c r="W413" s="142"/>
      <c r="X413" s="142"/>
      <c r="Y413" s="142"/>
      <c r="Z413" s="142"/>
      <c r="AA413" s="142"/>
      <c r="AB413" s="530"/>
      <c r="AD413" s="543"/>
      <c r="AO413" s="142"/>
    </row>
    <row r="414" customFormat="false" ht="15.75" hidden="false" customHeight="false" outlineLevel="0" collapsed="false">
      <c r="N414" s="142"/>
      <c r="W414" s="142"/>
      <c r="X414" s="142"/>
      <c r="Y414" s="142"/>
      <c r="Z414" s="142"/>
      <c r="AA414" s="142"/>
      <c r="AB414" s="530"/>
      <c r="AD414" s="543"/>
      <c r="AO414" s="142"/>
    </row>
    <row r="415" customFormat="false" ht="15.75" hidden="false" customHeight="false" outlineLevel="0" collapsed="false">
      <c r="N415" s="142"/>
      <c r="W415" s="142"/>
      <c r="X415" s="142"/>
      <c r="Y415" s="142"/>
      <c r="Z415" s="142"/>
      <c r="AA415" s="142"/>
      <c r="AB415" s="530"/>
      <c r="AD415" s="543"/>
      <c r="AO415" s="142"/>
    </row>
    <row r="416" customFormat="false" ht="15.75" hidden="false" customHeight="false" outlineLevel="0" collapsed="false">
      <c r="N416" s="142"/>
      <c r="W416" s="142"/>
      <c r="X416" s="142"/>
      <c r="Y416" s="142"/>
      <c r="Z416" s="142"/>
      <c r="AA416" s="142"/>
      <c r="AB416" s="530"/>
      <c r="AD416" s="543"/>
      <c r="AO416" s="142"/>
    </row>
    <row r="417" customFormat="false" ht="15.75" hidden="false" customHeight="false" outlineLevel="0" collapsed="false">
      <c r="N417" s="142"/>
      <c r="W417" s="142"/>
      <c r="X417" s="142"/>
      <c r="Y417" s="142"/>
      <c r="Z417" s="142"/>
      <c r="AA417" s="142"/>
      <c r="AB417" s="530"/>
      <c r="AD417" s="543"/>
      <c r="AO417" s="142"/>
    </row>
    <row r="418" customFormat="false" ht="15.75" hidden="false" customHeight="false" outlineLevel="0" collapsed="false">
      <c r="N418" s="142"/>
      <c r="W418" s="142"/>
      <c r="X418" s="142"/>
      <c r="Y418" s="142"/>
      <c r="Z418" s="142"/>
      <c r="AA418" s="142"/>
      <c r="AB418" s="530"/>
      <c r="AD418" s="543"/>
      <c r="AO418" s="142"/>
    </row>
    <row r="419" customFormat="false" ht="15.75" hidden="false" customHeight="false" outlineLevel="0" collapsed="false">
      <c r="N419" s="142"/>
      <c r="W419" s="142"/>
      <c r="X419" s="142"/>
      <c r="Y419" s="142"/>
      <c r="Z419" s="142"/>
      <c r="AA419" s="142"/>
      <c r="AB419" s="530"/>
      <c r="AD419" s="543"/>
      <c r="AO419" s="142"/>
    </row>
    <row r="420" customFormat="false" ht="15.75" hidden="false" customHeight="false" outlineLevel="0" collapsed="false">
      <c r="N420" s="142"/>
      <c r="W420" s="142"/>
      <c r="X420" s="142"/>
      <c r="Y420" s="142"/>
      <c r="Z420" s="142"/>
      <c r="AA420" s="142"/>
      <c r="AB420" s="530"/>
      <c r="AD420" s="543"/>
      <c r="AO420" s="142"/>
    </row>
    <row r="421" customFormat="false" ht="15.75" hidden="false" customHeight="false" outlineLevel="0" collapsed="false">
      <c r="N421" s="142"/>
      <c r="W421" s="142"/>
      <c r="X421" s="142"/>
      <c r="Y421" s="142"/>
      <c r="Z421" s="142"/>
      <c r="AA421" s="142"/>
      <c r="AB421" s="530"/>
      <c r="AD421" s="543"/>
      <c r="AO421" s="142"/>
    </row>
    <row r="422" customFormat="false" ht="15.75" hidden="false" customHeight="false" outlineLevel="0" collapsed="false">
      <c r="N422" s="142"/>
      <c r="W422" s="142"/>
      <c r="X422" s="142"/>
      <c r="Y422" s="142"/>
      <c r="Z422" s="142"/>
      <c r="AA422" s="142"/>
      <c r="AB422" s="530"/>
      <c r="AD422" s="543"/>
      <c r="AO422" s="142"/>
    </row>
    <row r="423" customFormat="false" ht="15.75" hidden="false" customHeight="false" outlineLevel="0" collapsed="false">
      <c r="N423" s="142"/>
      <c r="W423" s="142"/>
      <c r="X423" s="142"/>
      <c r="Y423" s="142"/>
      <c r="Z423" s="142"/>
      <c r="AA423" s="142"/>
      <c r="AB423" s="530"/>
      <c r="AD423" s="543"/>
      <c r="AO423" s="142"/>
    </row>
    <row r="424" customFormat="false" ht="15.75" hidden="false" customHeight="false" outlineLevel="0" collapsed="false">
      <c r="N424" s="142"/>
      <c r="W424" s="142"/>
      <c r="X424" s="142"/>
      <c r="Y424" s="142"/>
      <c r="Z424" s="142"/>
      <c r="AA424" s="142"/>
      <c r="AB424" s="530"/>
      <c r="AD424" s="543"/>
      <c r="AO424" s="142"/>
    </row>
    <row r="425" customFormat="false" ht="15.75" hidden="false" customHeight="false" outlineLevel="0" collapsed="false">
      <c r="N425" s="142"/>
      <c r="W425" s="142"/>
      <c r="X425" s="142"/>
      <c r="Y425" s="142"/>
      <c r="Z425" s="142"/>
      <c r="AA425" s="142"/>
      <c r="AB425" s="530"/>
      <c r="AD425" s="543"/>
      <c r="AO425" s="142"/>
    </row>
    <row r="426" customFormat="false" ht="15.75" hidden="false" customHeight="false" outlineLevel="0" collapsed="false">
      <c r="N426" s="142"/>
      <c r="W426" s="142"/>
      <c r="X426" s="142"/>
      <c r="Y426" s="142"/>
      <c r="Z426" s="142"/>
      <c r="AA426" s="142"/>
      <c r="AB426" s="530"/>
      <c r="AD426" s="543"/>
      <c r="AO426" s="142"/>
    </row>
    <row r="427" customFormat="false" ht="15.75" hidden="false" customHeight="false" outlineLevel="0" collapsed="false">
      <c r="N427" s="142"/>
      <c r="W427" s="142"/>
      <c r="X427" s="142"/>
      <c r="Y427" s="142"/>
      <c r="Z427" s="142"/>
      <c r="AA427" s="142"/>
      <c r="AB427" s="530"/>
      <c r="AD427" s="543"/>
      <c r="AO427" s="142"/>
    </row>
    <row r="428" customFormat="false" ht="15.75" hidden="false" customHeight="false" outlineLevel="0" collapsed="false">
      <c r="N428" s="142"/>
      <c r="W428" s="142"/>
      <c r="X428" s="142"/>
      <c r="Y428" s="142"/>
      <c r="Z428" s="142"/>
      <c r="AA428" s="142"/>
      <c r="AB428" s="530"/>
      <c r="AD428" s="543"/>
      <c r="AO428" s="142"/>
    </row>
    <row r="429" customFormat="false" ht="15.75" hidden="false" customHeight="false" outlineLevel="0" collapsed="false">
      <c r="N429" s="142"/>
      <c r="W429" s="142"/>
      <c r="X429" s="142"/>
      <c r="Y429" s="142"/>
      <c r="Z429" s="142"/>
      <c r="AA429" s="142"/>
      <c r="AB429" s="530"/>
      <c r="AD429" s="543"/>
      <c r="AO429" s="142"/>
    </row>
    <row r="430" customFormat="false" ht="15.75" hidden="false" customHeight="false" outlineLevel="0" collapsed="false">
      <c r="N430" s="142"/>
      <c r="W430" s="142"/>
      <c r="X430" s="142"/>
      <c r="Y430" s="142"/>
      <c r="Z430" s="142"/>
      <c r="AA430" s="142"/>
      <c r="AB430" s="530"/>
      <c r="AD430" s="543"/>
      <c r="AO430" s="142"/>
    </row>
    <row r="431" customFormat="false" ht="15.75" hidden="false" customHeight="false" outlineLevel="0" collapsed="false">
      <c r="N431" s="142"/>
      <c r="W431" s="142"/>
      <c r="X431" s="142"/>
      <c r="Y431" s="142"/>
      <c r="Z431" s="142"/>
      <c r="AA431" s="142"/>
      <c r="AB431" s="530"/>
      <c r="AD431" s="543"/>
      <c r="AO431" s="142"/>
    </row>
    <row r="432" customFormat="false" ht="15.75" hidden="false" customHeight="false" outlineLevel="0" collapsed="false">
      <c r="N432" s="142"/>
      <c r="W432" s="142"/>
      <c r="X432" s="142"/>
      <c r="Y432" s="142"/>
      <c r="Z432" s="142"/>
      <c r="AA432" s="142"/>
      <c r="AB432" s="530"/>
      <c r="AD432" s="543"/>
      <c r="AO432" s="142"/>
    </row>
    <row r="433" customFormat="false" ht="15.75" hidden="false" customHeight="false" outlineLevel="0" collapsed="false">
      <c r="N433" s="142"/>
      <c r="W433" s="142"/>
      <c r="X433" s="142"/>
      <c r="Y433" s="142"/>
      <c r="Z433" s="142"/>
      <c r="AA433" s="142"/>
      <c r="AB433" s="530"/>
      <c r="AD433" s="543"/>
      <c r="AO433" s="142"/>
    </row>
    <row r="434" customFormat="false" ht="15.75" hidden="false" customHeight="false" outlineLevel="0" collapsed="false">
      <c r="N434" s="142"/>
      <c r="W434" s="142"/>
      <c r="X434" s="142"/>
      <c r="Y434" s="142"/>
      <c r="Z434" s="142"/>
      <c r="AA434" s="142"/>
      <c r="AB434" s="530"/>
      <c r="AD434" s="543"/>
      <c r="AO434" s="142"/>
    </row>
    <row r="435" customFormat="false" ht="15.75" hidden="false" customHeight="false" outlineLevel="0" collapsed="false">
      <c r="N435" s="142"/>
      <c r="W435" s="142"/>
      <c r="X435" s="142"/>
      <c r="Y435" s="142"/>
      <c r="Z435" s="142"/>
      <c r="AA435" s="142"/>
      <c r="AB435" s="530"/>
      <c r="AD435" s="543"/>
      <c r="AO435" s="142"/>
    </row>
    <row r="436" customFormat="false" ht="15.75" hidden="false" customHeight="false" outlineLevel="0" collapsed="false">
      <c r="N436" s="142"/>
      <c r="W436" s="142"/>
      <c r="X436" s="142"/>
      <c r="Y436" s="142"/>
      <c r="Z436" s="142"/>
      <c r="AA436" s="142"/>
      <c r="AB436" s="530"/>
      <c r="AD436" s="543"/>
      <c r="AO436" s="142"/>
    </row>
    <row r="437" customFormat="false" ht="15.75" hidden="false" customHeight="false" outlineLevel="0" collapsed="false">
      <c r="N437" s="142"/>
      <c r="W437" s="142"/>
      <c r="X437" s="142"/>
      <c r="Y437" s="142"/>
      <c r="Z437" s="142"/>
      <c r="AA437" s="142"/>
      <c r="AB437" s="530"/>
      <c r="AD437" s="543"/>
      <c r="AO437" s="142"/>
    </row>
    <row r="438" customFormat="false" ht="15.75" hidden="false" customHeight="false" outlineLevel="0" collapsed="false">
      <c r="N438" s="142"/>
      <c r="W438" s="142"/>
      <c r="X438" s="142"/>
      <c r="Y438" s="142"/>
      <c r="Z438" s="142"/>
      <c r="AA438" s="142"/>
      <c r="AB438" s="530"/>
      <c r="AD438" s="543"/>
      <c r="AO438" s="142"/>
    </row>
    <row r="439" customFormat="false" ht="15.75" hidden="false" customHeight="false" outlineLevel="0" collapsed="false">
      <c r="N439" s="142"/>
      <c r="W439" s="142"/>
      <c r="X439" s="142"/>
      <c r="Y439" s="142"/>
      <c r="Z439" s="142"/>
      <c r="AA439" s="142"/>
      <c r="AB439" s="530"/>
      <c r="AD439" s="543"/>
      <c r="AO439" s="142"/>
    </row>
    <row r="440" customFormat="false" ht="15.75" hidden="false" customHeight="false" outlineLevel="0" collapsed="false">
      <c r="N440" s="142"/>
      <c r="W440" s="142"/>
      <c r="X440" s="142"/>
      <c r="Y440" s="142"/>
      <c r="Z440" s="142"/>
      <c r="AA440" s="142"/>
      <c r="AB440" s="530"/>
      <c r="AD440" s="543"/>
      <c r="AO440" s="142"/>
    </row>
    <row r="441" customFormat="false" ht="15.75" hidden="false" customHeight="false" outlineLevel="0" collapsed="false">
      <c r="N441" s="142"/>
      <c r="W441" s="142"/>
      <c r="X441" s="142"/>
      <c r="Y441" s="142"/>
      <c r="Z441" s="142"/>
      <c r="AA441" s="142"/>
      <c r="AB441" s="530"/>
      <c r="AD441" s="543"/>
      <c r="AO441" s="142"/>
    </row>
    <row r="442" customFormat="false" ht="15.75" hidden="false" customHeight="false" outlineLevel="0" collapsed="false">
      <c r="N442" s="142"/>
      <c r="W442" s="142"/>
      <c r="X442" s="142"/>
      <c r="Y442" s="142"/>
      <c r="Z442" s="142"/>
      <c r="AA442" s="142"/>
      <c r="AB442" s="530"/>
      <c r="AD442" s="543"/>
      <c r="AO442" s="142"/>
    </row>
    <row r="443" customFormat="false" ht="15.75" hidden="false" customHeight="false" outlineLevel="0" collapsed="false">
      <c r="N443" s="142"/>
      <c r="W443" s="142"/>
      <c r="X443" s="142"/>
      <c r="Y443" s="142"/>
      <c r="Z443" s="142"/>
      <c r="AA443" s="142"/>
      <c r="AB443" s="530"/>
      <c r="AD443" s="543"/>
      <c r="AO443" s="142"/>
    </row>
    <row r="444" customFormat="false" ht="15.75" hidden="false" customHeight="false" outlineLevel="0" collapsed="false">
      <c r="N444" s="142"/>
      <c r="W444" s="142"/>
      <c r="X444" s="142"/>
      <c r="Y444" s="142"/>
      <c r="Z444" s="142"/>
      <c r="AA444" s="142"/>
      <c r="AB444" s="530"/>
      <c r="AD444" s="543"/>
      <c r="AO444" s="142"/>
    </row>
    <row r="445" customFormat="false" ht="15.75" hidden="false" customHeight="false" outlineLevel="0" collapsed="false">
      <c r="N445" s="142"/>
      <c r="W445" s="142"/>
      <c r="X445" s="142"/>
      <c r="Y445" s="142"/>
      <c r="Z445" s="142"/>
      <c r="AA445" s="142"/>
      <c r="AB445" s="530"/>
      <c r="AD445" s="543"/>
      <c r="AO445" s="142"/>
    </row>
    <row r="446" customFormat="false" ht="15.75" hidden="false" customHeight="false" outlineLevel="0" collapsed="false">
      <c r="N446" s="142"/>
      <c r="W446" s="142"/>
      <c r="X446" s="142"/>
      <c r="Y446" s="142"/>
      <c r="Z446" s="142"/>
      <c r="AA446" s="142"/>
      <c r="AB446" s="530"/>
      <c r="AD446" s="543"/>
      <c r="AO446" s="142"/>
    </row>
    <row r="447" customFormat="false" ht="15.75" hidden="false" customHeight="false" outlineLevel="0" collapsed="false">
      <c r="N447" s="142"/>
      <c r="W447" s="142"/>
      <c r="X447" s="142"/>
      <c r="Y447" s="142"/>
      <c r="Z447" s="142"/>
      <c r="AA447" s="142"/>
      <c r="AB447" s="530"/>
      <c r="AD447" s="543"/>
      <c r="AO447" s="142"/>
    </row>
    <row r="448" customFormat="false" ht="15.75" hidden="false" customHeight="false" outlineLevel="0" collapsed="false">
      <c r="N448" s="142"/>
      <c r="W448" s="142"/>
      <c r="X448" s="142"/>
      <c r="Y448" s="142"/>
      <c r="Z448" s="142"/>
      <c r="AA448" s="142"/>
      <c r="AB448" s="530"/>
      <c r="AD448" s="543"/>
      <c r="AO448" s="142"/>
    </row>
    <row r="449" customFormat="false" ht="15.75" hidden="false" customHeight="false" outlineLevel="0" collapsed="false">
      <c r="N449" s="142"/>
      <c r="W449" s="142"/>
      <c r="X449" s="142"/>
      <c r="Y449" s="142"/>
      <c r="Z449" s="142"/>
      <c r="AA449" s="142"/>
      <c r="AB449" s="530"/>
      <c r="AD449" s="543"/>
      <c r="AO449" s="142"/>
    </row>
    <row r="450" customFormat="false" ht="15.75" hidden="false" customHeight="false" outlineLevel="0" collapsed="false">
      <c r="N450" s="142"/>
      <c r="W450" s="142"/>
      <c r="X450" s="142"/>
      <c r="Y450" s="142"/>
      <c r="Z450" s="142"/>
      <c r="AA450" s="142"/>
      <c r="AB450" s="530"/>
      <c r="AD450" s="543"/>
      <c r="AO450" s="142"/>
    </row>
    <row r="451" customFormat="false" ht="15.75" hidden="false" customHeight="false" outlineLevel="0" collapsed="false">
      <c r="N451" s="142"/>
      <c r="W451" s="142"/>
      <c r="X451" s="142"/>
      <c r="Y451" s="142"/>
      <c r="Z451" s="142"/>
      <c r="AA451" s="142"/>
      <c r="AB451" s="530"/>
      <c r="AD451" s="543"/>
      <c r="AO451" s="142"/>
    </row>
    <row r="452" customFormat="false" ht="15.75" hidden="false" customHeight="false" outlineLevel="0" collapsed="false">
      <c r="N452" s="142"/>
      <c r="W452" s="142"/>
      <c r="X452" s="142"/>
      <c r="Y452" s="142"/>
      <c r="Z452" s="142"/>
      <c r="AA452" s="142"/>
      <c r="AB452" s="530"/>
      <c r="AD452" s="543"/>
      <c r="AO452" s="142"/>
    </row>
    <row r="453" customFormat="false" ht="15.75" hidden="false" customHeight="false" outlineLevel="0" collapsed="false">
      <c r="N453" s="142"/>
      <c r="W453" s="142"/>
      <c r="X453" s="142"/>
      <c r="Y453" s="142"/>
      <c r="Z453" s="142"/>
      <c r="AA453" s="142"/>
      <c r="AB453" s="530"/>
      <c r="AD453" s="543"/>
      <c r="AO453" s="142"/>
    </row>
    <row r="454" customFormat="false" ht="15.75" hidden="false" customHeight="false" outlineLevel="0" collapsed="false">
      <c r="N454" s="142"/>
      <c r="W454" s="142"/>
      <c r="X454" s="142"/>
      <c r="Y454" s="142"/>
      <c r="Z454" s="142"/>
      <c r="AA454" s="142"/>
      <c r="AB454" s="530"/>
      <c r="AD454" s="543"/>
      <c r="AO454" s="142"/>
    </row>
    <row r="455" customFormat="false" ht="15.75" hidden="false" customHeight="false" outlineLevel="0" collapsed="false">
      <c r="N455" s="142"/>
      <c r="W455" s="142"/>
      <c r="X455" s="142"/>
      <c r="Y455" s="142"/>
      <c r="Z455" s="142"/>
      <c r="AA455" s="142"/>
      <c r="AB455" s="530"/>
      <c r="AD455" s="543"/>
      <c r="AO455" s="142"/>
    </row>
    <row r="456" customFormat="false" ht="15.75" hidden="false" customHeight="false" outlineLevel="0" collapsed="false">
      <c r="N456" s="142"/>
      <c r="W456" s="142"/>
      <c r="X456" s="142"/>
      <c r="Y456" s="142"/>
      <c r="Z456" s="142"/>
      <c r="AA456" s="142"/>
      <c r="AB456" s="530"/>
      <c r="AD456" s="543"/>
      <c r="AO456" s="142"/>
    </row>
    <row r="457" customFormat="false" ht="15.75" hidden="false" customHeight="false" outlineLevel="0" collapsed="false">
      <c r="N457" s="142"/>
      <c r="W457" s="142"/>
      <c r="X457" s="142"/>
      <c r="Y457" s="142"/>
      <c r="Z457" s="142"/>
      <c r="AA457" s="142"/>
      <c r="AB457" s="530"/>
      <c r="AD457" s="543"/>
      <c r="AO457" s="142"/>
    </row>
    <row r="458" customFormat="false" ht="15.75" hidden="false" customHeight="false" outlineLevel="0" collapsed="false">
      <c r="N458" s="142"/>
      <c r="W458" s="142"/>
      <c r="X458" s="142"/>
      <c r="Y458" s="142"/>
      <c r="Z458" s="142"/>
      <c r="AA458" s="142"/>
      <c r="AB458" s="530"/>
      <c r="AD458" s="543"/>
      <c r="AO458" s="142"/>
    </row>
    <row r="459" customFormat="false" ht="15.75" hidden="false" customHeight="false" outlineLevel="0" collapsed="false">
      <c r="N459" s="142"/>
      <c r="W459" s="142"/>
      <c r="X459" s="142"/>
      <c r="Y459" s="142"/>
      <c r="Z459" s="142"/>
      <c r="AA459" s="142"/>
      <c r="AB459" s="530"/>
      <c r="AD459" s="543"/>
      <c r="AO459" s="142"/>
    </row>
    <row r="460" customFormat="false" ht="15.75" hidden="false" customHeight="false" outlineLevel="0" collapsed="false">
      <c r="N460" s="142"/>
      <c r="W460" s="142"/>
      <c r="X460" s="142"/>
      <c r="Y460" s="142"/>
      <c r="Z460" s="142"/>
      <c r="AA460" s="142"/>
      <c r="AB460" s="530"/>
      <c r="AD460" s="543"/>
      <c r="AO460" s="142"/>
    </row>
    <row r="461" customFormat="false" ht="15.75" hidden="false" customHeight="false" outlineLevel="0" collapsed="false">
      <c r="N461" s="142"/>
      <c r="W461" s="142"/>
      <c r="X461" s="142"/>
      <c r="Y461" s="142"/>
      <c r="Z461" s="142"/>
      <c r="AA461" s="142"/>
      <c r="AB461" s="530"/>
      <c r="AD461" s="543"/>
      <c r="AO461" s="142"/>
    </row>
    <row r="462" customFormat="false" ht="15.75" hidden="false" customHeight="false" outlineLevel="0" collapsed="false">
      <c r="N462" s="142"/>
      <c r="W462" s="142"/>
      <c r="X462" s="142"/>
      <c r="Y462" s="142"/>
      <c r="Z462" s="142"/>
      <c r="AA462" s="142"/>
      <c r="AB462" s="530"/>
      <c r="AD462" s="543"/>
      <c r="AO462" s="142"/>
    </row>
    <row r="463" customFormat="false" ht="15.75" hidden="false" customHeight="false" outlineLevel="0" collapsed="false">
      <c r="N463" s="142"/>
      <c r="W463" s="142"/>
      <c r="X463" s="142"/>
      <c r="Y463" s="142"/>
      <c r="Z463" s="142"/>
      <c r="AA463" s="142"/>
      <c r="AB463" s="530"/>
      <c r="AD463" s="543"/>
      <c r="AO463" s="142"/>
    </row>
    <row r="464" customFormat="false" ht="15.75" hidden="false" customHeight="false" outlineLevel="0" collapsed="false">
      <c r="N464" s="142"/>
      <c r="W464" s="142"/>
      <c r="X464" s="142"/>
      <c r="Y464" s="142"/>
      <c r="Z464" s="142"/>
      <c r="AA464" s="142"/>
      <c r="AB464" s="530"/>
      <c r="AD464" s="543"/>
      <c r="AO464" s="142"/>
    </row>
    <row r="465" customFormat="false" ht="15.75" hidden="false" customHeight="false" outlineLevel="0" collapsed="false">
      <c r="N465" s="142"/>
      <c r="W465" s="142"/>
      <c r="X465" s="142"/>
      <c r="Y465" s="142"/>
      <c r="Z465" s="142"/>
      <c r="AA465" s="142"/>
      <c r="AB465" s="530"/>
      <c r="AD465" s="543"/>
      <c r="AO465" s="142"/>
    </row>
    <row r="466" customFormat="false" ht="15.75" hidden="false" customHeight="false" outlineLevel="0" collapsed="false">
      <c r="N466" s="142"/>
      <c r="W466" s="142"/>
      <c r="X466" s="142"/>
      <c r="Y466" s="142"/>
      <c r="Z466" s="142"/>
      <c r="AA466" s="142"/>
      <c r="AB466" s="530"/>
      <c r="AD466" s="543"/>
      <c r="AO466" s="142"/>
    </row>
    <row r="467" customFormat="false" ht="15.75" hidden="false" customHeight="false" outlineLevel="0" collapsed="false">
      <c r="N467" s="142"/>
      <c r="W467" s="142"/>
      <c r="X467" s="142"/>
      <c r="Y467" s="142"/>
      <c r="Z467" s="142"/>
      <c r="AA467" s="142"/>
      <c r="AB467" s="530"/>
      <c r="AD467" s="543"/>
      <c r="AO467" s="142"/>
    </row>
    <row r="468" customFormat="false" ht="15.75" hidden="false" customHeight="false" outlineLevel="0" collapsed="false">
      <c r="N468" s="142"/>
      <c r="W468" s="142"/>
      <c r="X468" s="142"/>
      <c r="Y468" s="142"/>
      <c r="Z468" s="142"/>
      <c r="AA468" s="142"/>
      <c r="AB468" s="530"/>
      <c r="AD468" s="543"/>
      <c r="AO468" s="142"/>
    </row>
    <row r="469" customFormat="false" ht="15.75" hidden="false" customHeight="false" outlineLevel="0" collapsed="false">
      <c r="N469" s="142"/>
      <c r="W469" s="142"/>
      <c r="X469" s="142"/>
      <c r="Y469" s="142"/>
      <c r="Z469" s="142"/>
      <c r="AA469" s="142"/>
      <c r="AB469" s="530"/>
      <c r="AD469" s="543"/>
      <c r="AO469" s="142"/>
    </row>
    <row r="470" customFormat="false" ht="15.75" hidden="false" customHeight="false" outlineLevel="0" collapsed="false">
      <c r="N470" s="142"/>
      <c r="W470" s="142"/>
      <c r="X470" s="142"/>
      <c r="Y470" s="142"/>
      <c r="Z470" s="142"/>
      <c r="AA470" s="142"/>
      <c r="AB470" s="530"/>
      <c r="AD470" s="543"/>
      <c r="AO470" s="142"/>
    </row>
    <row r="471" customFormat="false" ht="15.75" hidden="false" customHeight="false" outlineLevel="0" collapsed="false">
      <c r="N471" s="142"/>
      <c r="W471" s="142"/>
      <c r="X471" s="142"/>
      <c r="Y471" s="142"/>
      <c r="Z471" s="142"/>
      <c r="AA471" s="142"/>
      <c r="AB471" s="530"/>
      <c r="AD471" s="543"/>
      <c r="AO471" s="142"/>
    </row>
    <row r="472" customFormat="false" ht="15.75" hidden="false" customHeight="false" outlineLevel="0" collapsed="false">
      <c r="N472" s="142"/>
      <c r="W472" s="142"/>
      <c r="X472" s="142"/>
      <c r="Y472" s="142"/>
      <c r="Z472" s="142"/>
      <c r="AA472" s="142"/>
      <c r="AB472" s="530"/>
      <c r="AD472" s="543"/>
      <c r="AO472" s="142"/>
    </row>
    <row r="473" customFormat="false" ht="15.75" hidden="false" customHeight="false" outlineLevel="0" collapsed="false">
      <c r="N473" s="142"/>
      <c r="W473" s="142"/>
      <c r="X473" s="142"/>
      <c r="Y473" s="142"/>
      <c r="Z473" s="142"/>
      <c r="AA473" s="142"/>
      <c r="AB473" s="530"/>
      <c r="AD473" s="543"/>
      <c r="AO473" s="142"/>
    </row>
    <row r="474" customFormat="false" ht="15.75" hidden="false" customHeight="false" outlineLevel="0" collapsed="false">
      <c r="N474" s="142"/>
      <c r="W474" s="142"/>
      <c r="X474" s="142"/>
      <c r="Y474" s="142"/>
      <c r="Z474" s="142"/>
      <c r="AA474" s="142"/>
      <c r="AB474" s="530"/>
      <c r="AD474" s="543"/>
      <c r="AO474" s="142"/>
    </row>
    <row r="475" customFormat="false" ht="15.75" hidden="false" customHeight="false" outlineLevel="0" collapsed="false">
      <c r="N475" s="142"/>
      <c r="W475" s="142"/>
      <c r="X475" s="142"/>
      <c r="Y475" s="142"/>
      <c r="Z475" s="142"/>
      <c r="AA475" s="142"/>
      <c r="AB475" s="530"/>
      <c r="AD475" s="543"/>
      <c r="AO475" s="142"/>
    </row>
    <row r="476" customFormat="false" ht="15.75" hidden="false" customHeight="false" outlineLevel="0" collapsed="false">
      <c r="N476" s="142"/>
      <c r="W476" s="142"/>
      <c r="X476" s="142"/>
      <c r="Y476" s="142"/>
      <c r="Z476" s="142"/>
      <c r="AA476" s="142"/>
      <c r="AB476" s="530"/>
      <c r="AD476" s="543"/>
      <c r="AO476" s="142"/>
    </row>
    <row r="477" customFormat="false" ht="15.75" hidden="false" customHeight="false" outlineLevel="0" collapsed="false">
      <c r="N477" s="142"/>
      <c r="W477" s="142"/>
      <c r="X477" s="142"/>
      <c r="Y477" s="142"/>
      <c r="Z477" s="142"/>
      <c r="AA477" s="142"/>
      <c r="AB477" s="530"/>
      <c r="AD477" s="543"/>
      <c r="AO477" s="142"/>
    </row>
    <row r="478" customFormat="false" ht="15.75" hidden="false" customHeight="false" outlineLevel="0" collapsed="false">
      <c r="N478" s="142"/>
      <c r="W478" s="142"/>
      <c r="X478" s="142"/>
      <c r="Y478" s="142"/>
      <c r="Z478" s="142"/>
      <c r="AA478" s="142"/>
      <c r="AB478" s="530"/>
      <c r="AD478" s="543"/>
      <c r="AO478" s="142"/>
    </row>
    <row r="479" customFormat="false" ht="15.75" hidden="false" customHeight="false" outlineLevel="0" collapsed="false">
      <c r="N479" s="142"/>
      <c r="W479" s="142"/>
      <c r="X479" s="142"/>
      <c r="Y479" s="142"/>
      <c r="Z479" s="142"/>
      <c r="AA479" s="142"/>
      <c r="AB479" s="530"/>
      <c r="AD479" s="543"/>
      <c r="AO479" s="142"/>
    </row>
    <row r="480" customFormat="false" ht="15.75" hidden="false" customHeight="false" outlineLevel="0" collapsed="false">
      <c r="N480" s="142"/>
      <c r="W480" s="142"/>
      <c r="X480" s="142"/>
      <c r="Y480" s="142"/>
      <c r="Z480" s="142"/>
      <c r="AA480" s="142"/>
      <c r="AB480" s="530"/>
      <c r="AD480" s="543"/>
      <c r="AO480" s="142"/>
    </row>
    <row r="481" customFormat="false" ht="15.75" hidden="false" customHeight="false" outlineLevel="0" collapsed="false">
      <c r="N481" s="142"/>
      <c r="W481" s="142"/>
      <c r="X481" s="142"/>
      <c r="Y481" s="142"/>
      <c r="Z481" s="142"/>
      <c r="AA481" s="142"/>
      <c r="AB481" s="530"/>
      <c r="AD481" s="543"/>
      <c r="AO481" s="142"/>
    </row>
    <row r="482" customFormat="false" ht="15.75" hidden="false" customHeight="false" outlineLevel="0" collapsed="false">
      <c r="N482" s="142"/>
      <c r="W482" s="142"/>
      <c r="X482" s="142"/>
      <c r="Y482" s="142"/>
      <c r="Z482" s="142"/>
      <c r="AA482" s="142"/>
      <c r="AB482" s="530"/>
      <c r="AD482" s="543"/>
      <c r="AO482" s="142"/>
    </row>
    <row r="483" customFormat="false" ht="15.75" hidden="false" customHeight="false" outlineLevel="0" collapsed="false">
      <c r="N483" s="142"/>
      <c r="W483" s="142"/>
      <c r="X483" s="142"/>
      <c r="Y483" s="142"/>
      <c r="Z483" s="142"/>
      <c r="AA483" s="142"/>
      <c r="AB483" s="530"/>
      <c r="AD483" s="543"/>
      <c r="AO483" s="142"/>
    </row>
    <row r="484" customFormat="false" ht="15.75" hidden="false" customHeight="false" outlineLevel="0" collapsed="false">
      <c r="N484" s="142"/>
      <c r="W484" s="142"/>
      <c r="X484" s="142"/>
      <c r="Y484" s="142"/>
      <c r="Z484" s="142"/>
      <c r="AA484" s="142"/>
      <c r="AB484" s="530"/>
      <c r="AD484" s="543"/>
      <c r="AO484" s="142"/>
    </row>
    <row r="485" customFormat="false" ht="15.75" hidden="false" customHeight="false" outlineLevel="0" collapsed="false">
      <c r="N485" s="142"/>
      <c r="W485" s="142"/>
      <c r="X485" s="142"/>
      <c r="Y485" s="142"/>
      <c r="Z485" s="142"/>
      <c r="AA485" s="142"/>
      <c r="AB485" s="530"/>
      <c r="AD485" s="543"/>
      <c r="AO485" s="142"/>
    </row>
    <row r="486" customFormat="false" ht="15.75" hidden="false" customHeight="false" outlineLevel="0" collapsed="false">
      <c r="N486" s="142"/>
      <c r="W486" s="142"/>
      <c r="X486" s="142"/>
      <c r="Y486" s="142"/>
      <c r="Z486" s="142"/>
      <c r="AA486" s="142"/>
      <c r="AB486" s="530"/>
      <c r="AD486" s="543"/>
      <c r="AO486" s="142"/>
    </row>
    <row r="487" customFormat="false" ht="15.75" hidden="false" customHeight="false" outlineLevel="0" collapsed="false">
      <c r="N487" s="142"/>
      <c r="W487" s="142"/>
      <c r="X487" s="142"/>
      <c r="Y487" s="142"/>
      <c r="Z487" s="142"/>
      <c r="AA487" s="142"/>
      <c r="AB487" s="530"/>
      <c r="AD487" s="543"/>
      <c r="AO487" s="142"/>
    </row>
    <row r="488" customFormat="false" ht="15.75" hidden="false" customHeight="false" outlineLevel="0" collapsed="false">
      <c r="N488" s="142"/>
      <c r="W488" s="142"/>
      <c r="X488" s="142"/>
      <c r="Y488" s="142"/>
      <c r="Z488" s="142"/>
      <c r="AA488" s="142"/>
      <c r="AB488" s="530"/>
      <c r="AD488" s="543"/>
      <c r="AO488" s="142"/>
    </row>
    <row r="489" customFormat="false" ht="15.75" hidden="false" customHeight="false" outlineLevel="0" collapsed="false">
      <c r="N489" s="142"/>
      <c r="W489" s="142"/>
      <c r="X489" s="142"/>
      <c r="Y489" s="142"/>
      <c r="Z489" s="142"/>
      <c r="AA489" s="142"/>
      <c r="AB489" s="530"/>
      <c r="AD489" s="543"/>
      <c r="AO489" s="142"/>
    </row>
    <row r="490" customFormat="false" ht="15.75" hidden="false" customHeight="false" outlineLevel="0" collapsed="false">
      <c r="N490" s="142"/>
      <c r="W490" s="142"/>
      <c r="X490" s="142"/>
      <c r="Y490" s="142"/>
      <c r="Z490" s="142"/>
      <c r="AA490" s="142"/>
      <c r="AB490" s="530"/>
      <c r="AD490" s="543"/>
      <c r="AO490" s="142"/>
    </row>
    <row r="491" customFormat="false" ht="15.75" hidden="false" customHeight="false" outlineLevel="0" collapsed="false">
      <c r="N491" s="142"/>
      <c r="W491" s="142"/>
      <c r="X491" s="142"/>
      <c r="Y491" s="142"/>
      <c r="Z491" s="142"/>
      <c r="AA491" s="142"/>
      <c r="AB491" s="530"/>
      <c r="AD491" s="543"/>
      <c r="AO491" s="142"/>
    </row>
    <row r="492" customFormat="false" ht="15.75" hidden="false" customHeight="false" outlineLevel="0" collapsed="false">
      <c r="N492" s="142"/>
      <c r="W492" s="142"/>
      <c r="X492" s="142"/>
      <c r="Y492" s="142"/>
      <c r="Z492" s="142"/>
      <c r="AA492" s="142"/>
      <c r="AB492" s="530"/>
      <c r="AD492" s="543"/>
      <c r="AO492" s="142"/>
    </row>
    <row r="493" customFormat="false" ht="15.75" hidden="false" customHeight="false" outlineLevel="0" collapsed="false">
      <c r="N493" s="142"/>
      <c r="W493" s="142"/>
      <c r="X493" s="142"/>
      <c r="Y493" s="142"/>
      <c r="Z493" s="142"/>
      <c r="AA493" s="142"/>
      <c r="AB493" s="530"/>
      <c r="AD493" s="543"/>
      <c r="AO493" s="142"/>
    </row>
    <row r="494" customFormat="false" ht="15.75" hidden="false" customHeight="false" outlineLevel="0" collapsed="false">
      <c r="N494" s="142"/>
      <c r="W494" s="142"/>
      <c r="X494" s="142"/>
      <c r="Y494" s="142"/>
      <c r="Z494" s="142"/>
      <c r="AA494" s="142"/>
      <c r="AB494" s="530"/>
      <c r="AD494" s="543"/>
      <c r="AO494" s="142"/>
    </row>
    <row r="495" customFormat="false" ht="15.75" hidden="false" customHeight="false" outlineLevel="0" collapsed="false">
      <c r="N495" s="142"/>
      <c r="W495" s="142"/>
      <c r="X495" s="142"/>
      <c r="Y495" s="142"/>
      <c r="Z495" s="142"/>
      <c r="AA495" s="142"/>
      <c r="AB495" s="530"/>
      <c r="AD495" s="543"/>
      <c r="AO495" s="142"/>
    </row>
    <row r="496" customFormat="false" ht="15.75" hidden="false" customHeight="false" outlineLevel="0" collapsed="false">
      <c r="N496" s="142"/>
      <c r="W496" s="142"/>
      <c r="X496" s="142"/>
      <c r="Y496" s="142"/>
      <c r="Z496" s="142"/>
      <c r="AA496" s="142"/>
      <c r="AB496" s="530"/>
      <c r="AD496" s="543"/>
      <c r="AO496" s="142"/>
    </row>
    <row r="497" customFormat="false" ht="15.75" hidden="false" customHeight="false" outlineLevel="0" collapsed="false">
      <c r="N497" s="142"/>
      <c r="W497" s="142"/>
      <c r="X497" s="142"/>
      <c r="Y497" s="142"/>
      <c r="Z497" s="142"/>
      <c r="AA497" s="142"/>
      <c r="AB497" s="530"/>
      <c r="AD497" s="543"/>
      <c r="AO497" s="142"/>
    </row>
    <row r="498" customFormat="false" ht="15.75" hidden="false" customHeight="false" outlineLevel="0" collapsed="false">
      <c r="N498" s="142"/>
      <c r="W498" s="142"/>
      <c r="X498" s="142"/>
      <c r="Y498" s="142"/>
      <c r="Z498" s="142"/>
      <c r="AA498" s="142"/>
      <c r="AB498" s="530"/>
      <c r="AD498" s="543"/>
      <c r="AO498" s="142"/>
    </row>
    <row r="499" customFormat="false" ht="15.75" hidden="false" customHeight="false" outlineLevel="0" collapsed="false">
      <c r="N499" s="142"/>
      <c r="W499" s="142"/>
      <c r="X499" s="142"/>
      <c r="Y499" s="142"/>
      <c r="Z499" s="142"/>
      <c r="AA499" s="142"/>
      <c r="AB499" s="530"/>
      <c r="AD499" s="543"/>
      <c r="AO499" s="142"/>
    </row>
    <row r="500" customFormat="false" ht="15.75" hidden="false" customHeight="false" outlineLevel="0" collapsed="false">
      <c r="N500" s="142"/>
      <c r="W500" s="142"/>
      <c r="X500" s="142"/>
      <c r="Y500" s="142"/>
      <c r="Z500" s="142"/>
      <c r="AA500" s="142"/>
      <c r="AB500" s="530"/>
      <c r="AD500" s="543"/>
      <c r="AO500" s="142"/>
    </row>
    <row r="501" customFormat="false" ht="15.75" hidden="false" customHeight="false" outlineLevel="0" collapsed="false">
      <c r="N501" s="142"/>
      <c r="W501" s="142"/>
      <c r="X501" s="142"/>
      <c r="Y501" s="142"/>
      <c r="Z501" s="142"/>
      <c r="AA501" s="142"/>
      <c r="AB501" s="530"/>
      <c r="AD501" s="543"/>
      <c r="AO501" s="142"/>
    </row>
    <row r="502" customFormat="false" ht="15.75" hidden="false" customHeight="false" outlineLevel="0" collapsed="false">
      <c r="N502" s="142"/>
      <c r="W502" s="142"/>
      <c r="X502" s="142"/>
      <c r="Y502" s="142"/>
      <c r="Z502" s="142"/>
      <c r="AA502" s="142"/>
      <c r="AB502" s="530"/>
      <c r="AD502" s="543"/>
      <c r="AO502" s="142"/>
    </row>
    <row r="503" customFormat="false" ht="15.75" hidden="false" customHeight="false" outlineLevel="0" collapsed="false">
      <c r="N503" s="142"/>
      <c r="W503" s="142"/>
      <c r="X503" s="142"/>
      <c r="Y503" s="142"/>
      <c r="Z503" s="142"/>
      <c r="AA503" s="142"/>
      <c r="AB503" s="530"/>
      <c r="AD503" s="543"/>
      <c r="AO503" s="142"/>
    </row>
    <row r="504" customFormat="false" ht="15.75" hidden="false" customHeight="false" outlineLevel="0" collapsed="false">
      <c r="N504" s="142"/>
      <c r="W504" s="142"/>
      <c r="X504" s="142"/>
      <c r="Y504" s="142"/>
      <c r="Z504" s="142"/>
      <c r="AA504" s="142"/>
      <c r="AB504" s="530"/>
      <c r="AD504" s="543"/>
      <c r="AO504" s="142"/>
    </row>
    <row r="505" customFormat="false" ht="15.75" hidden="false" customHeight="false" outlineLevel="0" collapsed="false">
      <c r="N505" s="142"/>
      <c r="W505" s="142"/>
      <c r="X505" s="142"/>
      <c r="Y505" s="142"/>
      <c r="Z505" s="142"/>
      <c r="AA505" s="142"/>
      <c r="AB505" s="530"/>
      <c r="AD505" s="543"/>
      <c r="AO505" s="142"/>
    </row>
    <row r="506" customFormat="false" ht="15.75" hidden="false" customHeight="false" outlineLevel="0" collapsed="false">
      <c r="N506" s="142"/>
      <c r="W506" s="142"/>
      <c r="X506" s="142"/>
      <c r="Y506" s="142"/>
      <c r="Z506" s="142"/>
      <c r="AA506" s="142"/>
      <c r="AB506" s="530"/>
      <c r="AD506" s="543"/>
      <c r="AO506" s="142"/>
    </row>
    <row r="507" customFormat="false" ht="15.75" hidden="false" customHeight="false" outlineLevel="0" collapsed="false">
      <c r="N507" s="142"/>
      <c r="W507" s="142"/>
      <c r="X507" s="142"/>
      <c r="Y507" s="142"/>
      <c r="Z507" s="142"/>
      <c r="AA507" s="142"/>
      <c r="AB507" s="530"/>
      <c r="AD507" s="543"/>
      <c r="AO507" s="142"/>
    </row>
    <row r="508" customFormat="false" ht="15.75" hidden="false" customHeight="false" outlineLevel="0" collapsed="false">
      <c r="N508" s="142"/>
      <c r="W508" s="142"/>
      <c r="X508" s="142"/>
      <c r="Y508" s="142"/>
      <c r="Z508" s="142"/>
      <c r="AA508" s="142"/>
      <c r="AB508" s="530"/>
      <c r="AD508" s="543"/>
      <c r="AO508" s="142"/>
    </row>
    <row r="509" customFormat="false" ht="15.75" hidden="false" customHeight="false" outlineLevel="0" collapsed="false">
      <c r="N509" s="142"/>
      <c r="W509" s="142"/>
      <c r="X509" s="142"/>
      <c r="Y509" s="142"/>
      <c r="Z509" s="142"/>
      <c r="AA509" s="142"/>
      <c r="AB509" s="530"/>
      <c r="AD509" s="543"/>
      <c r="AO509" s="142"/>
    </row>
    <row r="510" customFormat="false" ht="15.75" hidden="false" customHeight="false" outlineLevel="0" collapsed="false">
      <c r="N510" s="142"/>
      <c r="W510" s="142"/>
      <c r="X510" s="142"/>
      <c r="Y510" s="142"/>
      <c r="Z510" s="142"/>
      <c r="AA510" s="142"/>
      <c r="AB510" s="530"/>
      <c r="AD510" s="543"/>
      <c r="AO510" s="142"/>
    </row>
    <row r="511" customFormat="false" ht="15.75" hidden="false" customHeight="false" outlineLevel="0" collapsed="false">
      <c r="N511" s="142"/>
      <c r="W511" s="142"/>
      <c r="X511" s="142"/>
      <c r="Y511" s="142"/>
      <c r="Z511" s="142"/>
      <c r="AA511" s="142"/>
      <c r="AB511" s="530"/>
      <c r="AD511" s="543"/>
      <c r="AO511" s="142"/>
    </row>
    <row r="512" customFormat="false" ht="15.75" hidden="false" customHeight="false" outlineLevel="0" collapsed="false">
      <c r="N512" s="142"/>
      <c r="W512" s="142"/>
      <c r="X512" s="142"/>
      <c r="Y512" s="142"/>
      <c r="Z512" s="142"/>
      <c r="AA512" s="142"/>
      <c r="AB512" s="544"/>
      <c r="AD512" s="543"/>
      <c r="AO512" s="142"/>
    </row>
    <row r="513" customFormat="false" ht="15.75" hidden="false" customHeight="false" outlineLevel="0" collapsed="false">
      <c r="N513" s="142"/>
      <c r="W513" s="142"/>
      <c r="X513" s="142"/>
      <c r="Y513" s="142"/>
      <c r="Z513" s="142"/>
      <c r="AA513" s="142"/>
      <c r="AB513" s="544"/>
      <c r="AD513" s="543"/>
      <c r="AO513" s="142"/>
    </row>
    <row r="514" customFormat="false" ht="15.75" hidden="false" customHeight="false" outlineLevel="0" collapsed="false">
      <c r="N514" s="142"/>
      <c r="W514" s="142"/>
      <c r="X514" s="142"/>
      <c r="Y514" s="142"/>
      <c r="Z514" s="142"/>
      <c r="AA514" s="142"/>
      <c r="AB514" s="544"/>
      <c r="AD514" s="543"/>
      <c r="AO514" s="142"/>
    </row>
    <row r="515" customFormat="false" ht="15.75" hidden="false" customHeight="false" outlineLevel="0" collapsed="false">
      <c r="N515" s="142"/>
      <c r="W515" s="142"/>
      <c r="X515" s="142"/>
      <c r="Y515" s="142"/>
      <c r="Z515" s="142"/>
      <c r="AA515" s="142"/>
      <c r="AB515" s="544"/>
      <c r="AD515" s="543"/>
      <c r="AO515" s="142"/>
    </row>
    <row r="516" customFormat="false" ht="15.75" hidden="false" customHeight="false" outlineLevel="0" collapsed="false">
      <c r="N516" s="142"/>
      <c r="W516" s="142"/>
      <c r="X516" s="142"/>
      <c r="Y516" s="142"/>
      <c r="Z516" s="142"/>
      <c r="AA516" s="142"/>
      <c r="AB516" s="544"/>
      <c r="AD516" s="543"/>
      <c r="AO516" s="142"/>
    </row>
    <row r="517" customFormat="false" ht="15.75" hidden="false" customHeight="false" outlineLevel="0" collapsed="false">
      <c r="N517" s="142"/>
      <c r="W517" s="142"/>
      <c r="X517" s="142"/>
      <c r="Y517" s="142"/>
      <c r="Z517" s="142"/>
      <c r="AA517" s="142"/>
      <c r="AB517" s="544"/>
      <c r="AD517" s="543"/>
      <c r="AO517" s="142"/>
    </row>
    <row r="518" customFormat="false" ht="15.75" hidden="false" customHeight="false" outlineLevel="0" collapsed="false">
      <c r="N518" s="142"/>
      <c r="W518" s="142"/>
      <c r="X518" s="142"/>
      <c r="Y518" s="142"/>
      <c r="Z518" s="142"/>
      <c r="AA518" s="142"/>
      <c r="AB518" s="544"/>
      <c r="AD518" s="543"/>
      <c r="AO518" s="142"/>
    </row>
    <row r="519" customFormat="false" ht="15.75" hidden="false" customHeight="false" outlineLevel="0" collapsed="false">
      <c r="N519" s="142"/>
      <c r="W519" s="142"/>
      <c r="X519" s="142"/>
      <c r="Y519" s="142"/>
      <c r="Z519" s="142"/>
      <c r="AA519" s="142"/>
      <c r="AB519" s="544"/>
      <c r="AD519" s="543"/>
      <c r="AO519" s="142"/>
    </row>
    <row r="520" customFormat="false" ht="15.75" hidden="false" customHeight="false" outlineLevel="0" collapsed="false">
      <c r="N520" s="142"/>
      <c r="W520" s="142"/>
      <c r="X520" s="142"/>
      <c r="Y520" s="142"/>
      <c r="Z520" s="142"/>
      <c r="AA520" s="142"/>
      <c r="AB520" s="544"/>
      <c r="AD520" s="543"/>
      <c r="AO520" s="142"/>
    </row>
    <row r="521" customFormat="false" ht="15.75" hidden="false" customHeight="false" outlineLevel="0" collapsed="false">
      <c r="N521" s="142"/>
      <c r="W521" s="142"/>
      <c r="X521" s="142"/>
      <c r="Y521" s="142"/>
      <c r="Z521" s="142"/>
      <c r="AA521" s="142"/>
      <c r="AB521" s="544"/>
      <c r="AD521" s="543"/>
      <c r="AO521" s="142"/>
    </row>
    <row r="522" customFormat="false" ht="15.75" hidden="false" customHeight="false" outlineLevel="0" collapsed="false">
      <c r="N522" s="142"/>
      <c r="W522" s="142"/>
      <c r="X522" s="142"/>
      <c r="Y522" s="142"/>
      <c r="Z522" s="142"/>
      <c r="AA522" s="142"/>
      <c r="AB522" s="544"/>
      <c r="AD522" s="543"/>
      <c r="AO522" s="142"/>
    </row>
    <row r="523" customFormat="false" ht="15.75" hidden="false" customHeight="false" outlineLevel="0" collapsed="false">
      <c r="N523" s="142"/>
      <c r="W523" s="142"/>
      <c r="X523" s="142"/>
      <c r="Y523" s="142"/>
      <c r="Z523" s="142"/>
      <c r="AA523" s="142"/>
      <c r="AB523" s="544"/>
      <c r="AD523" s="543"/>
      <c r="AO523" s="142"/>
    </row>
    <row r="524" customFormat="false" ht="15.75" hidden="false" customHeight="false" outlineLevel="0" collapsed="false">
      <c r="N524" s="142"/>
      <c r="W524" s="142"/>
      <c r="X524" s="142"/>
      <c r="Y524" s="142"/>
      <c r="Z524" s="142"/>
      <c r="AA524" s="142"/>
      <c r="AB524" s="544"/>
      <c r="AD524" s="543"/>
      <c r="AO524" s="142"/>
    </row>
    <row r="525" customFormat="false" ht="15.75" hidden="false" customHeight="false" outlineLevel="0" collapsed="false">
      <c r="N525" s="142"/>
      <c r="W525" s="142"/>
      <c r="X525" s="142"/>
      <c r="Y525" s="142"/>
      <c r="Z525" s="142"/>
      <c r="AA525" s="142"/>
      <c r="AB525" s="544"/>
      <c r="AD525" s="543"/>
      <c r="AO525" s="142"/>
    </row>
    <row r="526" customFormat="false" ht="15.75" hidden="false" customHeight="false" outlineLevel="0" collapsed="false">
      <c r="N526" s="142"/>
      <c r="W526" s="142"/>
      <c r="X526" s="142"/>
      <c r="Y526" s="142"/>
      <c r="Z526" s="142"/>
      <c r="AA526" s="142"/>
      <c r="AB526" s="544"/>
      <c r="AD526" s="543"/>
      <c r="AO526" s="142"/>
    </row>
    <row r="527" customFormat="false" ht="15.75" hidden="false" customHeight="false" outlineLevel="0" collapsed="false">
      <c r="N527" s="142"/>
      <c r="W527" s="142"/>
      <c r="X527" s="142"/>
      <c r="Y527" s="142"/>
      <c r="Z527" s="142"/>
      <c r="AA527" s="142"/>
      <c r="AB527" s="544"/>
      <c r="AD527" s="543"/>
      <c r="AO527" s="142"/>
    </row>
    <row r="528" customFormat="false" ht="15.75" hidden="false" customHeight="false" outlineLevel="0" collapsed="false">
      <c r="N528" s="142"/>
      <c r="W528" s="142"/>
      <c r="X528" s="142"/>
      <c r="Y528" s="142"/>
      <c r="Z528" s="142"/>
      <c r="AA528" s="142"/>
      <c r="AB528" s="544"/>
      <c r="AD528" s="543"/>
      <c r="AO528" s="142"/>
    </row>
    <row r="529" customFormat="false" ht="15.75" hidden="false" customHeight="false" outlineLevel="0" collapsed="false">
      <c r="N529" s="142"/>
      <c r="W529" s="142"/>
      <c r="X529" s="142"/>
      <c r="Y529" s="142"/>
      <c r="Z529" s="142"/>
      <c r="AA529" s="142"/>
      <c r="AB529" s="544"/>
      <c r="AD529" s="543"/>
      <c r="AO529" s="142"/>
    </row>
    <row r="530" customFormat="false" ht="15.75" hidden="false" customHeight="false" outlineLevel="0" collapsed="false">
      <c r="N530" s="142"/>
      <c r="W530" s="142"/>
      <c r="X530" s="142"/>
      <c r="Y530" s="142"/>
      <c r="Z530" s="142"/>
      <c r="AA530" s="142"/>
      <c r="AB530" s="544"/>
      <c r="AD530" s="543"/>
      <c r="AO530" s="142"/>
    </row>
    <row r="531" customFormat="false" ht="15.75" hidden="false" customHeight="false" outlineLevel="0" collapsed="false">
      <c r="N531" s="142"/>
      <c r="W531" s="142"/>
      <c r="X531" s="142"/>
      <c r="Y531" s="142"/>
      <c r="Z531" s="142"/>
      <c r="AA531" s="142"/>
      <c r="AB531" s="544"/>
      <c r="AD531" s="543"/>
      <c r="AO531" s="142"/>
    </row>
    <row r="532" customFormat="false" ht="15.75" hidden="false" customHeight="false" outlineLevel="0" collapsed="false">
      <c r="N532" s="142"/>
      <c r="W532" s="142"/>
      <c r="X532" s="142"/>
      <c r="Y532" s="142"/>
      <c r="Z532" s="142"/>
      <c r="AA532" s="142"/>
      <c r="AB532" s="544"/>
      <c r="AD532" s="543"/>
      <c r="AO532" s="142"/>
    </row>
    <row r="533" customFormat="false" ht="15.75" hidden="false" customHeight="false" outlineLevel="0" collapsed="false">
      <c r="N533" s="142"/>
      <c r="W533" s="142"/>
      <c r="X533" s="142"/>
      <c r="Y533" s="142"/>
      <c r="Z533" s="142"/>
      <c r="AA533" s="142"/>
      <c r="AB533" s="544"/>
      <c r="AD533" s="543"/>
      <c r="AO533" s="142"/>
    </row>
    <row r="534" customFormat="false" ht="15.75" hidden="false" customHeight="false" outlineLevel="0" collapsed="false">
      <c r="N534" s="142"/>
      <c r="W534" s="142"/>
      <c r="X534" s="142"/>
      <c r="Y534" s="142"/>
      <c r="Z534" s="142"/>
      <c r="AA534" s="142"/>
      <c r="AB534" s="544"/>
      <c r="AD534" s="543"/>
      <c r="AO534" s="142"/>
    </row>
    <row r="535" customFormat="false" ht="15.75" hidden="false" customHeight="false" outlineLevel="0" collapsed="false">
      <c r="N535" s="142"/>
      <c r="W535" s="142"/>
      <c r="X535" s="142"/>
      <c r="Y535" s="142"/>
      <c r="Z535" s="142"/>
      <c r="AA535" s="142"/>
      <c r="AB535" s="544"/>
      <c r="AD535" s="543"/>
      <c r="AO535" s="142"/>
    </row>
    <row r="536" customFormat="false" ht="15.75" hidden="false" customHeight="false" outlineLevel="0" collapsed="false">
      <c r="N536" s="142"/>
      <c r="W536" s="142"/>
      <c r="X536" s="142"/>
      <c r="Y536" s="142"/>
      <c r="Z536" s="142"/>
      <c r="AA536" s="142"/>
      <c r="AB536" s="544"/>
      <c r="AD536" s="543"/>
      <c r="AO536" s="142"/>
    </row>
    <row r="537" customFormat="false" ht="15.75" hidden="false" customHeight="false" outlineLevel="0" collapsed="false">
      <c r="N537" s="142"/>
      <c r="W537" s="142"/>
      <c r="X537" s="142"/>
      <c r="Y537" s="142"/>
      <c r="Z537" s="142"/>
      <c r="AA537" s="142"/>
      <c r="AB537" s="544"/>
      <c r="AD537" s="543"/>
      <c r="AO537" s="142"/>
    </row>
    <row r="538" customFormat="false" ht="15.75" hidden="false" customHeight="false" outlineLevel="0" collapsed="false">
      <c r="N538" s="142"/>
      <c r="W538" s="142"/>
      <c r="X538" s="142"/>
      <c r="Y538" s="142"/>
      <c r="Z538" s="142"/>
      <c r="AA538" s="142"/>
      <c r="AB538" s="544"/>
      <c r="AD538" s="543"/>
      <c r="AO538" s="142"/>
    </row>
    <row r="539" customFormat="false" ht="15.75" hidden="false" customHeight="false" outlineLevel="0" collapsed="false">
      <c r="N539" s="142"/>
      <c r="W539" s="142"/>
      <c r="X539" s="142"/>
      <c r="Y539" s="142"/>
      <c r="Z539" s="142"/>
      <c r="AA539" s="142"/>
      <c r="AB539" s="544"/>
      <c r="AD539" s="543"/>
      <c r="AO539" s="142"/>
    </row>
    <row r="540" customFormat="false" ht="15.75" hidden="false" customHeight="false" outlineLevel="0" collapsed="false">
      <c r="N540" s="142"/>
      <c r="W540" s="142"/>
      <c r="X540" s="142"/>
      <c r="Y540" s="142"/>
      <c r="Z540" s="142"/>
      <c r="AA540" s="142"/>
      <c r="AB540" s="544"/>
      <c r="AD540" s="543"/>
      <c r="AO540" s="142"/>
    </row>
    <row r="541" customFormat="false" ht="15.75" hidden="false" customHeight="false" outlineLevel="0" collapsed="false">
      <c r="N541" s="142"/>
      <c r="W541" s="142"/>
      <c r="X541" s="142"/>
      <c r="Y541" s="142"/>
      <c r="Z541" s="142"/>
      <c r="AA541" s="142"/>
      <c r="AB541" s="544"/>
      <c r="AD541" s="543"/>
      <c r="AO541" s="142"/>
    </row>
    <row r="542" customFormat="false" ht="15.75" hidden="false" customHeight="false" outlineLevel="0" collapsed="false">
      <c r="N542" s="142"/>
      <c r="W542" s="142"/>
      <c r="X542" s="142"/>
      <c r="Y542" s="142"/>
      <c r="Z542" s="142"/>
      <c r="AA542" s="142"/>
      <c r="AB542" s="544"/>
      <c r="AD542" s="543"/>
      <c r="AO542" s="142"/>
    </row>
    <row r="543" customFormat="false" ht="15.75" hidden="false" customHeight="false" outlineLevel="0" collapsed="false">
      <c r="N543" s="142"/>
      <c r="W543" s="142"/>
      <c r="X543" s="142"/>
      <c r="Y543" s="142"/>
      <c r="Z543" s="142"/>
      <c r="AA543" s="142"/>
      <c r="AB543" s="544"/>
      <c r="AD543" s="543"/>
      <c r="AO543" s="142"/>
    </row>
    <row r="544" customFormat="false" ht="15.75" hidden="false" customHeight="false" outlineLevel="0" collapsed="false">
      <c r="N544" s="142"/>
      <c r="W544" s="142"/>
      <c r="X544" s="142"/>
      <c r="Y544" s="142"/>
      <c r="Z544" s="142"/>
      <c r="AA544" s="142"/>
      <c r="AB544" s="544"/>
      <c r="AD544" s="543"/>
      <c r="AO544" s="142"/>
    </row>
    <row r="545" customFormat="false" ht="15.75" hidden="false" customHeight="false" outlineLevel="0" collapsed="false">
      <c r="N545" s="142"/>
      <c r="W545" s="142"/>
      <c r="X545" s="142"/>
      <c r="Y545" s="142"/>
      <c r="Z545" s="142"/>
      <c r="AA545" s="142"/>
      <c r="AB545" s="544"/>
      <c r="AD545" s="543"/>
      <c r="AO545" s="142"/>
    </row>
    <row r="546" customFormat="false" ht="15.75" hidden="false" customHeight="false" outlineLevel="0" collapsed="false">
      <c r="N546" s="142"/>
      <c r="W546" s="142"/>
      <c r="X546" s="142"/>
      <c r="Y546" s="142"/>
      <c r="Z546" s="142"/>
      <c r="AA546" s="142"/>
      <c r="AB546" s="544"/>
      <c r="AD546" s="543"/>
      <c r="AO546" s="142"/>
    </row>
    <row r="547" customFormat="false" ht="15.75" hidden="false" customHeight="false" outlineLevel="0" collapsed="false">
      <c r="N547" s="142"/>
      <c r="W547" s="142"/>
      <c r="X547" s="142"/>
      <c r="Y547" s="142"/>
      <c r="Z547" s="142"/>
      <c r="AA547" s="142"/>
      <c r="AB547" s="544"/>
      <c r="AD547" s="543"/>
      <c r="AO547" s="142"/>
    </row>
    <row r="548" customFormat="false" ht="15.75" hidden="false" customHeight="false" outlineLevel="0" collapsed="false">
      <c r="N548" s="142"/>
      <c r="W548" s="142"/>
      <c r="X548" s="142"/>
      <c r="Y548" s="142"/>
      <c r="Z548" s="142"/>
      <c r="AA548" s="142"/>
      <c r="AB548" s="544"/>
      <c r="AD548" s="543"/>
      <c r="AO548" s="142"/>
    </row>
    <row r="549" customFormat="false" ht="15.75" hidden="false" customHeight="false" outlineLevel="0" collapsed="false">
      <c r="N549" s="142"/>
      <c r="W549" s="142"/>
      <c r="X549" s="142"/>
      <c r="Y549" s="142"/>
      <c r="Z549" s="142"/>
      <c r="AA549" s="142"/>
      <c r="AB549" s="544"/>
      <c r="AD549" s="543"/>
      <c r="AO549" s="142"/>
    </row>
    <row r="550" customFormat="false" ht="15.75" hidden="false" customHeight="false" outlineLevel="0" collapsed="false">
      <c r="N550" s="142"/>
      <c r="W550" s="142"/>
      <c r="X550" s="142"/>
      <c r="Y550" s="142"/>
      <c r="Z550" s="142"/>
      <c r="AA550" s="142"/>
      <c r="AB550" s="544"/>
      <c r="AD550" s="543"/>
      <c r="AO550" s="142"/>
    </row>
    <row r="551" customFormat="false" ht="15.75" hidden="false" customHeight="false" outlineLevel="0" collapsed="false">
      <c r="N551" s="142"/>
      <c r="W551" s="142"/>
      <c r="X551" s="142"/>
      <c r="Y551" s="142"/>
      <c r="Z551" s="142"/>
      <c r="AA551" s="142"/>
      <c r="AB551" s="544"/>
      <c r="AD551" s="543"/>
      <c r="AO551" s="142"/>
    </row>
    <row r="552" customFormat="false" ht="15.75" hidden="false" customHeight="false" outlineLevel="0" collapsed="false">
      <c r="N552" s="142"/>
      <c r="W552" s="142"/>
      <c r="X552" s="142"/>
      <c r="Y552" s="142"/>
      <c r="Z552" s="142"/>
      <c r="AA552" s="142"/>
      <c r="AB552" s="544"/>
      <c r="AD552" s="543"/>
      <c r="AO552" s="142"/>
    </row>
    <row r="553" customFormat="false" ht="15.75" hidden="false" customHeight="false" outlineLevel="0" collapsed="false">
      <c r="N553" s="142"/>
      <c r="W553" s="142"/>
      <c r="X553" s="142"/>
      <c r="Y553" s="142"/>
      <c r="Z553" s="142"/>
      <c r="AA553" s="142"/>
      <c r="AB553" s="544"/>
      <c r="AD553" s="543"/>
      <c r="AO553" s="142"/>
    </row>
    <row r="554" customFormat="false" ht="15.75" hidden="false" customHeight="false" outlineLevel="0" collapsed="false">
      <c r="N554" s="142"/>
      <c r="W554" s="142"/>
      <c r="X554" s="142"/>
      <c r="Y554" s="142"/>
      <c r="Z554" s="142"/>
      <c r="AA554" s="142"/>
      <c r="AB554" s="544"/>
      <c r="AD554" s="543"/>
      <c r="AO554" s="142"/>
    </row>
    <row r="555" customFormat="false" ht="15.75" hidden="false" customHeight="false" outlineLevel="0" collapsed="false">
      <c r="N555" s="142"/>
      <c r="W555" s="142"/>
      <c r="X555" s="142"/>
      <c r="Y555" s="142"/>
      <c r="Z555" s="142"/>
      <c r="AA555" s="142"/>
      <c r="AB555" s="544"/>
      <c r="AD555" s="543"/>
      <c r="AO555" s="142"/>
    </row>
    <row r="556" customFormat="false" ht="15.75" hidden="false" customHeight="false" outlineLevel="0" collapsed="false">
      <c r="N556" s="142"/>
      <c r="W556" s="142"/>
      <c r="X556" s="142"/>
      <c r="Y556" s="142"/>
      <c r="Z556" s="142"/>
      <c r="AA556" s="142"/>
      <c r="AB556" s="544"/>
      <c r="AD556" s="543"/>
      <c r="AO556" s="142"/>
    </row>
    <row r="557" customFormat="false" ht="15.75" hidden="false" customHeight="false" outlineLevel="0" collapsed="false">
      <c r="N557" s="142"/>
      <c r="W557" s="142"/>
      <c r="X557" s="142"/>
      <c r="Y557" s="142"/>
      <c r="Z557" s="142"/>
      <c r="AA557" s="142"/>
      <c r="AB557" s="544"/>
      <c r="AD557" s="543"/>
      <c r="AO557" s="142"/>
    </row>
    <row r="558" customFormat="false" ht="15.75" hidden="false" customHeight="false" outlineLevel="0" collapsed="false">
      <c r="N558" s="142"/>
      <c r="W558" s="142"/>
      <c r="X558" s="142"/>
      <c r="Y558" s="142"/>
      <c r="Z558" s="142"/>
      <c r="AA558" s="142"/>
      <c r="AB558" s="544"/>
      <c r="AD558" s="543"/>
      <c r="AO558" s="142"/>
    </row>
    <row r="559" customFormat="false" ht="15.75" hidden="false" customHeight="false" outlineLevel="0" collapsed="false">
      <c r="N559" s="142"/>
      <c r="W559" s="142"/>
      <c r="X559" s="142"/>
      <c r="Y559" s="142"/>
      <c r="Z559" s="142"/>
      <c r="AA559" s="142"/>
      <c r="AB559" s="544"/>
      <c r="AD559" s="543"/>
      <c r="AO559" s="142"/>
    </row>
    <row r="560" customFormat="false" ht="15.75" hidden="false" customHeight="false" outlineLevel="0" collapsed="false">
      <c r="N560" s="142"/>
      <c r="W560" s="142"/>
      <c r="X560" s="142"/>
      <c r="Y560" s="142"/>
      <c r="Z560" s="142"/>
      <c r="AA560" s="142"/>
      <c r="AB560" s="544"/>
      <c r="AD560" s="543"/>
      <c r="AO560" s="142"/>
    </row>
    <row r="561" customFormat="false" ht="15.75" hidden="false" customHeight="false" outlineLevel="0" collapsed="false">
      <c r="N561" s="142"/>
      <c r="W561" s="142"/>
      <c r="X561" s="142"/>
      <c r="Y561" s="142"/>
      <c r="Z561" s="142"/>
      <c r="AA561" s="142"/>
      <c r="AB561" s="544"/>
      <c r="AD561" s="543"/>
      <c r="AO561" s="142"/>
    </row>
    <row r="562" customFormat="false" ht="15.75" hidden="false" customHeight="false" outlineLevel="0" collapsed="false">
      <c r="N562" s="142"/>
      <c r="W562" s="142"/>
      <c r="X562" s="142"/>
      <c r="Y562" s="142"/>
      <c r="Z562" s="142"/>
      <c r="AA562" s="142"/>
      <c r="AB562" s="544"/>
      <c r="AD562" s="543"/>
      <c r="AO562" s="142"/>
    </row>
    <row r="563" customFormat="false" ht="15.75" hidden="false" customHeight="false" outlineLevel="0" collapsed="false">
      <c r="N563" s="142"/>
      <c r="W563" s="142"/>
      <c r="X563" s="142"/>
      <c r="Y563" s="142"/>
      <c r="Z563" s="142"/>
      <c r="AA563" s="142"/>
      <c r="AB563" s="544"/>
      <c r="AD563" s="543"/>
      <c r="AO563" s="142"/>
    </row>
    <row r="564" customFormat="false" ht="15.75" hidden="false" customHeight="false" outlineLevel="0" collapsed="false">
      <c r="N564" s="142"/>
      <c r="W564" s="142"/>
      <c r="X564" s="142"/>
      <c r="Y564" s="142"/>
      <c r="Z564" s="142"/>
      <c r="AA564" s="142"/>
      <c r="AB564" s="544"/>
      <c r="AD564" s="543"/>
      <c r="AO564" s="142"/>
    </row>
    <row r="565" customFormat="false" ht="15.75" hidden="false" customHeight="false" outlineLevel="0" collapsed="false">
      <c r="N565" s="142"/>
      <c r="W565" s="142"/>
      <c r="X565" s="142"/>
      <c r="Y565" s="142"/>
      <c r="Z565" s="142"/>
      <c r="AA565" s="142"/>
      <c r="AB565" s="544"/>
      <c r="AD565" s="543"/>
      <c r="AO565" s="142"/>
    </row>
    <row r="566" customFormat="false" ht="15.75" hidden="false" customHeight="false" outlineLevel="0" collapsed="false">
      <c r="N566" s="142"/>
      <c r="W566" s="142"/>
      <c r="X566" s="142"/>
      <c r="Y566" s="142"/>
      <c r="Z566" s="142"/>
      <c r="AA566" s="142"/>
      <c r="AB566" s="544"/>
      <c r="AD566" s="543"/>
      <c r="AO566" s="142"/>
    </row>
    <row r="567" customFormat="false" ht="15.75" hidden="false" customHeight="false" outlineLevel="0" collapsed="false">
      <c r="N567" s="142"/>
      <c r="W567" s="142"/>
      <c r="X567" s="142"/>
      <c r="Y567" s="142"/>
      <c r="Z567" s="142"/>
      <c r="AA567" s="142"/>
      <c r="AB567" s="544"/>
      <c r="AD567" s="543"/>
      <c r="AO567" s="142"/>
    </row>
    <row r="568" customFormat="false" ht="15.75" hidden="false" customHeight="false" outlineLevel="0" collapsed="false">
      <c r="N568" s="142"/>
      <c r="W568" s="142"/>
      <c r="X568" s="142"/>
      <c r="Y568" s="142"/>
      <c r="Z568" s="142"/>
      <c r="AA568" s="142"/>
      <c r="AB568" s="544"/>
      <c r="AD568" s="543"/>
      <c r="AO568" s="142"/>
    </row>
    <row r="569" customFormat="false" ht="15.75" hidden="false" customHeight="false" outlineLevel="0" collapsed="false">
      <c r="N569" s="142"/>
      <c r="W569" s="142"/>
      <c r="X569" s="142"/>
      <c r="Y569" s="142"/>
      <c r="Z569" s="142"/>
      <c r="AA569" s="142"/>
      <c r="AB569" s="544"/>
      <c r="AD569" s="543"/>
      <c r="AO569" s="142"/>
    </row>
    <row r="570" customFormat="false" ht="15.75" hidden="false" customHeight="false" outlineLevel="0" collapsed="false">
      <c r="N570" s="142"/>
      <c r="W570" s="142"/>
      <c r="X570" s="142"/>
      <c r="Y570" s="142"/>
      <c r="Z570" s="142"/>
      <c r="AA570" s="142"/>
      <c r="AB570" s="544"/>
      <c r="AD570" s="543"/>
      <c r="AO570" s="142"/>
    </row>
    <row r="571" customFormat="false" ht="15.75" hidden="false" customHeight="false" outlineLevel="0" collapsed="false">
      <c r="N571" s="142"/>
      <c r="W571" s="142"/>
      <c r="X571" s="142"/>
      <c r="Y571" s="142"/>
      <c r="Z571" s="142"/>
      <c r="AA571" s="142"/>
      <c r="AB571" s="544"/>
      <c r="AD571" s="543"/>
      <c r="AO571" s="142"/>
    </row>
    <row r="572" customFormat="false" ht="15.75" hidden="false" customHeight="false" outlineLevel="0" collapsed="false">
      <c r="N572" s="142"/>
      <c r="W572" s="142"/>
      <c r="X572" s="142"/>
      <c r="Y572" s="142"/>
      <c r="Z572" s="142"/>
      <c r="AA572" s="142"/>
      <c r="AB572" s="544"/>
      <c r="AD572" s="543"/>
      <c r="AO572" s="142"/>
    </row>
    <row r="573" customFormat="false" ht="15.75" hidden="false" customHeight="false" outlineLevel="0" collapsed="false">
      <c r="N573" s="142"/>
      <c r="W573" s="142"/>
      <c r="X573" s="142"/>
      <c r="Y573" s="142"/>
      <c r="Z573" s="142"/>
      <c r="AA573" s="142"/>
      <c r="AB573" s="544"/>
      <c r="AD573" s="543"/>
      <c r="AO573" s="142"/>
    </row>
    <row r="574" customFormat="false" ht="15.75" hidden="false" customHeight="false" outlineLevel="0" collapsed="false">
      <c r="N574" s="142"/>
      <c r="W574" s="142"/>
      <c r="X574" s="142"/>
      <c r="Y574" s="142"/>
      <c r="Z574" s="142"/>
      <c r="AA574" s="142"/>
      <c r="AB574" s="544"/>
      <c r="AD574" s="543"/>
      <c r="AO574" s="142"/>
    </row>
    <row r="575" customFormat="false" ht="15.75" hidden="false" customHeight="false" outlineLevel="0" collapsed="false">
      <c r="N575" s="142"/>
      <c r="W575" s="142"/>
      <c r="X575" s="142"/>
      <c r="Y575" s="142"/>
      <c r="Z575" s="142"/>
      <c r="AA575" s="142"/>
      <c r="AB575" s="544"/>
      <c r="AD575" s="543"/>
      <c r="AO575" s="142"/>
    </row>
    <row r="576" customFormat="false" ht="15.75" hidden="false" customHeight="false" outlineLevel="0" collapsed="false">
      <c r="N576" s="142"/>
      <c r="W576" s="142"/>
      <c r="X576" s="142"/>
      <c r="Y576" s="142"/>
      <c r="Z576" s="142"/>
      <c r="AA576" s="142"/>
      <c r="AB576" s="544"/>
      <c r="AD576" s="543"/>
      <c r="AO576" s="142"/>
    </row>
    <row r="577" customFormat="false" ht="15.75" hidden="false" customHeight="false" outlineLevel="0" collapsed="false">
      <c r="N577" s="142"/>
      <c r="W577" s="142"/>
      <c r="X577" s="142"/>
      <c r="Y577" s="142"/>
      <c r="Z577" s="142"/>
      <c r="AA577" s="142"/>
      <c r="AB577" s="544"/>
      <c r="AD577" s="543"/>
      <c r="AO577" s="142"/>
    </row>
    <row r="578" customFormat="false" ht="15.75" hidden="false" customHeight="false" outlineLevel="0" collapsed="false">
      <c r="N578" s="142"/>
      <c r="W578" s="142"/>
      <c r="X578" s="142"/>
      <c r="Y578" s="142"/>
      <c r="Z578" s="142"/>
      <c r="AA578" s="142"/>
      <c r="AB578" s="544"/>
      <c r="AD578" s="543"/>
      <c r="AO578" s="142"/>
    </row>
    <row r="579" customFormat="false" ht="15.75" hidden="false" customHeight="false" outlineLevel="0" collapsed="false">
      <c r="N579" s="142"/>
      <c r="W579" s="142"/>
      <c r="X579" s="142"/>
      <c r="Y579" s="142"/>
      <c r="Z579" s="142"/>
      <c r="AA579" s="142"/>
      <c r="AB579" s="544"/>
      <c r="AD579" s="543"/>
      <c r="AO579" s="142"/>
    </row>
    <row r="580" customFormat="false" ht="15.75" hidden="false" customHeight="false" outlineLevel="0" collapsed="false">
      <c r="N580" s="142"/>
      <c r="W580" s="142"/>
      <c r="X580" s="142"/>
      <c r="Y580" s="142"/>
      <c r="Z580" s="142"/>
      <c r="AA580" s="142"/>
      <c r="AB580" s="544"/>
      <c r="AD580" s="543"/>
      <c r="AO580" s="142"/>
    </row>
    <row r="581" customFormat="false" ht="15.75" hidden="false" customHeight="false" outlineLevel="0" collapsed="false">
      <c r="N581" s="142"/>
      <c r="W581" s="142"/>
      <c r="X581" s="142"/>
      <c r="Y581" s="142"/>
      <c r="Z581" s="142"/>
      <c r="AA581" s="142"/>
      <c r="AB581" s="544"/>
      <c r="AD581" s="543"/>
      <c r="AO581" s="142"/>
    </row>
    <row r="582" customFormat="false" ht="15.75" hidden="false" customHeight="false" outlineLevel="0" collapsed="false">
      <c r="N582" s="142"/>
      <c r="W582" s="142"/>
      <c r="X582" s="142"/>
      <c r="Y582" s="142"/>
      <c r="Z582" s="142"/>
      <c r="AA582" s="142"/>
      <c r="AB582" s="544"/>
      <c r="AD582" s="543"/>
      <c r="AO582" s="142"/>
    </row>
    <row r="583" customFormat="false" ht="15.75" hidden="false" customHeight="false" outlineLevel="0" collapsed="false">
      <c r="N583" s="142"/>
      <c r="W583" s="142"/>
      <c r="X583" s="142"/>
      <c r="Y583" s="142"/>
      <c r="Z583" s="142"/>
      <c r="AA583" s="142"/>
      <c r="AB583" s="544"/>
      <c r="AD583" s="543"/>
      <c r="AO583" s="142"/>
    </row>
    <row r="584" customFormat="false" ht="15.75" hidden="false" customHeight="false" outlineLevel="0" collapsed="false">
      <c r="N584" s="142"/>
      <c r="W584" s="142"/>
      <c r="X584" s="142"/>
      <c r="Y584" s="142"/>
      <c r="Z584" s="142"/>
      <c r="AA584" s="142"/>
      <c r="AB584" s="544"/>
      <c r="AD584" s="543"/>
      <c r="AO584" s="142"/>
    </row>
    <row r="585" customFormat="false" ht="15.75" hidden="false" customHeight="false" outlineLevel="0" collapsed="false">
      <c r="N585" s="142"/>
      <c r="W585" s="142"/>
      <c r="X585" s="142"/>
      <c r="Y585" s="142"/>
      <c r="Z585" s="142"/>
      <c r="AA585" s="142"/>
      <c r="AB585" s="544"/>
      <c r="AD585" s="543"/>
      <c r="AO585" s="142"/>
    </row>
    <row r="586" customFormat="false" ht="15.75" hidden="false" customHeight="false" outlineLevel="0" collapsed="false">
      <c r="N586" s="142"/>
      <c r="W586" s="142"/>
      <c r="X586" s="142"/>
      <c r="Y586" s="142"/>
      <c r="Z586" s="142"/>
      <c r="AA586" s="142"/>
      <c r="AB586" s="544"/>
      <c r="AD586" s="543"/>
      <c r="AO586" s="142"/>
    </row>
    <row r="587" customFormat="false" ht="15.75" hidden="false" customHeight="false" outlineLevel="0" collapsed="false">
      <c r="N587" s="142"/>
      <c r="W587" s="142"/>
      <c r="X587" s="142"/>
      <c r="Y587" s="142"/>
      <c r="Z587" s="142"/>
      <c r="AA587" s="142"/>
      <c r="AB587" s="544"/>
      <c r="AD587" s="543"/>
      <c r="AO587" s="142"/>
    </row>
    <row r="588" customFormat="false" ht="15.75" hidden="false" customHeight="false" outlineLevel="0" collapsed="false">
      <c r="N588" s="142"/>
      <c r="W588" s="142"/>
      <c r="X588" s="142"/>
      <c r="Y588" s="142"/>
      <c r="Z588" s="142"/>
      <c r="AA588" s="142"/>
      <c r="AB588" s="544"/>
      <c r="AD588" s="543"/>
      <c r="AO588" s="142"/>
    </row>
    <row r="589" customFormat="false" ht="15.75" hidden="false" customHeight="false" outlineLevel="0" collapsed="false">
      <c r="N589" s="142"/>
      <c r="W589" s="142"/>
      <c r="X589" s="142"/>
      <c r="Y589" s="142"/>
      <c r="Z589" s="142"/>
      <c r="AA589" s="142"/>
      <c r="AB589" s="544"/>
      <c r="AD589" s="543"/>
      <c r="AO589" s="142"/>
    </row>
    <row r="590" customFormat="false" ht="15.75" hidden="false" customHeight="false" outlineLevel="0" collapsed="false">
      <c r="N590" s="142"/>
      <c r="W590" s="142"/>
      <c r="X590" s="142"/>
      <c r="Y590" s="142"/>
      <c r="Z590" s="142"/>
      <c r="AA590" s="142"/>
      <c r="AB590" s="544"/>
      <c r="AD590" s="543"/>
      <c r="AO590" s="142"/>
    </row>
    <row r="591" customFormat="false" ht="15.75" hidden="false" customHeight="false" outlineLevel="0" collapsed="false">
      <c r="N591" s="142"/>
      <c r="W591" s="142"/>
      <c r="X591" s="142"/>
      <c r="Y591" s="142"/>
      <c r="Z591" s="142"/>
      <c r="AA591" s="142"/>
      <c r="AB591" s="544"/>
      <c r="AD591" s="543"/>
      <c r="AO591" s="142"/>
    </row>
    <row r="592" customFormat="false" ht="15.75" hidden="false" customHeight="false" outlineLevel="0" collapsed="false">
      <c r="N592" s="142"/>
      <c r="W592" s="142"/>
      <c r="X592" s="142"/>
      <c r="Y592" s="142"/>
      <c r="Z592" s="142"/>
      <c r="AA592" s="142"/>
      <c r="AB592" s="544"/>
      <c r="AD592" s="543"/>
      <c r="AO592" s="142"/>
    </row>
    <row r="593" customFormat="false" ht="15.75" hidden="false" customHeight="false" outlineLevel="0" collapsed="false">
      <c r="N593" s="142"/>
      <c r="W593" s="142"/>
      <c r="X593" s="142"/>
      <c r="Y593" s="142"/>
      <c r="Z593" s="142"/>
      <c r="AA593" s="142"/>
      <c r="AB593" s="544"/>
      <c r="AD593" s="543"/>
      <c r="AO593" s="142"/>
    </row>
    <row r="594" customFormat="false" ht="15.75" hidden="false" customHeight="false" outlineLevel="0" collapsed="false">
      <c r="N594" s="142"/>
      <c r="W594" s="142"/>
      <c r="X594" s="142"/>
      <c r="Y594" s="142"/>
      <c r="Z594" s="142"/>
      <c r="AA594" s="142"/>
      <c r="AB594" s="544"/>
      <c r="AD594" s="543"/>
      <c r="AO594" s="142"/>
    </row>
    <row r="595" customFormat="false" ht="15.75" hidden="false" customHeight="false" outlineLevel="0" collapsed="false">
      <c r="N595" s="142"/>
      <c r="W595" s="142"/>
      <c r="X595" s="142"/>
      <c r="Y595" s="142"/>
      <c r="Z595" s="142"/>
      <c r="AA595" s="142"/>
      <c r="AB595" s="544"/>
      <c r="AD595" s="543"/>
      <c r="AO595" s="142"/>
    </row>
    <row r="596" customFormat="false" ht="15.75" hidden="false" customHeight="false" outlineLevel="0" collapsed="false">
      <c r="N596" s="142"/>
      <c r="W596" s="142"/>
      <c r="X596" s="142"/>
      <c r="Y596" s="142"/>
      <c r="Z596" s="142"/>
      <c r="AA596" s="142"/>
      <c r="AB596" s="544"/>
      <c r="AD596" s="543"/>
      <c r="AO596" s="142"/>
    </row>
    <row r="597" customFormat="false" ht="15.75" hidden="false" customHeight="false" outlineLevel="0" collapsed="false">
      <c r="N597" s="142"/>
      <c r="W597" s="142"/>
      <c r="X597" s="142"/>
      <c r="Y597" s="142"/>
      <c r="Z597" s="142"/>
      <c r="AA597" s="142"/>
      <c r="AB597" s="544"/>
      <c r="AD597" s="543"/>
      <c r="AO597" s="142"/>
    </row>
    <row r="598" customFormat="false" ht="15.75" hidden="false" customHeight="false" outlineLevel="0" collapsed="false">
      <c r="N598" s="142"/>
      <c r="W598" s="142"/>
      <c r="X598" s="142"/>
      <c r="Y598" s="142"/>
      <c r="Z598" s="142"/>
      <c r="AA598" s="142"/>
      <c r="AB598" s="544"/>
      <c r="AD598" s="543"/>
      <c r="AO598" s="142"/>
    </row>
    <row r="599" customFormat="false" ht="15.75" hidden="false" customHeight="false" outlineLevel="0" collapsed="false">
      <c r="N599" s="142"/>
      <c r="W599" s="142"/>
      <c r="X599" s="142"/>
      <c r="Y599" s="142"/>
      <c r="Z599" s="142"/>
      <c r="AA599" s="142"/>
      <c r="AB599" s="544"/>
      <c r="AD599" s="543"/>
      <c r="AO599" s="142"/>
    </row>
    <row r="600" customFormat="false" ht="15.75" hidden="false" customHeight="false" outlineLevel="0" collapsed="false">
      <c r="N600" s="142"/>
      <c r="W600" s="142"/>
      <c r="X600" s="142"/>
      <c r="Y600" s="142"/>
      <c r="Z600" s="142"/>
      <c r="AA600" s="142"/>
      <c r="AB600" s="544"/>
      <c r="AD600" s="543"/>
      <c r="AO600" s="142"/>
    </row>
    <row r="601" customFormat="false" ht="15.75" hidden="false" customHeight="false" outlineLevel="0" collapsed="false">
      <c r="N601" s="142"/>
      <c r="W601" s="142"/>
      <c r="X601" s="142"/>
      <c r="Y601" s="142"/>
      <c r="Z601" s="142"/>
      <c r="AA601" s="142"/>
      <c r="AB601" s="544"/>
      <c r="AD601" s="543"/>
      <c r="AO601" s="142"/>
    </row>
    <row r="602" customFormat="false" ht="15.75" hidden="false" customHeight="false" outlineLevel="0" collapsed="false">
      <c r="N602" s="142"/>
      <c r="W602" s="142"/>
      <c r="X602" s="142"/>
      <c r="Y602" s="142"/>
      <c r="Z602" s="142"/>
      <c r="AA602" s="142"/>
      <c r="AB602" s="544"/>
      <c r="AD602" s="543"/>
      <c r="AO602" s="142"/>
    </row>
    <row r="603" customFormat="false" ht="15.75" hidden="false" customHeight="false" outlineLevel="0" collapsed="false">
      <c r="N603" s="142"/>
      <c r="W603" s="142"/>
      <c r="X603" s="142"/>
      <c r="Y603" s="142"/>
      <c r="Z603" s="142"/>
      <c r="AA603" s="142"/>
      <c r="AB603" s="544"/>
      <c r="AD603" s="543"/>
      <c r="AO603" s="142"/>
    </row>
    <row r="604" customFormat="false" ht="15.75" hidden="false" customHeight="false" outlineLevel="0" collapsed="false">
      <c r="N604" s="142"/>
      <c r="W604" s="142"/>
      <c r="X604" s="142"/>
      <c r="Y604" s="142"/>
      <c r="Z604" s="142"/>
      <c r="AA604" s="142"/>
      <c r="AB604" s="544"/>
      <c r="AD604" s="543"/>
      <c r="AO604" s="142"/>
    </row>
    <row r="605" customFormat="false" ht="15.75" hidden="false" customHeight="false" outlineLevel="0" collapsed="false">
      <c r="N605" s="142"/>
      <c r="W605" s="142"/>
      <c r="X605" s="142"/>
      <c r="Y605" s="142"/>
      <c r="Z605" s="142"/>
      <c r="AA605" s="142"/>
      <c r="AB605" s="544"/>
      <c r="AD605" s="543"/>
      <c r="AO605" s="142"/>
    </row>
    <row r="606" customFormat="false" ht="15.75" hidden="false" customHeight="false" outlineLevel="0" collapsed="false">
      <c r="N606" s="142"/>
      <c r="W606" s="142"/>
      <c r="X606" s="142"/>
      <c r="Y606" s="142"/>
      <c r="Z606" s="142"/>
      <c r="AA606" s="142"/>
      <c r="AB606" s="544"/>
      <c r="AD606" s="543"/>
      <c r="AO606" s="142"/>
    </row>
    <row r="607" customFormat="false" ht="15.75" hidden="false" customHeight="false" outlineLevel="0" collapsed="false">
      <c r="N607" s="142"/>
      <c r="W607" s="142"/>
      <c r="X607" s="142"/>
      <c r="Y607" s="142"/>
      <c r="Z607" s="142"/>
      <c r="AA607" s="142"/>
      <c r="AB607" s="544"/>
      <c r="AD607" s="543"/>
      <c r="AO607" s="142"/>
    </row>
    <row r="608" customFormat="false" ht="15.75" hidden="false" customHeight="false" outlineLevel="0" collapsed="false">
      <c r="N608" s="142"/>
      <c r="W608" s="142"/>
      <c r="X608" s="142"/>
      <c r="Y608" s="142"/>
      <c r="Z608" s="142"/>
      <c r="AA608" s="142"/>
      <c r="AB608" s="544"/>
      <c r="AD608" s="543"/>
      <c r="AO608" s="142"/>
    </row>
    <row r="609" customFormat="false" ht="15.75" hidden="false" customHeight="false" outlineLevel="0" collapsed="false">
      <c r="N609" s="142"/>
      <c r="W609" s="142"/>
      <c r="X609" s="142"/>
      <c r="Y609" s="142"/>
      <c r="Z609" s="142"/>
      <c r="AA609" s="142"/>
      <c r="AB609" s="544"/>
      <c r="AD609" s="543"/>
      <c r="AO609" s="142"/>
    </row>
    <row r="610" customFormat="false" ht="15.75" hidden="false" customHeight="false" outlineLevel="0" collapsed="false">
      <c r="N610" s="142"/>
      <c r="W610" s="142"/>
      <c r="X610" s="142"/>
      <c r="Y610" s="142"/>
      <c r="Z610" s="142"/>
      <c r="AA610" s="142"/>
      <c r="AB610" s="544"/>
      <c r="AD610" s="543"/>
      <c r="AO610" s="142"/>
    </row>
    <row r="611" customFormat="false" ht="15.75" hidden="false" customHeight="false" outlineLevel="0" collapsed="false">
      <c r="N611" s="142"/>
      <c r="W611" s="142"/>
      <c r="X611" s="142"/>
      <c r="Y611" s="142"/>
      <c r="Z611" s="142"/>
      <c r="AA611" s="142"/>
      <c r="AB611" s="544"/>
      <c r="AD611" s="543"/>
      <c r="AO611" s="142"/>
    </row>
    <row r="612" customFormat="false" ht="15.75" hidden="false" customHeight="false" outlineLevel="0" collapsed="false">
      <c r="N612" s="142"/>
      <c r="W612" s="142"/>
      <c r="X612" s="142"/>
      <c r="Y612" s="142"/>
      <c r="Z612" s="142"/>
      <c r="AA612" s="142"/>
      <c r="AB612" s="544"/>
      <c r="AD612" s="543"/>
      <c r="AO612" s="142"/>
    </row>
    <row r="613" customFormat="false" ht="15.75" hidden="false" customHeight="false" outlineLevel="0" collapsed="false">
      <c r="N613" s="142"/>
      <c r="W613" s="142"/>
      <c r="X613" s="142"/>
      <c r="Y613" s="142"/>
      <c r="Z613" s="142"/>
      <c r="AA613" s="142"/>
      <c r="AB613" s="544"/>
      <c r="AD613" s="543"/>
      <c r="AO613" s="142"/>
    </row>
    <row r="614" customFormat="false" ht="15.75" hidden="false" customHeight="false" outlineLevel="0" collapsed="false">
      <c r="N614" s="142"/>
      <c r="W614" s="142"/>
      <c r="X614" s="142"/>
      <c r="Y614" s="142"/>
      <c r="Z614" s="142"/>
      <c r="AA614" s="142"/>
      <c r="AB614" s="544"/>
      <c r="AD614" s="543"/>
      <c r="AO614" s="142"/>
    </row>
    <row r="615" customFormat="false" ht="15.75" hidden="false" customHeight="false" outlineLevel="0" collapsed="false">
      <c r="N615" s="142"/>
      <c r="W615" s="142"/>
      <c r="X615" s="142"/>
      <c r="Y615" s="142"/>
      <c r="Z615" s="142"/>
      <c r="AA615" s="142"/>
      <c r="AB615" s="544"/>
      <c r="AD615" s="543"/>
      <c r="AO615" s="142"/>
    </row>
    <row r="616" customFormat="false" ht="15.75" hidden="false" customHeight="false" outlineLevel="0" collapsed="false">
      <c r="N616" s="142"/>
      <c r="W616" s="142"/>
      <c r="X616" s="142"/>
      <c r="Y616" s="142"/>
      <c r="Z616" s="142"/>
      <c r="AA616" s="142"/>
      <c r="AB616" s="544"/>
      <c r="AD616" s="543"/>
      <c r="AO616" s="142"/>
    </row>
    <row r="617" customFormat="false" ht="15.75" hidden="false" customHeight="false" outlineLevel="0" collapsed="false">
      <c r="N617" s="142"/>
      <c r="W617" s="142"/>
      <c r="X617" s="142"/>
      <c r="Y617" s="142"/>
      <c r="Z617" s="142"/>
      <c r="AA617" s="142"/>
      <c r="AB617" s="544"/>
      <c r="AD617" s="543"/>
      <c r="AO617" s="142"/>
    </row>
    <row r="618" customFormat="false" ht="15.75" hidden="false" customHeight="false" outlineLevel="0" collapsed="false">
      <c r="N618" s="142"/>
      <c r="W618" s="142"/>
      <c r="X618" s="142"/>
      <c r="Y618" s="142"/>
      <c r="Z618" s="142"/>
      <c r="AA618" s="142"/>
      <c r="AB618" s="544"/>
      <c r="AD618" s="543"/>
      <c r="AO618" s="142"/>
    </row>
    <row r="619" customFormat="false" ht="15.75" hidden="false" customHeight="false" outlineLevel="0" collapsed="false">
      <c r="N619" s="142"/>
      <c r="W619" s="142"/>
      <c r="X619" s="142"/>
      <c r="Y619" s="142"/>
      <c r="Z619" s="142"/>
      <c r="AA619" s="142"/>
      <c r="AB619" s="544"/>
      <c r="AD619" s="543"/>
      <c r="AO619" s="142"/>
    </row>
    <row r="620" customFormat="false" ht="15.75" hidden="false" customHeight="false" outlineLevel="0" collapsed="false">
      <c r="N620" s="142"/>
      <c r="W620" s="142"/>
      <c r="X620" s="142"/>
      <c r="Y620" s="142"/>
      <c r="Z620" s="142"/>
      <c r="AA620" s="142"/>
      <c r="AB620" s="544"/>
      <c r="AD620" s="543"/>
      <c r="AO620" s="142"/>
    </row>
    <row r="621" customFormat="false" ht="15.75" hidden="false" customHeight="false" outlineLevel="0" collapsed="false">
      <c r="N621" s="142"/>
      <c r="W621" s="142"/>
      <c r="X621" s="142"/>
      <c r="Y621" s="142"/>
      <c r="Z621" s="142"/>
      <c r="AA621" s="142"/>
      <c r="AB621" s="544"/>
      <c r="AD621" s="543"/>
      <c r="AO621" s="142"/>
    </row>
    <row r="622" customFormat="false" ht="15.75" hidden="false" customHeight="false" outlineLevel="0" collapsed="false">
      <c r="N622" s="142"/>
      <c r="W622" s="142"/>
      <c r="X622" s="142"/>
      <c r="Y622" s="142"/>
      <c r="Z622" s="142"/>
      <c r="AA622" s="142"/>
      <c r="AB622" s="544"/>
      <c r="AD622" s="543"/>
      <c r="AO622" s="142"/>
    </row>
    <row r="623" customFormat="false" ht="15.75" hidden="false" customHeight="false" outlineLevel="0" collapsed="false">
      <c r="N623" s="142"/>
      <c r="W623" s="142"/>
      <c r="X623" s="142"/>
      <c r="Y623" s="142"/>
      <c r="Z623" s="142"/>
      <c r="AA623" s="142"/>
      <c r="AB623" s="544"/>
      <c r="AD623" s="543"/>
      <c r="AO623" s="142"/>
    </row>
    <row r="624" customFormat="false" ht="15.75" hidden="false" customHeight="false" outlineLevel="0" collapsed="false">
      <c r="N624" s="142"/>
      <c r="O624" s="142"/>
      <c r="P624" s="142"/>
      <c r="Q624" s="142"/>
      <c r="R624" s="142"/>
      <c r="S624" s="142"/>
      <c r="T624" s="142"/>
      <c r="U624" s="142"/>
      <c r="V624" s="142"/>
      <c r="W624" s="142"/>
      <c r="X624" s="142"/>
      <c r="Y624" s="142"/>
      <c r="Z624" s="142"/>
      <c r="AA624" s="142"/>
      <c r="AB624" s="544"/>
      <c r="AD624" s="543"/>
      <c r="AE624" s="541"/>
      <c r="AF624" s="541"/>
    </row>
    <row r="625" customFormat="false" ht="15.75" hidden="false" customHeight="false" outlineLevel="0" collapsed="false">
      <c r="AB625" s="530"/>
      <c r="AE625" s="541"/>
      <c r="AF625" s="541"/>
    </row>
    <row r="626" customFormat="false" ht="15.75" hidden="false" customHeight="false" outlineLevel="0" collapsed="false">
      <c r="AB626" s="530"/>
      <c r="AE626" s="541"/>
      <c r="AF626" s="541"/>
    </row>
    <row r="627" customFormat="false" ht="15.75" hidden="false" customHeight="false" outlineLevel="0" collapsed="false">
      <c r="AB627" s="530"/>
      <c r="AE627" s="541"/>
      <c r="AF627" s="541"/>
    </row>
    <row r="628" customFormat="false" ht="15.75" hidden="false" customHeight="false" outlineLevel="0" collapsed="false">
      <c r="AB628" s="530"/>
      <c r="AE628" s="541"/>
      <c r="AF628" s="541"/>
    </row>
    <row r="629" customFormat="false" ht="15.75" hidden="false" customHeight="false" outlineLevel="0" collapsed="false">
      <c r="AB629" s="530"/>
      <c r="AE629" s="541"/>
      <c r="AF629" s="541"/>
    </row>
    <row r="630" customFormat="false" ht="15.75" hidden="false" customHeight="false" outlineLevel="0" collapsed="false">
      <c r="AB630" s="530"/>
      <c r="AE630" s="541"/>
      <c r="AF630" s="541"/>
    </row>
    <row r="631" customFormat="false" ht="15.75" hidden="false" customHeight="false" outlineLevel="0" collapsed="false">
      <c r="AB631" s="530"/>
      <c r="AE631" s="541"/>
      <c r="AF631" s="541"/>
    </row>
    <row r="632" customFormat="false" ht="15.75" hidden="false" customHeight="false" outlineLevel="0" collapsed="false">
      <c r="AB632" s="530"/>
      <c r="AE632" s="541"/>
      <c r="AF632" s="541"/>
    </row>
    <row r="633" customFormat="false" ht="15.75" hidden="false" customHeight="false" outlineLevel="0" collapsed="false">
      <c r="AB633" s="530"/>
      <c r="AE633" s="541"/>
      <c r="AF633" s="541"/>
    </row>
    <row r="634" customFormat="false" ht="15.75" hidden="false" customHeight="false" outlineLevel="0" collapsed="false">
      <c r="AB634" s="530"/>
      <c r="AE634" s="541"/>
      <c r="AF634" s="541"/>
    </row>
    <row r="635" customFormat="false" ht="15.75" hidden="false" customHeight="false" outlineLevel="0" collapsed="false">
      <c r="AB635" s="530"/>
      <c r="AE635" s="541"/>
      <c r="AF635" s="541"/>
    </row>
    <row r="636" customFormat="false" ht="15.75" hidden="false" customHeight="false" outlineLevel="0" collapsed="false">
      <c r="AB636" s="530"/>
      <c r="AE636" s="541"/>
      <c r="AF636" s="541"/>
    </row>
    <row r="637" customFormat="false" ht="15.75" hidden="false" customHeight="false" outlineLevel="0" collapsed="false">
      <c r="AB637" s="530"/>
      <c r="AE637" s="541"/>
      <c r="AF637" s="541"/>
    </row>
    <row r="638" customFormat="false" ht="15.75" hidden="false" customHeight="false" outlineLevel="0" collapsed="false">
      <c r="AB638" s="530"/>
      <c r="AE638" s="541"/>
      <c r="AF638" s="541"/>
    </row>
    <row r="639" customFormat="false" ht="15.75" hidden="false" customHeight="false" outlineLevel="0" collapsed="false">
      <c r="AB639" s="530"/>
      <c r="AE639" s="541"/>
      <c r="AF639" s="541"/>
    </row>
    <row r="640" customFormat="false" ht="15.75" hidden="false" customHeight="false" outlineLevel="0" collapsed="false">
      <c r="AB640" s="530"/>
      <c r="AE640" s="541"/>
      <c r="AF640" s="541"/>
    </row>
    <row r="641" customFormat="false" ht="15.75" hidden="false" customHeight="false" outlineLevel="0" collapsed="false">
      <c r="AB641" s="530"/>
      <c r="AE641" s="541"/>
      <c r="AF641" s="541"/>
    </row>
    <row r="642" customFormat="false" ht="15.75" hidden="false" customHeight="false" outlineLevel="0" collapsed="false">
      <c r="AB642" s="530"/>
      <c r="AE642" s="541"/>
      <c r="AF642" s="541"/>
    </row>
    <row r="643" customFormat="false" ht="15.75" hidden="false" customHeight="false" outlineLevel="0" collapsed="false">
      <c r="AB643" s="530"/>
      <c r="AE643" s="541"/>
      <c r="AF643" s="541"/>
    </row>
    <row r="644" customFormat="false" ht="15.75" hidden="false" customHeight="false" outlineLevel="0" collapsed="false">
      <c r="AB644" s="530"/>
      <c r="AE644" s="541"/>
      <c r="AF644" s="541"/>
    </row>
    <row r="645" customFormat="false" ht="15.75" hidden="false" customHeight="false" outlineLevel="0" collapsed="false">
      <c r="AB645" s="530"/>
      <c r="AE645" s="541"/>
      <c r="AF645" s="541"/>
    </row>
    <row r="646" customFormat="false" ht="15.75" hidden="false" customHeight="false" outlineLevel="0" collapsed="false">
      <c r="AB646" s="530"/>
      <c r="AE646" s="541"/>
      <c r="AF646" s="541"/>
    </row>
    <row r="647" customFormat="false" ht="15.75" hidden="false" customHeight="false" outlineLevel="0" collapsed="false">
      <c r="AB647" s="530"/>
      <c r="AE647" s="541"/>
      <c r="AF647" s="541"/>
    </row>
    <row r="648" customFormat="false" ht="15.75" hidden="false" customHeight="false" outlineLevel="0" collapsed="false">
      <c r="AB648" s="530"/>
      <c r="AE648" s="541"/>
      <c r="AF648" s="541"/>
    </row>
    <row r="649" customFormat="false" ht="15.75" hidden="false" customHeight="false" outlineLevel="0" collapsed="false">
      <c r="AB649" s="530"/>
      <c r="AE649" s="541"/>
      <c r="AF649" s="541"/>
    </row>
    <row r="650" customFormat="false" ht="15.75" hidden="false" customHeight="false" outlineLevel="0" collapsed="false">
      <c r="AB650" s="530"/>
      <c r="AE650" s="541"/>
      <c r="AF650" s="541"/>
    </row>
    <row r="651" customFormat="false" ht="15.75" hidden="false" customHeight="false" outlineLevel="0" collapsed="false">
      <c r="AB651" s="530"/>
      <c r="AE651" s="541"/>
      <c r="AF651" s="541"/>
    </row>
    <row r="652" customFormat="false" ht="15.75" hidden="false" customHeight="false" outlineLevel="0" collapsed="false">
      <c r="AB652" s="530"/>
      <c r="AE652" s="541"/>
      <c r="AF652" s="541"/>
    </row>
    <row r="653" customFormat="false" ht="15.75" hidden="false" customHeight="false" outlineLevel="0" collapsed="false">
      <c r="AB653" s="530"/>
      <c r="AE653" s="541"/>
      <c r="AF653" s="541"/>
    </row>
    <row r="654" customFormat="false" ht="15.75" hidden="false" customHeight="false" outlineLevel="0" collapsed="false">
      <c r="AB654" s="530"/>
      <c r="AE654" s="541"/>
      <c r="AF654" s="541"/>
    </row>
    <row r="655" customFormat="false" ht="15.75" hidden="false" customHeight="false" outlineLevel="0" collapsed="false">
      <c r="AB655" s="530"/>
      <c r="AE655" s="541"/>
      <c r="AF655" s="541"/>
    </row>
    <row r="656" customFormat="false" ht="15.75" hidden="false" customHeight="false" outlineLevel="0" collapsed="false">
      <c r="AB656" s="530"/>
      <c r="AE656" s="541"/>
      <c r="AF656" s="541"/>
    </row>
    <row r="657" customFormat="false" ht="15.75" hidden="false" customHeight="false" outlineLevel="0" collapsed="false">
      <c r="AB657" s="530"/>
      <c r="AE657" s="541"/>
      <c r="AF657" s="541"/>
    </row>
    <row r="658" customFormat="false" ht="15.75" hidden="false" customHeight="false" outlineLevel="0" collapsed="false">
      <c r="AB658" s="530"/>
      <c r="AE658" s="541"/>
      <c r="AF658" s="541"/>
    </row>
    <row r="659" customFormat="false" ht="15.75" hidden="false" customHeight="false" outlineLevel="0" collapsed="false">
      <c r="AB659" s="530"/>
      <c r="AE659" s="541"/>
      <c r="AF659" s="541"/>
    </row>
    <row r="660" customFormat="false" ht="15.75" hidden="false" customHeight="false" outlineLevel="0" collapsed="false">
      <c r="AB660" s="530"/>
      <c r="AE660" s="541"/>
      <c r="AF660" s="541"/>
    </row>
    <row r="661" customFormat="false" ht="15.75" hidden="false" customHeight="false" outlineLevel="0" collapsed="false">
      <c r="AB661" s="530"/>
      <c r="AE661" s="541"/>
      <c r="AF661" s="541"/>
    </row>
    <row r="662" customFormat="false" ht="15.75" hidden="false" customHeight="false" outlineLevel="0" collapsed="false">
      <c r="AB662" s="530"/>
      <c r="AE662" s="541"/>
      <c r="AF662" s="541"/>
    </row>
    <row r="663" customFormat="false" ht="15.75" hidden="false" customHeight="false" outlineLevel="0" collapsed="false">
      <c r="AB663" s="530"/>
      <c r="AE663" s="541"/>
      <c r="AF663" s="541"/>
    </row>
    <row r="664" customFormat="false" ht="15.75" hidden="false" customHeight="false" outlineLevel="0" collapsed="false">
      <c r="AB664" s="530"/>
      <c r="AE664" s="541"/>
      <c r="AF664" s="541"/>
    </row>
    <row r="665" customFormat="false" ht="15.75" hidden="false" customHeight="false" outlineLevel="0" collapsed="false">
      <c r="AB665" s="530"/>
      <c r="AE665" s="541"/>
      <c r="AF665" s="541"/>
    </row>
    <row r="666" customFormat="false" ht="15.75" hidden="false" customHeight="false" outlineLevel="0" collapsed="false">
      <c r="AB666" s="530"/>
      <c r="AE666" s="541"/>
      <c r="AF666" s="541"/>
    </row>
    <row r="667" customFormat="false" ht="15.75" hidden="false" customHeight="false" outlineLevel="0" collapsed="false">
      <c r="AB667" s="530"/>
      <c r="AE667" s="541"/>
      <c r="AF667" s="541"/>
    </row>
    <row r="668" customFormat="false" ht="15.75" hidden="false" customHeight="false" outlineLevel="0" collapsed="false">
      <c r="AB668" s="530"/>
      <c r="AE668" s="541"/>
      <c r="AF668" s="541"/>
    </row>
    <row r="669" customFormat="false" ht="15.75" hidden="false" customHeight="false" outlineLevel="0" collapsed="false">
      <c r="AB669" s="530"/>
      <c r="AE669" s="541"/>
      <c r="AF669" s="541"/>
    </row>
    <row r="670" customFormat="false" ht="15.75" hidden="false" customHeight="false" outlineLevel="0" collapsed="false">
      <c r="AB670" s="530"/>
      <c r="AE670" s="541"/>
      <c r="AF670" s="541"/>
    </row>
    <row r="671" customFormat="false" ht="15.75" hidden="false" customHeight="false" outlineLevel="0" collapsed="false">
      <c r="AB671" s="530"/>
      <c r="AE671" s="541"/>
      <c r="AF671" s="541"/>
    </row>
    <row r="672" customFormat="false" ht="15.75" hidden="false" customHeight="false" outlineLevel="0" collapsed="false">
      <c r="AB672" s="530"/>
      <c r="AE672" s="541"/>
      <c r="AF672" s="541"/>
    </row>
    <row r="673" customFormat="false" ht="15.75" hidden="false" customHeight="false" outlineLevel="0" collapsed="false">
      <c r="AB673" s="530"/>
      <c r="AE673" s="541"/>
      <c r="AF673" s="541"/>
    </row>
    <row r="674" customFormat="false" ht="15.75" hidden="false" customHeight="false" outlineLevel="0" collapsed="false">
      <c r="AB674" s="530"/>
      <c r="AE674" s="541"/>
      <c r="AF674" s="541"/>
    </row>
    <row r="675" customFormat="false" ht="15.75" hidden="false" customHeight="false" outlineLevel="0" collapsed="false">
      <c r="AB675" s="530"/>
      <c r="AE675" s="541"/>
      <c r="AF675" s="541"/>
    </row>
    <row r="676" customFormat="false" ht="15.75" hidden="false" customHeight="false" outlineLevel="0" collapsed="false">
      <c r="AB676" s="530"/>
      <c r="AE676" s="541"/>
      <c r="AF676" s="541"/>
    </row>
    <row r="677" customFormat="false" ht="15.75" hidden="false" customHeight="false" outlineLevel="0" collapsed="false">
      <c r="AB677" s="530"/>
      <c r="AE677" s="541"/>
      <c r="AF677" s="541"/>
    </row>
    <row r="678" customFormat="false" ht="15.75" hidden="false" customHeight="false" outlineLevel="0" collapsed="false">
      <c r="AB678" s="530"/>
      <c r="AE678" s="541"/>
      <c r="AF678" s="541"/>
    </row>
    <row r="679" customFormat="false" ht="15.75" hidden="false" customHeight="false" outlineLevel="0" collapsed="false">
      <c r="AB679" s="530"/>
      <c r="AE679" s="541"/>
      <c r="AF679" s="541"/>
    </row>
    <row r="680" customFormat="false" ht="15.75" hidden="false" customHeight="false" outlineLevel="0" collapsed="false">
      <c r="AB680" s="530"/>
      <c r="AE680" s="541"/>
      <c r="AF680" s="541"/>
    </row>
    <row r="681" customFormat="false" ht="15.75" hidden="false" customHeight="false" outlineLevel="0" collapsed="false">
      <c r="AB681" s="530"/>
      <c r="AE681" s="541"/>
      <c r="AF681" s="541"/>
    </row>
    <row r="682" customFormat="false" ht="15.75" hidden="false" customHeight="false" outlineLevel="0" collapsed="false">
      <c r="AB682" s="530"/>
      <c r="AE682" s="541"/>
      <c r="AF682" s="541"/>
    </row>
    <row r="683" customFormat="false" ht="15.75" hidden="false" customHeight="false" outlineLevel="0" collapsed="false">
      <c r="AB683" s="530"/>
      <c r="AE683" s="541"/>
      <c r="AF683" s="541"/>
    </row>
    <row r="684" customFormat="false" ht="15.75" hidden="false" customHeight="false" outlineLevel="0" collapsed="false">
      <c r="AB684" s="530"/>
      <c r="AE684" s="541"/>
      <c r="AF684" s="541"/>
    </row>
    <row r="685" customFormat="false" ht="15.75" hidden="false" customHeight="false" outlineLevel="0" collapsed="false">
      <c r="AB685" s="530"/>
      <c r="AE685" s="541"/>
      <c r="AF685" s="541"/>
    </row>
    <row r="686" customFormat="false" ht="15.75" hidden="false" customHeight="false" outlineLevel="0" collapsed="false">
      <c r="AB686" s="530"/>
      <c r="AE686" s="541"/>
      <c r="AF686" s="541"/>
    </row>
    <row r="687" customFormat="false" ht="15.75" hidden="false" customHeight="false" outlineLevel="0" collapsed="false">
      <c r="AB687" s="530"/>
      <c r="AE687" s="541"/>
      <c r="AF687" s="541"/>
    </row>
    <row r="688" customFormat="false" ht="15.75" hidden="false" customHeight="false" outlineLevel="0" collapsed="false">
      <c r="AB688" s="530"/>
      <c r="AE688" s="541"/>
      <c r="AF688" s="541"/>
    </row>
    <row r="689" customFormat="false" ht="15.75" hidden="false" customHeight="false" outlineLevel="0" collapsed="false">
      <c r="AB689" s="530"/>
      <c r="AE689" s="541"/>
      <c r="AF689" s="541"/>
    </row>
    <row r="690" customFormat="false" ht="15.75" hidden="false" customHeight="false" outlineLevel="0" collapsed="false">
      <c r="AB690" s="530"/>
      <c r="AE690" s="541"/>
      <c r="AF690" s="541"/>
    </row>
    <row r="691" customFormat="false" ht="15.75" hidden="false" customHeight="false" outlineLevel="0" collapsed="false">
      <c r="AB691" s="530"/>
      <c r="AE691" s="541"/>
      <c r="AF691" s="541"/>
    </row>
    <row r="692" customFormat="false" ht="15.75" hidden="false" customHeight="false" outlineLevel="0" collapsed="false">
      <c r="AB692" s="530"/>
      <c r="AE692" s="541"/>
      <c r="AF692" s="541"/>
    </row>
    <row r="693" customFormat="false" ht="15.75" hidden="false" customHeight="false" outlineLevel="0" collapsed="false">
      <c r="AB693" s="530"/>
      <c r="AE693" s="541"/>
      <c r="AF693" s="541"/>
    </row>
    <row r="694" customFormat="false" ht="15.75" hidden="false" customHeight="false" outlineLevel="0" collapsed="false">
      <c r="AB694" s="530"/>
      <c r="AE694" s="541"/>
      <c r="AF694" s="541"/>
    </row>
    <row r="695" customFormat="false" ht="15.75" hidden="false" customHeight="false" outlineLevel="0" collapsed="false">
      <c r="AB695" s="530"/>
      <c r="AE695" s="541"/>
      <c r="AF695" s="541"/>
    </row>
    <row r="696" customFormat="false" ht="15.75" hidden="false" customHeight="false" outlineLevel="0" collapsed="false">
      <c r="AB696" s="530"/>
      <c r="AE696" s="541"/>
      <c r="AF696" s="541"/>
    </row>
    <row r="697" customFormat="false" ht="15.75" hidden="false" customHeight="false" outlineLevel="0" collapsed="false">
      <c r="AB697" s="530"/>
      <c r="AE697" s="541"/>
      <c r="AF697" s="541"/>
    </row>
    <row r="698" customFormat="false" ht="15.75" hidden="false" customHeight="false" outlineLevel="0" collapsed="false">
      <c r="AB698" s="530"/>
      <c r="AE698" s="541"/>
      <c r="AF698" s="541"/>
    </row>
    <row r="699" customFormat="false" ht="15.75" hidden="false" customHeight="false" outlineLevel="0" collapsed="false">
      <c r="AB699" s="530"/>
      <c r="AE699" s="541"/>
      <c r="AF699" s="541"/>
    </row>
    <row r="700" customFormat="false" ht="15.75" hidden="false" customHeight="false" outlineLevel="0" collapsed="false">
      <c r="AB700" s="530"/>
      <c r="AE700" s="541"/>
      <c r="AF700" s="541"/>
    </row>
    <row r="701" customFormat="false" ht="15.75" hidden="false" customHeight="false" outlineLevel="0" collapsed="false">
      <c r="AB701" s="530"/>
      <c r="AE701" s="541"/>
      <c r="AF701" s="541"/>
    </row>
    <row r="702" customFormat="false" ht="15.75" hidden="false" customHeight="false" outlineLevel="0" collapsed="false">
      <c r="AB702" s="530"/>
      <c r="AE702" s="541"/>
      <c r="AF702" s="541"/>
    </row>
    <row r="703" customFormat="false" ht="15.75" hidden="false" customHeight="false" outlineLevel="0" collapsed="false">
      <c r="AB703" s="530"/>
      <c r="AE703" s="541"/>
      <c r="AF703" s="541"/>
    </row>
    <row r="704" customFormat="false" ht="15.75" hidden="false" customHeight="false" outlineLevel="0" collapsed="false">
      <c r="AB704" s="530"/>
      <c r="AE704" s="541"/>
      <c r="AF704" s="541"/>
    </row>
    <row r="705" customFormat="false" ht="15.75" hidden="false" customHeight="false" outlineLevel="0" collapsed="false">
      <c r="AB705" s="530"/>
      <c r="AE705" s="541"/>
      <c r="AF705" s="541"/>
    </row>
    <row r="706" customFormat="false" ht="15.75" hidden="false" customHeight="false" outlineLevel="0" collapsed="false">
      <c r="AB706" s="530"/>
      <c r="AE706" s="541"/>
      <c r="AF706" s="541"/>
    </row>
    <row r="707" customFormat="false" ht="15.75" hidden="false" customHeight="false" outlineLevel="0" collapsed="false">
      <c r="AB707" s="530"/>
      <c r="AE707" s="541"/>
      <c r="AF707" s="541"/>
    </row>
    <row r="708" customFormat="false" ht="15.75" hidden="false" customHeight="false" outlineLevel="0" collapsed="false">
      <c r="AB708" s="530"/>
      <c r="AE708" s="541"/>
      <c r="AF708" s="541"/>
    </row>
    <row r="709" customFormat="false" ht="15.75" hidden="false" customHeight="false" outlineLevel="0" collapsed="false">
      <c r="AB709" s="530"/>
      <c r="AE709" s="541"/>
      <c r="AF709" s="541"/>
    </row>
    <row r="710" customFormat="false" ht="15.75" hidden="false" customHeight="false" outlineLevel="0" collapsed="false">
      <c r="AB710" s="530"/>
      <c r="AE710" s="541"/>
      <c r="AF710" s="541"/>
    </row>
    <row r="711" customFormat="false" ht="15.75" hidden="false" customHeight="false" outlineLevel="0" collapsed="false">
      <c r="AB711" s="530"/>
      <c r="AE711" s="541"/>
      <c r="AF711" s="541"/>
    </row>
    <row r="712" customFormat="false" ht="15.75" hidden="false" customHeight="false" outlineLevel="0" collapsed="false">
      <c r="AB712" s="530"/>
      <c r="AE712" s="541"/>
      <c r="AF712" s="541"/>
    </row>
    <row r="713" customFormat="false" ht="15.75" hidden="false" customHeight="false" outlineLevel="0" collapsed="false">
      <c r="AB713" s="530"/>
      <c r="AE713" s="541"/>
      <c r="AF713" s="541"/>
    </row>
    <row r="714" customFormat="false" ht="15.75" hidden="false" customHeight="false" outlineLevel="0" collapsed="false">
      <c r="AB714" s="530"/>
      <c r="AE714" s="541"/>
      <c r="AF714" s="541"/>
    </row>
    <row r="715" customFormat="false" ht="15.75" hidden="false" customHeight="false" outlineLevel="0" collapsed="false">
      <c r="AB715" s="530"/>
      <c r="AE715" s="541"/>
      <c r="AF715" s="541"/>
    </row>
    <row r="716" customFormat="false" ht="15.75" hidden="false" customHeight="false" outlineLevel="0" collapsed="false">
      <c r="AB716" s="530"/>
      <c r="AE716" s="541"/>
      <c r="AF716" s="541"/>
    </row>
    <row r="717" customFormat="false" ht="15.75" hidden="false" customHeight="false" outlineLevel="0" collapsed="false">
      <c r="AB717" s="530"/>
      <c r="AE717" s="541"/>
      <c r="AF717" s="541"/>
    </row>
    <row r="718" customFormat="false" ht="15.75" hidden="false" customHeight="false" outlineLevel="0" collapsed="false">
      <c r="AB718" s="530"/>
      <c r="AE718" s="541"/>
      <c r="AF718" s="541"/>
    </row>
    <row r="719" customFormat="false" ht="15.75" hidden="false" customHeight="false" outlineLevel="0" collapsed="false">
      <c r="AB719" s="530"/>
      <c r="AE719" s="541"/>
      <c r="AF719" s="541"/>
    </row>
    <row r="720" customFormat="false" ht="15.75" hidden="false" customHeight="false" outlineLevel="0" collapsed="false">
      <c r="AB720" s="530"/>
      <c r="AE720" s="541"/>
      <c r="AF720" s="541"/>
    </row>
    <row r="721" customFormat="false" ht="15.75" hidden="false" customHeight="false" outlineLevel="0" collapsed="false">
      <c r="AB721" s="530"/>
      <c r="AE721" s="541"/>
      <c r="AF721" s="541"/>
    </row>
    <row r="722" customFormat="false" ht="15.75" hidden="false" customHeight="false" outlineLevel="0" collapsed="false">
      <c r="AB722" s="530"/>
      <c r="AE722" s="541"/>
      <c r="AF722" s="541"/>
    </row>
    <row r="723" customFormat="false" ht="15.75" hidden="false" customHeight="false" outlineLevel="0" collapsed="false">
      <c r="AB723" s="530"/>
      <c r="AE723" s="541"/>
      <c r="AF723" s="541"/>
    </row>
    <row r="724" customFormat="false" ht="15.75" hidden="false" customHeight="false" outlineLevel="0" collapsed="false">
      <c r="AB724" s="530"/>
      <c r="AE724" s="541"/>
      <c r="AF724" s="541"/>
    </row>
    <row r="725" customFormat="false" ht="15.75" hidden="false" customHeight="false" outlineLevel="0" collapsed="false">
      <c r="AB725" s="530"/>
      <c r="AE725" s="541"/>
      <c r="AF725" s="541"/>
    </row>
    <row r="726" customFormat="false" ht="15.75" hidden="false" customHeight="false" outlineLevel="0" collapsed="false">
      <c r="AB726" s="530"/>
      <c r="AE726" s="541"/>
      <c r="AF726" s="541"/>
    </row>
    <row r="727" customFormat="false" ht="15.75" hidden="false" customHeight="false" outlineLevel="0" collapsed="false">
      <c r="AB727" s="530"/>
      <c r="AE727" s="541"/>
      <c r="AF727" s="541"/>
    </row>
    <row r="728" customFormat="false" ht="15.75" hidden="false" customHeight="false" outlineLevel="0" collapsed="false">
      <c r="AB728" s="530"/>
      <c r="AE728" s="541"/>
      <c r="AF728" s="541"/>
    </row>
    <row r="729" customFormat="false" ht="15.75" hidden="false" customHeight="false" outlineLevel="0" collapsed="false">
      <c r="AB729" s="530"/>
      <c r="AE729" s="541"/>
      <c r="AF729" s="541"/>
    </row>
    <row r="730" customFormat="false" ht="15.75" hidden="false" customHeight="false" outlineLevel="0" collapsed="false">
      <c r="AB730" s="530"/>
      <c r="AE730" s="541"/>
      <c r="AF730" s="541"/>
    </row>
    <row r="731" customFormat="false" ht="15.75" hidden="false" customHeight="false" outlineLevel="0" collapsed="false">
      <c r="AB731" s="530"/>
      <c r="AE731" s="541"/>
      <c r="AF731" s="541"/>
    </row>
    <row r="732" customFormat="false" ht="15.75" hidden="false" customHeight="false" outlineLevel="0" collapsed="false">
      <c r="AB732" s="530"/>
      <c r="AE732" s="541"/>
      <c r="AF732" s="541"/>
    </row>
    <row r="733" customFormat="false" ht="15.75" hidden="false" customHeight="false" outlineLevel="0" collapsed="false">
      <c r="AB733" s="530"/>
      <c r="AE733" s="541"/>
      <c r="AF733" s="541"/>
    </row>
    <row r="734" customFormat="false" ht="15.75" hidden="false" customHeight="false" outlineLevel="0" collapsed="false">
      <c r="AB734" s="530"/>
      <c r="AE734" s="541"/>
      <c r="AF734" s="541"/>
    </row>
    <row r="735" customFormat="false" ht="15.75" hidden="false" customHeight="false" outlineLevel="0" collapsed="false">
      <c r="AB735" s="530"/>
      <c r="AE735" s="541"/>
      <c r="AF735" s="541"/>
    </row>
    <row r="736" customFormat="false" ht="15.75" hidden="false" customHeight="false" outlineLevel="0" collapsed="false">
      <c r="AB736" s="530"/>
      <c r="AE736" s="541"/>
      <c r="AF736" s="541"/>
    </row>
    <row r="737" customFormat="false" ht="15.75" hidden="false" customHeight="false" outlineLevel="0" collapsed="false">
      <c r="AB737" s="530"/>
      <c r="AE737" s="541"/>
      <c r="AF737" s="541"/>
    </row>
    <row r="738" customFormat="false" ht="15.75" hidden="false" customHeight="false" outlineLevel="0" collapsed="false">
      <c r="AB738" s="530"/>
      <c r="AE738" s="541"/>
      <c r="AF738" s="541"/>
    </row>
    <row r="739" customFormat="false" ht="15.75" hidden="false" customHeight="false" outlineLevel="0" collapsed="false">
      <c r="AB739" s="530"/>
      <c r="AE739" s="541"/>
      <c r="AF739" s="541"/>
    </row>
    <row r="740" customFormat="false" ht="15.75" hidden="false" customHeight="false" outlineLevel="0" collapsed="false">
      <c r="AB740" s="530"/>
      <c r="AE740" s="541"/>
      <c r="AF740" s="541"/>
    </row>
    <row r="741" customFormat="false" ht="15.75" hidden="false" customHeight="false" outlineLevel="0" collapsed="false">
      <c r="AB741" s="530"/>
      <c r="AE741" s="541"/>
      <c r="AF741" s="541"/>
    </row>
    <row r="742" customFormat="false" ht="15.75" hidden="false" customHeight="false" outlineLevel="0" collapsed="false">
      <c r="AB742" s="530"/>
      <c r="AE742" s="541"/>
      <c r="AF742" s="541"/>
    </row>
    <row r="743" customFormat="false" ht="15.75" hidden="false" customHeight="false" outlineLevel="0" collapsed="false">
      <c r="AB743" s="530"/>
      <c r="AE743" s="541"/>
      <c r="AF743" s="541"/>
    </row>
    <row r="744" customFormat="false" ht="15.75" hidden="false" customHeight="false" outlineLevel="0" collapsed="false">
      <c r="AB744" s="530"/>
      <c r="AE744" s="541"/>
      <c r="AF744" s="541"/>
    </row>
    <row r="745" customFormat="false" ht="15.75" hidden="false" customHeight="false" outlineLevel="0" collapsed="false">
      <c r="AB745" s="530"/>
      <c r="AE745" s="541"/>
      <c r="AF745" s="541"/>
    </row>
    <row r="746" customFormat="false" ht="15.75" hidden="false" customHeight="false" outlineLevel="0" collapsed="false">
      <c r="AB746" s="530"/>
      <c r="AE746" s="541"/>
      <c r="AF746" s="541"/>
    </row>
    <row r="747" customFormat="false" ht="15.75" hidden="false" customHeight="false" outlineLevel="0" collapsed="false">
      <c r="AB747" s="530"/>
      <c r="AE747" s="541"/>
      <c r="AF747" s="541"/>
    </row>
    <row r="748" customFormat="false" ht="15.75" hidden="false" customHeight="false" outlineLevel="0" collapsed="false">
      <c r="AB748" s="530"/>
      <c r="AE748" s="541"/>
      <c r="AF748" s="541"/>
    </row>
    <row r="749" customFormat="false" ht="15.75" hidden="false" customHeight="false" outlineLevel="0" collapsed="false">
      <c r="AB749" s="530"/>
      <c r="AE749" s="541"/>
      <c r="AF749" s="541"/>
    </row>
    <row r="750" customFormat="false" ht="15.75" hidden="false" customHeight="false" outlineLevel="0" collapsed="false">
      <c r="AB750" s="530"/>
      <c r="AE750" s="541"/>
      <c r="AF750" s="541"/>
    </row>
    <row r="751" customFormat="false" ht="15.75" hidden="false" customHeight="false" outlineLevel="0" collapsed="false">
      <c r="AB751" s="530"/>
      <c r="AE751" s="541"/>
      <c r="AF751" s="541"/>
    </row>
    <row r="752" customFormat="false" ht="15.75" hidden="false" customHeight="false" outlineLevel="0" collapsed="false">
      <c r="AB752" s="530"/>
      <c r="AE752" s="541"/>
      <c r="AF752" s="541"/>
    </row>
    <row r="753" customFormat="false" ht="15.75" hidden="false" customHeight="false" outlineLevel="0" collapsed="false">
      <c r="AB753" s="530"/>
      <c r="AE753" s="541"/>
      <c r="AF753" s="541"/>
    </row>
    <row r="754" customFormat="false" ht="15.75" hidden="false" customHeight="false" outlineLevel="0" collapsed="false">
      <c r="AB754" s="530"/>
      <c r="AE754" s="541"/>
      <c r="AF754" s="541"/>
    </row>
    <row r="755" customFormat="false" ht="15.75" hidden="false" customHeight="false" outlineLevel="0" collapsed="false">
      <c r="AB755" s="530"/>
      <c r="AE755" s="541"/>
      <c r="AF755" s="541"/>
    </row>
    <row r="756" customFormat="false" ht="15.75" hidden="false" customHeight="false" outlineLevel="0" collapsed="false">
      <c r="AB756" s="530"/>
      <c r="AE756" s="541"/>
      <c r="AF756" s="541"/>
    </row>
    <row r="757" customFormat="false" ht="15.75" hidden="false" customHeight="false" outlineLevel="0" collapsed="false">
      <c r="AB757" s="530"/>
      <c r="AE757" s="541"/>
      <c r="AF757" s="541"/>
    </row>
    <row r="758" customFormat="false" ht="15.75" hidden="false" customHeight="false" outlineLevel="0" collapsed="false">
      <c r="AB758" s="530"/>
      <c r="AE758" s="541"/>
      <c r="AF758" s="541"/>
    </row>
    <row r="759" customFormat="false" ht="15.75" hidden="false" customHeight="false" outlineLevel="0" collapsed="false">
      <c r="AB759" s="530"/>
      <c r="AE759" s="541"/>
      <c r="AF759" s="541"/>
    </row>
    <row r="760" customFormat="false" ht="15.75" hidden="false" customHeight="false" outlineLevel="0" collapsed="false">
      <c r="AB760" s="530"/>
      <c r="AE760" s="541"/>
      <c r="AF760" s="541"/>
    </row>
    <row r="761" customFormat="false" ht="15.75" hidden="false" customHeight="false" outlineLevel="0" collapsed="false">
      <c r="AB761" s="530"/>
      <c r="AE761" s="541"/>
      <c r="AF761" s="541"/>
    </row>
    <row r="762" customFormat="false" ht="15.75" hidden="false" customHeight="false" outlineLevel="0" collapsed="false">
      <c r="AB762" s="530"/>
      <c r="AE762" s="541"/>
      <c r="AF762" s="541"/>
    </row>
    <row r="763" customFormat="false" ht="15.75" hidden="false" customHeight="false" outlineLevel="0" collapsed="false">
      <c r="AB763" s="530"/>
      <c r="AE763" s="541"/>
      <c r="AF763" s="541"/>
    </row>
    <row r="764" customFormat="false" ht="15.75" hidden="false" customHeight="false" outlineLevel="0" collapsed="false">
      <c r="AB764" s="530"/>
      <c r="AE764" s="541"/>
      <c r="AF764" s="541"/>
    </row>
    <row r="765" customFormat="false" ht="15.75" hidden="false" customHeight="false" outlineLevel="0" collapsed="false">
      <c r="AB765" s="530"/>
      <c r="AE765" s="541"/>
      <c r="AF765" s="541"/>
    </row>
    <row r="766" customFormat="false" ht="15.75" hidden="false" customHeight="false" outlineLevel="0" collapsed="false">
      <c r="AB766" s="530"/>
      <c r="AE766" s="541"/>
      <c r="AF766" s="541"/>
    </row>
    <row r="767" customFormat="false" ht="15.75" hidden="false" customHeight="false" outlineLevel="0" collapsed="false">
      <c r="AB767" s="530"/>
      <c r="AE767" s="541"/>
      <c r="AF767" s="541"/>
    </row>
    <row r="768" customFormat="false" ht="15.75" hidden="false" customHeight="false" outlineLevel="0" collapsed="false">
      <c r="AB768" s="530"/>
      <c r="AE768" s="541"/>
      <c r="AF768" s="541"/>
    </row>
    <row r="769" customFormat="false" ht="15.75" hidden="false" customHeight="false" outlineLevel="0" collapsed="false">
      <c r="AB769" s="530"/>
      <c r="AE769" s="541"/>
      <c r="AF769" s="541"/>
    </row>
    <row r="770" customFormat="false" ht="15.75" hidden="false" customHeight="false" outlineLevel="0" collapsed="false">
      <c r="AB770" s="530"/>
      <c r="AE770" s="541"/>
      <c r="AF770" s="541"/>
    </row>
    <row r="771" customFormat="false" ht="15.75" hidden="false" customHeight="false" outlineLevel="0" collapsed="false">
      <c r="AB771" s="530"/>
      <c r="AE771" s="541"/>
      <c r="AF771" s="541"/>
    </row>
    <row r="772" customFormat="false" ht="15.75" hidden="false" customHeight="false" outlineLevel="0" collapsed="false">
      <c r="AB772" s="530"/>
      <c r="AE772" s="541"/>
      <c r="AF772" s="541"/>
    </row>
    <row r="773" customFormat="false" ht="15.75" hidden="false" customHeight="false" outlineLevel="0" collapsed="false">
      <c r="AB773" s="530"/>
      <c r="AE773" s="541"/>
      <c r="AF773" s="541"/>
    </row>
    <row r="774" customFormat="false" ht="15.75" hidden="false" customHeight="false" outlineLevel="0" collapsed="false">
      <c r="AB774" s="530"/>
      <c r="AE774" s="541"/>
      <c r="AF774" s="541"/>
    </row>
    <row r="775" customFormat="false" ht="15.75" hidden="false" customHeight="false" outlineLevel="0" collapsed="false">
      <c r="AB775" s="530"/>
      <c r="AE775" s="541"/>
      <c r="AF775" s="541"/>
    </row>
    <row r="776" customFormat="false" ht="15.75" hidden="false" customHeight="false" outlineLevel="0" collapsed="false">
      <c r="AB776" s="530"/>
      <c r="AE776" s="541"/>
      <c r="AF776" s="541"/>
    </row>
    <row r="777" customFormat="false" ht="15.75" hidden="false" customHeight="false" outlineLevel="0" collapsed="false">
      <c r="AB777" s="530"/>
      <c r="AE777" s="541"/>
      <c r="AF777" s="541"/>
    </row>
    <row r="778" customFormat="false" ht="15.75" hidden="false" customHeight="false" outlineLevel="0" collapsed="false">
      <c r="AB778" s="530"/>
      <c r="AE778" s="541"/>
      <c r="AF778" s="541"/>
    </row>
    <row r="779" customFormat="false" ht="15.75" hidden="false" customHeight="false" outlineLevel="0" collapsed="false">
      <c r="AB779" s="530"/>
      <c r="AE779" s="541"/>
      <c r="AF779" s="541"/>
    </row>
    <row r="780" customFormat="false" ht="15.75" hidden="false" customHeight="false" outlineLevel="0" collapsed="false">
      <c r="AB780" s="530"/>
      <c r="AE780" s="541"/>
      <c r="AF780" s="541"/>
    </row>
    <row r="781" customFormat="false" ht="15.75" hidden="false" customHeight="false" outlineLevel="0" collapsed="false">
      <c r="AB781" s="530"/>
      <c r="AE781" s="541"/>
      <c r="AF781" s="541"/>
    </row>
    <row r="782" customFormat="false" ht="15.75" hidden="false" customHeight="false" outlineLevel="0" collapsed="false">
      <c r="AB782" s="530"/>
      <c r="AE782" s="541"/>
      <c r="AF782" s="541"/>
    </row>
    <row r="783" customFormat="false" ht="15.75" hidden="false" customHeight="false" outlineLevel="0" collapsed="false">
      <c r="AB783" s="530"/>
      <c r="AE783" s="541"/>
      <c r="AF783" s="541"/>
    </row>
    <row r="784" customFormat="false" ht="15.75" hidden="false" customHeight="false" outlineLevel="0" collapsed="false">
      <c r="AB784" s="530"/>
      <c r="AE784" s="541"/>
      <c r="AF784" s="541"/>
    </row>
    <row r="785" customFormat="false" ht="15.75" hidden="false" customHeight="false" outlineLevel="0" collapsed="false">
      <c r="AB785" s="530"/>
      <c r="AE785" s="541"/>
      <c r="AF785" s="541"/>
    </row>
    <row r="786" customFormat="false" ht="15.75" hidden="false" customHeight="false" outlineLevel="0" collapsed="false">
      <c r="AB786" s="530"/>
      <c r="AE786" s="541"/>
      <c r="AF786" s="541"/>
    </row>
    <row r="787" customFormat="false" ht="15.75" hidden="false" customHeight="false" outlineLevel="0" collapsed="false">
      <c r="AB787" s="530"/>
      <c r="AE787" s="541"/>
      <c r="AF787" s="541"/>
    </row>
    <row r="788" customFormat="false" ht="15.75" hidden="false" customHeight="false" outlineLevel="0" collapsed="false">
      <c r="AB788" s="530"/>
      <c r="AE788" s="541"/>
      <c r="AF788" s="541"/>
    </row>
    <row r="789" customFormat="false" ht="15.75" hidden="false" customHeight="false" outlineLevel="0" collapsed="false">
      <c r="AB789" s="530"/>
      <c r="AE789" s="541"/>
      <c r="AF789" s="541"/>
    </row>
    <row r="790" customFormat="false" ht="15.75" hidden="false" customHeight="false" outlineLevel="0" collapsed="false">
      <c r="AB790" s="530"/>
      <c r="AE790" s="541"/>
      <c r="AF790" s="541"/>
    </row>
    <row r="791" customFormat="false" ht="15.75" hidden="false" customHeight="false" outlineLevel="0" collapsed="false">
      <c r="AB791" s="530"/>
      <c r="AE791" s="541"/>
      <c r="AF791" s="541"/>
    </row>
    <row r="792" customFormat="false" ht="15.75" hidden="false" customHeight="false" outlineLevel="0" collapsed="false">
      <c r="AB792" s="530"/>
      <c r="AE792" s="541"/>
      <c r="AF792" s="541"/>
    </row>
    <row r="793" customFormat="false" ht="15.75" hidden="false" customHeight="false" outlineLevel="0" collapsed="false">
      <c r="AB793" s="530"/>
      <c r="AE793" s="541"/>
      <c r="AF793" s="541"/>
    </row>
    <row r="794" customFormat="false" ht="15.75" hidden="false" customHeight="false" outlineLevel="0" collapsed="false">
      <c r="AB794" s="530"/>
      <c r="AE794" s="541"/>
      <c r="AF794" s="541"/>
    </row>
    <row r="795" customFormat="false" ht="15.75" hidden="false" customHeight="false" outlineLevel="0" collapsed="false">
      <c r="AB795" s="530"/>
      <c r="AE795" s="541"/>
      <c r="AF795" s="541"/>
    </row>
    <row r="796" customFormat="false" ht="15.75" hidden="false" customHeight="false" outlineLevel="0" collapsed="false">
      <c r="AB796" s="530"/>
      <c r="AE796" s="541"/>
      <c r="AF796" s="541"/>
    </row>
    <row r="797" customFormat="false" ht="15.75" hidden="false" customHeight="false" outlineLevel="0" collapsed="false">
      <c r="AB797" s="530"/>
      <c r="AE797" s="541"/>
      <c r="AF797" s="541"/>
    </row>
    <row r="798" customFormat="false" ht="15.75" hidden="false" customHeight="false" outlineLevel="0" collapsed="false">
      <c r="AB798" s="530"/>
      <c r="AE798" s="541"/>
      <c r="AF798" s="541"/>
    </row>
    <row r="799" customFormat="false" ht="15.75" hidden="false" customHeight="false" outlineLevel="0" collapsed="false">
      <c r="AB799" s="530"/>
      <c r="AE799" s="541"/>
      <c r="AF799" s="541"/>
    </row>
    <row r="800" customFormat="false" ht="15.75" hidden="false" customHeight="false" outlineLevel="0" collapsed="false">
      <c r="AB800" s="530"/>
      <c r="AE800" s="541"/>
      <c r="AF800" s="541"/>
    </row>
    <row r="801" customFormat="false" ht="15.75" hidden="false" customHeight="false" outlineLevel="0" collapsed="false">
      <c r="AB801" s="530"/>
      <c r="AE801" s="541"/>
      <c r="AF801" s="541"/>
    </row>
    <row r="802" customFormat="false" ht="15.75" hidden="false" customHeight="false" outlineLevel="0" collapsed="false">
      <c r="AB802" s="530"/>
      <c r="AE802" s="541"/>
      <c r="AF802" s="541"/>
    </row>
    <row r="803" customFormat="false" ht="15.75" hidden="false" customHeight="false" outlineLevel="0" collapsed="false">
      <c r="AB803" s="530"/>
      <c r="AE803" s="541"/>
      <c r="AF803" s="541"/>
    </row>
    <row r="804" customFormat="false" ht="15.75" hidden="false" customHeight="false" outlineLevel="0" collapsed="false">
      <c r="AB804" s="530"/>
      <c r="AE804" s="541"/>
      <c r="AF804" s="541"/>
    </row>
    <row r="805" customFormat="false" ht="15.75" hidden="false" customHeight="false" outlineLevel="0" collapsed="false">
      <c r="AB805" s="530"/>
      <c r="AE805" s="541"/>
      <c r="AF805" s="541"/>
    </row>
    <row r="806" customFormat="false" ht="15.75" hidden="false" customHeight="false" outlineLevel="0" collapsed="false">
      <c r="AB806" s="530"/>
      <c r="AE806" s="541"/>
      <c r="AF806" s="541"/>
    </row>
    <row r="807" customFormat="false" ht="15.75" hidden="false" customHeight="false" outlineLevel="0" collapsed="false">
      <c r="AB807" s="530"/>
      <c r="AE807" s="541"/>
      <c r="AF807" s="541"/>
    </row>
    <row r="808" customFormat="false" ht="15.75" hidden="false" customHeight="false" outlineLevel="0" collapsed="false">
      <c r="AB808" s="530"/>
      <c r="AE808" s="541"/>
      <c r="AF808" s="541"/>
    </row>
    <row r="809" customFormat="false" ht="15.75" hidden="false" customHeight="false" outlineLevel="0" collapsed="false">
      <c r="AB809" s="530"/>
      <c r="AE809" s="541"/>
      <c r="AF809" s="541"/>
    </row>
    <row r="810" customFormat="false" ht="15.75" hidden="false" customHeight="false" outlineLevel="0" collapsed="false">
      <c r="AB810" s="530"/>
      <c r="AE810" s="541"/>
      <c r="AF810" s="541"/>
    </row>
    <row r="811" customFormat="false" ht="15.75" hidden="false" customHeight="false" outlineLevel="0" collapsed="false">
      <c r="AB811" s="530"/>
      <c r="AE811" s="541"/>
      <c r="AF811" s="541"/>
    </row>
    <row r="812" customFormat="false" ht="15.75" hidden="false" customHeight="false" outlineLevel="0" collapsed="false">
      <c r="AB812" s="530"/>
      <c r="AE812" s="541"/>
      <c r="AF812" s="541"/>
    </row>
    <row r="813" customFormat="false" ht="15.75" hidden="false" customHeight="false" outlineLevel="0" collapsed="false">
      <c r="AB813" s="530"/>
      <c r="AE813" s="541"/>
      <c r="AF813" s="541"/>
    </row>
    <row r="814" customFormat="false" ht="15.75" hidden="false" customHeight="false" outlineLevel="0" collapsed="false">
      <c r="AB814" s="530"/>
      <c r="AE814" s="541"/>
      <c r="AF814" s="541"/>
    </row>
    <row r="815" customFormat="false" ht="15.75" hidden="false" customHeight="false" outlineLevel="0" collapsed="false">
      <c r="AB815" s="530"/>
      <c r="AE815" s="541"/>
      <c r="AF815" s="541"/>
    </row>
    <row r="816" customFormat="false" ht="15.75" hidden="false" customHeight="false" outlineLevel="0" collapsed="false">
      <c r="AB816" s="530"/>
      <c r="AE816" s="541"/>
      <c r="AF816" s="541"/>
    </row>
    <row r="817" customFormat="false" ht="15.75" hidden="false" customHeight="false" outlineLevel="0" collapsed="false">
      <c r="AB817" s="530"/>
      <c r="AE817" s="541"/>
      <c r="AF817" s="541"/>
    </row>
    <row r="818" customFormat="false" ht="15.75" hidden="false" customHeight="false" outlineLevel="0" collapsed="false">
      <c r="AB818" s="530"/>
      <c r="AE818" s="541"/>
      <c r="AF818" s="541"/>
    </row>
    <row r="819" customFormat="false" ht="15.75" hidden="false" customHeight="false" outlineLevel="0" collapsed="false">
      <c r="AB819" s="530"/>
      <c r="AE819" s="541"/>
      <c r="AF819" s="541"/>
    </row>
    <row r="820" customFormat="false" ht="15.75" hidden="false" customHeight="false" outlineLevel="0" collapsed="false">
      <c r="AB820" s="530"/>
      <c r="AE820" s="541"/>
      <c r="AF820" s="541"/>
    </row>
    <row r="821" customFormat="false" ht="15.75" hidden="false" customHeight="false" outlineLevel="0" collapsed="false">
      <c r="AB821" s="530"/>
      <c r="AE821" s="541"/>
      <c r="AF821" s="541"/>
    </row>
    <row r="822" customFormat="false" ht="15.75" hidden="false" customHeight="false" outlineLevel="0" collapsed="false">
      <c r="AB822" s="530"/>
      <c r="AE822" s="541"/>
      <c r="AF822" s="541"/>
    </row>
    <row r="823" customFormat="false" ht="15.75" hidden="false" customHeight="false" outlineLevel="0" collapsed="false">
      <c r="AB823" s="530"/>
      <c r="AE823" s="541"/>
      <c r="AF823" s="541"/>
    </row>
    <row r="824" customFormat="false" ht="15.75" hidden="false" customHeight="false" outlineLevel="0" collapsed="false">
      <c r="AB824" s="530"/>
      <c r="AE824" s="541"/>
      <c r="AF824" s="541"/>
    </row>
    <row r="825" customFormat="false" ht="15.75" hidden="false" customHeight="false" outlineLevel="0" collapsed="false">
      <c r="AB825" s="530"/>
      <c r="AE825" s="541"/>
      <c r="AF825" s="541"/>
    </row>
    <row r="826" customFormat="false" ht="15.75" hidden="false" customHeight="false" outlineLevel="0" collapsed="false">
      <c r="AB826" s="530"/>
      <c r="AE826" s="541"/>
      <c r="AF826" s="541"/>
    </row>
    <row r="827" customFormat="false" ht="15.75" hidden="false" customHeight="false" outlineLevel="0" collapsed="false">
      <c r="AB827" s="530"/>
      <c r="AE827" s="541"/>
      <c r="AF827" s="541"/>
    </row>
    <row r="828" customFormat="false" ht="15.75" hidden="false" customHeight="false" outlineLevel="0" collapsed="false">
      <c r="AB828" s="530"/>
      <c r="AE828" s="541"/>
      <c r="AF828" s="541"/>
    </row>
    <row r="829" customFormat="false" ht="15.75" hidden="false" customHeight="false" outlineLevel="0" collapsed="false">
      <c r="AB829" s="530"/>
      <c r="AE829" s="541"/>
      <c r="AF829" s="541"/>
    </row>
    <row r="830" customFormat="false" ht="15.75" hidden="false" customHeight="false" outlineLevel="0" collapsed="false">
      <c r="AB830" s="530"/>
      <c r="AE830" s="541"/>
      <c r="AF830" s="541"/>
    </row>
    <row r="831" customFormat="false" ht="15.75" hidden="false" customHeight="false" outlineLevel="0" collapsed="false">
      <c r="AB831" s="530"/>
      <c r="AE831" s="541"/>
      <c r="AF831" s="541"/>
    </row>
    <row r="832" customFormat="false" ht="15.75" hidden="false" customHeight="false" outlineLevel="0" collapsed="false">
      <c r="AB832" s="530"/>
      <c r="AE832" s="541"/>
      <c r="AF832" s="541"/>
    </row>
    <row r="833" customFormat="false" ht="15.75" hidden="false" customHeight="false" outlineLevel="0" collapsed="false">
      <c r="AB833" s="530"/>
      <c r="AE833" s="541"/>
      <c r="AF833" s="541"/>
    </row>
    <row r="834" customFormat="false" ht="15.75" hidden="false" customHeight="false" outlineLevel="0" collapsed="false">
      <c r="AB834" s="530"/>
      <c r="AE834" s="541"/>
      <c r="AF834" s="541"/>
    </row>
    <row r="835" customFormat="false" ht="15.75" hidden="false" customHeight="false" outlineLevel="0" collapsed="false">
      <c r="AB835" s="530"/>
      <c r="AE835" s="541"/>
      <c r="AF835" s="541"/>
    </row>
    <row r="836" customFormat="false" ht="15.75" hidden="false" customHeight="false" outlineLevel="0" collapsed="false">
      <c r="AB836" s="530"/>
      <c r="AE836" s="541"/>
      <c r="AF836" s="541"/>
    </row>
    <row r="837" customFormat="false" ht="15.75" hidden="false" customHeight="false" outlineLevel="0" collapsed="false">
      <c r="AB837" s="530"/>
      <c r="AE837" s="541"/>
      <c r="AF837" s="541"/>
    </row>
    <row r="838" customFormat="false" ht="15.75" hidden="false" customHeight="false" outlineLevel="0" collapsed="false">
      <c r="AB838" s="530"/>
      <c r="AE838" s="541"/>
      <c r="AF838" s="541"/>
    </row>
    <row r="839" customFormat="false" ht="15.75" hidden="false" customHeight="false" outlineLevel="0" collapsed="false">
      <c r="AB839" s="530"/>
      <c r="AE839" s="541"/>
      <c r="AF839" s="541"/>
    </row>
    <row r="840" customFormat="false" ht="15.75" hidden="false" customHeight="false" outlineLevel="0" collapsed="false">
      <c r="AB840" s="530"/>
      <c r="AE840" s="541"/>
      <c r="AF840" s="541"/>
    </row>
    <row r="841" customFormat="false" ht="15.75" hidden="false" customHeight="false" outlineLevel="0" collapsed="false">
      <c r="AB841" s="530"/>
      <c r="AE841" s="541"/>
      <c r="AF841" s="541"/>
    </row>
    <row r="842" customFormat="false" ht="15.75" hidden="false" customHeight="false" outlineLevel="0" collapsed="false">
      <c r="AB842" s="530"/>
      <c r="AE842" s="541"/>
      <c r="AF842" s="541"/>
    </row>
    <row r="843" customFormat="false" ht="15.75" hidden="false" customHeight="false" outlineLevel="0" collapsed="false">
      <c r="AB843" s="530"/>
      <c r="AE843" s="541"/>
      <c r="AF843" s="541"/>
    </row>
    <row r="844" customFormat="false" ht="15.75" hidden="false" customHeight="false" outlineLevel="0" collapsed="false">
      <c r="AB844" s="530"/>
      <c r="AE844" s="541"/>
      <c r="AF844" s="541"/>
    </row>
    <row r="845" customFormat="false" ht="15.75" hidden="false" customHeight="false" outlineLevel="0" collapsed="false">
      <c r="AB845" s="530"/>
      <c r="AE845" s="541"/>
      <c r="AF845" s="541"/>
    </row>
    <row r="846" customFormat="false" ht="15.75" hidden="false" customHeight="false" outlineLevel="0" collapsed="false">
      <c r="AB846" s="530"/>
      <c r="AE846" s="541"/>
      <c r="AF846" s="541"/>
    </row>
    <row r="847" customFormat="false" ht="15.75" hidden="false" customHeight="false" outlineLevel="0" collapsed="false">
      <c r="AB847" s="530"/>
      <c r="AE847" s="541"/>
      <c r="AF847" s="541"/>
    </row>
    <row r="848" customFormat="false" ht="15.75" hidden="false" customHeight="false" outlineLevel="0" collapsed="false">
      <c r="AB848" s="530"/>
      <c r="AE848" s="541"/>
      <c r="AF848" s="541"/>
    </row>
    <row r="849" customFormat="false" ht="15.75" hidden="false" customHeight="false" outlineLevel="0" collapsed="false">
      <c r="AB849" s="530"/>
      <c r="AE849" s="541"/>
      <c r="AF849" s="541"/>
    </row>
    <row r="850" customFormat="false" ht="15.75" hidden="false" customHeight="false" outlineLevel="0" collapsed="false">
      <c r="AB850" s="530"/>
      <c r="AE850" s="541"/>
      <c r="AF850" s="541"/>
    </row>
    <row r="851" customFormat="false" ht="15.75" hidden="false" customHeight="false" outlineLevel="0" collapsed="false">
      <c r="AB851" s="530"/>
      <c r="AE851" s="541"/>
      <c r="AF851" s="541"/>
    </row>
    <row r="852" customFormat="false" ht="15.75" hidden="false" customHeight="false" outlineLevel="0" collapsed="false">
      <c r="AB852" s="530"/>
      <c r="AE852" s="541"/>
      <c r="AF852" s="541"/>
    </row>
    <row r="853" customFormat="false" ht="15.75" hidden="false" customHeight="false" outlineLevel="0" collapsed="false">
      <c r="AB853" s="530"/>
      <c r="AE853" s="541"/>
      <c r="AF853" s="541"/>
    </row>
    <row r="854" customFormat="false" ht="15.75" hidden="false" customHeight="false" outlineLevel="0" collapsed="false">
      <c r="AB854" s="530"/>
      <c r="AE854" s="541"/>
      <c r="AF854" s="541"/>
    </row>
    <row r="855" customFormat="false" ht="15.75" hidden="false" customHeight="false" outlineLevel="0" collapsed="false">
      <c r="AB855" s="530"/>
      <c r="AE855" s="541"/>
      <c r="AF855" s="541"/>
    </row>
    <row r="856" customFormat="false" ht="15.75" hidden="false" customHeight="false" outlineLevel="0" collapsed="false">
      <c r="AB856" s="530"/>
      <c r="AE856" s="541"/>
      <c r="AF856" s="541"/>
    </row>
    <row r="857" customFormat="false" ht="15.75" hidden="false" customHeight="false" outlineLevel="0" collapsed="false">
      <c r="AB857" s="530"/>
      <c r="AE857" s="541"/>
      <c r="AF857" s="541"/>
    </row>
    <row r="858" customFormat="false" ht="15.75" hidden="false" customHeight="false" outlineLevel="0" collapsed="false">
      <c r="AB858" s="530"/>
      <c r="AE858" s="541"/>
      <c r="AF858" s="541"/>
    </row>
    <row r="859" customFormat="false" ht="15.75" hidden="false" customHeight="false" outlineLevel="0" collapsed="false">
      <c r="AB859" s="530"/>
      <c r="AE859" s="541"/>
      <c r="AF859" s="541"/>
    </row>
    <row r="860" customFormat="false" ht="15.75" hidden="false" customHeight="false" outlineLevel="0" collapsed="false">
      <c r="AB860" s="530"/>
      <c r="AE860" s="541"/>
      <c r="AF860" s="541"/>
    </row>
    <row r="861" customFormat="false" ht="15.75" hidden="false" customHeight="false" outlineLevel="0" collapsed="false">
      <c r="AB861" s="530"/>
      <c r="AE861" s="541"/>
      <c r="AF861" s="541"/>
    </row>
    <row r="862" customFormat="false" ht="15.75" hidden="false" customHeight="false" outlineLevel="0" collapsed="false">
      <c r="AB862" s="530"/>
      <c r="AE862" s="541"/>
      <c r="AF862" s="541"/>
    </row>
    <row r="863" customFormat="false" ht="15.75" hidden="false" customHeight="false" outlineLevel="0" collapsed="false">
      <c r="AB863" s="530"/>
      <c r="AE863" s="541"/>
      <c r="AF863" s="541"/>
    </row>
    <row r="864" customFormat="false" ht="15.75" hidden="false" customHeight="false" outlineLevel="0" collapsed="false">
      <c r="AB864" s="530"/>
      <c r="AE864" s="541"/>
      <c r="AF864" s="541"/>
    </row>
    <row r="865" customFormat="false" ht="15.75" hidden="false" customHeight="false" outlineLevel="0" collapsed="false">
      <c r="AB865" s="530"/>
      <c r="AE865" s="541"/>
      <c r="AF865" s="541"/>
    </row>
    <row r="866" customFormat="false" ht="15.75" hidden="false" customHeight="false" outlineLevel="0" collapsed="false">
      <c r="AB866" s="530"/>
      <c r="AE866" s="541"/>
      <c r="AF866" s="541"/>
    </row>
    <row r="867" customFormat="false" ht="15.75" hidden="false" customHeight="false" outlineLevel="0" collapsed="false">
      <c r="AB867" s="530"/>
      <c r="AE867" s="541"/>
      <c r="AF867" s="541"/>
    </row>
    <row r="868" customFormat="false" ht="15.75" hidden="false" customHeight="false" outlineLevel="0" collapsed="false">
      <c r="AB868" s="530"/>
      <c r="AE868" s="541"/>
      <c r="AF868" s="541"/>
    </row>
    <row r="869" customFormat="false" ht="15.75" hidden="false" customHeight="false" outlineLevel="0" collapsed="false">
      <c r="AB869" s="530"/>
      <c r="AE869" s="541"/>
      <c r="AF869" s="541"/>
    </row>
    <row r="870" customFormat="false" ht="15.75" hidden="false" customHeight="false" outlineLevel="0" collapsed="false">
      <c r="AB870" s="530"/>
      <c r="AE870" s="541"/>
      <c r="AF870" s="541"/>
    </row>
    <row r="871" customFormat="false" ht="15.75" hidden="false" customHeight="false" outlineLevel="0" collapsed="false">
      <c r="AB871" s="530"/>
      <c r="AE871" s="541"/>
      <c r="AF871" s="541"/>
    </row>
    <row r="872" customFormat="false" ht="15.75" hidden="false" customHeight="false" outlineLevel="0" collapsed="false">
      <c r="AB872" s="530"/>
      <c r="AE872" s="541"/>
      <c r="AF872" s="541"/>
    </row>
    <row r="873" customFormat="false" ht="15.75" hidden="false" customHeight="false" outlineLevel="0" collapsed="false">
      <c r="AB873" s="530"/>
      <c r="AE873" s="541"/>
      <c r="AF873" s="541"/>
    </row>
    <row r="874" customFormat="false" ht="15.75" hidden="false" customHeight="false" outlineLevel="0" collapsed="false">
      <c r="AB874" s="530"/>
      <c r="AE874" s="541"/>
      <c r="AF874" s="541"/>
    </row>
    <row r="875" customFormat="false" ht="15.75" hidden="false" customHeight="false" outlineLevel="0" collapsed="false">
      <c r="AB875" s="530"/>
      <c r="AE875" s="541"/>
      <c r="AF875" s="541"/>
    </row>
    <row r="876" customFormat="false" ht="15.75" hidden="false" customHeight="false" outlineLevel="0" collapsed="false">
      <c r="AB876" s="530"/>
      <c r="AE876" s="541"/>
      <c r="AF876" s="541"/>
    </row>
    <row r="877" customFormat="false" ht="15.75" hidden="false" customHeight="false" outlineLevel="0" collapsed="false">
      <c r="AB877" s="530"/>
      <c r="AE877" s="541"/>
      <c r="AF877" s="541"/>
    </row>
    <row r="878" customFormat="false" ht="15.75" hidden="false" customHeight="false" outlineLevel="0" collapsed="false">
      <c r="AB878" s="530"/>
      <c r="AE878" s="541"/>
      <c r="AF878" s="541"/>
    </row>
    <row r="879" customFormat="false" ht="15.75" hidden="false" customHeight="false" outlineLevel="0" collapsed="false">
      <c r="AB879" s="530"/>
      <c r="AE879" s="541"/>
      <c r="AF879" s="541"/>
    </row>
    <row r="880" customFormat="false" ht="15.75" hidden="false" customHeight="false" outlineLevel="0" collapsed="false">
      <c r="AB880" s="530"/>
      <c r="AE880" s="541"/>
      <c r="AF880" s="541"/>
    </row>
    <row r="881" customFormat="false" ht="15.75" hidden="false" customHeight="false" outlineLevel="0" collapsed="false">
      <c r="AB881" s="530"/>
      <c r="AE881" s="541"/>
      <c r="AF881" s="541"/>
    </row>
    <row r="882" customFormat="false" ht="15.75" hidden="false" customHeight="false" outlineLevel="0" collapsed="false">
      <c r="AB882" s="530"/>
      <c r="AE882" s="541"/>
      <c r="AF882" s="541"/>
    </row>
    <row r="883" customFormat="false" ht="15.75" hidden="false" customHeight="false" outlineLevel="0" collapsed="false">
      <c r="AB883" s="530"/>
      <c r="AE883" s="541"/>
      <c r="AF883" s="541"/>
    </row>
    <row r="884" customFormat="false" ht="15.75" hidden="false" customHeight="false" outlineLevel="0" collapsed="false">
      <c r="AB884" s="530"/>
      <c r="AE884" s="541"/>
      <c r="AF884" s="541"/>
    </row>
    <row r="885" customFormat="false" ht="15.75" hidden="false" customHeight="false" outlineLevel="0" collapsed="false">
      <c r="AB885" s="530"/>
      <c r="AE885" s="541"/>
      <c r="AF885" s="541"/>
    </row>
    <row r="886" customFormat="false" ht="15.75" hidden="false" customHeight="false" outlineLevel="0" collapsed="false">
      <c r="AB886" s="530"/>
      <c r="AE886" s="541"/>
      <c r="AF886" s="541"/>
    </row>
    <row r="887" customFormat="false" ht="15.75" hidden="false" customHeight="false" outlineLevel="0" collapsed="false">
      <c r="AB887" s="530"/>
      <c r="AE887" s="541"/>
      <c r="AF887" s="541"/>
    </row>
    <row r="888" customFormat="false" ht="15.75" hidden="false" customHeight="false" outlineLevel="0" collapsed="false">
      <c r="AB888" s="530"/>
      <c r="AE888" s="541"/>
      <c r="AF888" s="541"/>
    </row>
    <row r="889" customFormat="false" ht="15.75" hidden="false" customHeight="false" outlineLevel="0" collapsed="false">
      <c r="AB889" s="530"/>
      <c r="AE889" s="541"/>
      <c r="AF889" s="541"/>
    </row>
    <row r="890" customFormat="false" ht="15.75" hidden="false" customHeight="false" outlineLevel="0" collapsed="false">
      <c r="AB890" s="530"/>
      <c r="AE890" s="541"/>
      <c r="AF890" s="541"/>
    </row>
    <row r="891" customFormat="false" ht="15.75" hidden="false" customHeight="false" outlineLevel="0" collapsed="false">
      <c r="AB891" s="530"/>
      <c r="AE891" s="541"/>
      <c r="AF891" s="541"/>
    </row>
    <row r="892" customFormat="false" ht="15.75" hidden="false" customHeight="false" outlineLevel="0" collapsed="false">
      <c r="AB892" s="530"/>
      <c r="AE892" s="541"/>
      <c r="AF892" s="541"/>
    </row>
    <row r="893" customFormat="false" ht="15.75" hidden="false" customHeight="false" outlineLevel="0" collapsed="false">
      <c r="AB893" s="530"/>
      <c r="AE893" s="541"/>
      <c r="AF893" s="541"/>
    </row>
    <row r="894" customFormat="false" ht="15.75" hidden="false" customHeight="false" outlineLevel="0" collapsed="false">
      <c r="AB894" s="530"/>
      <c r="AE894" s="541"/>
      <c r="AF894" s="541"/>
    </row>
    <row r="895" customFormat="false" ht="15.75" hidden="false" customHeight="false" outlineLevel="0" collapsed="false">
      <c r="AB895" s="530"/>
      <c r="AE895" s="541"/>
      <c r="AF895" s="541"/>
    </row>
    <row r="896" customFormat="false" ht="15.75" hidden="false" customHeight="false" outlineLevel="0" collapsed="false">
      <c r="AB896" s="530"/>
      <c r="AE896" s="541"/>
      <c r="AF896" s="541"/>
    </row>
    <row r="897" customFormat="false" ht="15.75" hidden="false" customHeight="false" outlineLevel="0" collapsed="false">
      <c r="AB897" s="530"/>
      <c r="AE897" s="541"/>
      <c r="AF897" s="541"/>
    </row>
    <row r="898" customFormat="false" ht="15.75" hidden="false" customHeight="false" outlineLevel="0" collapsed="false">
      <c r="AB898" s="530"/>
      <c r="AE898" s="541"/>
      <c r="AF898" s="541"/>
    </row>
    <row r="899" customFormat="false" ht="15.75" hidden="false" customHeight="false" outlineLevel="0" collapsed="false">
      <c r="AB899" s="530"/>
      <c r="AE899" s="541"/>
      <c r="AF899" s="541"/>
    </row>
    <row r="900" customFormat="false" ht="15.75" hidden="false" customHeight="false" outlineLevel="0" collapsed="false">
      <c r="AB900" s="530"/>
      <c r="AE900" s="541"/>
      <c r="AF900" s="541"/>
    </row>
    <row r="901" customFormat="false" ht="15.75" hidden="false" customHeight="false" outlineLevel="0" collapsed="false">
      <c r="AB901" s="530"/>
      <c r="AE901" s="541"/>
      <c r="AF901" s="541"/>
    </row>
    <row r="902" customFormat="false" ht="15.75" hidden="false" customHeight="false" outlineLevel="0" collapsed="false">
      <c r="AB902" s="530"/>
      <c r="AE902" s="541"/>
      <c r="AF902" s="541"/>
    </row>
    <row r="903" customFormat="false" ht="15.75" hidden="false" customHeight="false" outlineLevel="0" collapsed="false">
      <c r="AB903" s="530"/>
      <c r="AE903" s="541"/>
      <c r="AF903" s="541"/>
    </row>
    <row r="904" customFormat="false" ht="15.75" hidden="false" customHeight="false" outlineLevel="0" collapsed="false">
      <c r="AB904" s="530"/>
      <c r="AE904" s="541"/>
      <c r="AF904" s="541"/>
    </row>
    <row r="905" customFormat="false" ht="15.75" hidden="false" customHeight="false" outlineLevel="0" collapsed="false">
      <c r="AB905" s="530"/>
      <c r="AE905" s="541"/>
      <c r="AF905" s="541"/>
    </row>
    <row r="906" customFormat="false" ht="15.75" hidden="false" customHeight="false" outlineLevel="0" collapsed="false">
      <c r="AB906" s="530"/>
      <c r="AE906" s="541"/>
      <c r="AF906" s="541"/>
    </row>
    <row r="907" customFormat="false" ht="15.75" hidden="false" customHeight="false" outlineLevel="0" collapsed="false">
      <c r="AB907" s="530"/>
      <c r="AE907" s="541"/>
      <c r="AF907" s="541"/>
    </row>
    <row r="908" customFormat="false" ht="15.75" hidden="false" customHeight="false" outlineLevel="0" collapsed="false">
      <c r="AB908" s="530"/>
      <c r="AE908" s="541"/>
      <c r="AF908" s="541"/>
    </row>
    <row r="909" customFormat="false" ht="15.75" hidden="false" customHeight="false" outlineLevel="0" collapsed="false">
      <c r="AB909" s="530"/>
      <c r="AE909" s="541"/>
      <c r="AF909" s="541"/>
    </row>
    <row r="910" customFormat="false" ht="15.75" hidden="false" customHeight="false" outlineLevel="0" collapsed="false">
      <c r="AB910" s="530"/>
      <c r="AE910" s="541"/>
      <c r="AF910" s="541"/>
    </row>
    <row r="911" customFormat="false" ht="15.75" hidden="false" customHeight="false" outlineLevel="0" collapsed="false">
      <c r="AB911" s="530"/>
      <c r="AE911" s="541"/>
      <c r="AF911" s="541"/>
    </row>
    <row r="912" customFormat="false" ht="15.75" hidden="false" customHeight="false" outlineLevel="0" collapsed="false">
      <c r="AB912" s="530"/>
      <c r="AE912" s="541"/>
      <c r="AF912" s="541"/>
    </row>
    <row r="913" customFormat="false" ht="15.75" hidden="false" customHeight="false" outlineLevel="0" collapsed="false">
      <c r="AB913" s="530"/>
      <c r="AE913" s="541"/>
      <c r="AF913" s="541"/>
    </row>
    <row r="914" customFormat="false" ht="15.75" hidden="false" customHeight="false" outlineLevel="0" collapsed="false">
      <c r="AB914" s="530"/>
      <c r="AE914" s="541"/>
      <c r="AF914" s="541"/>
    </row>
    <row r="915" customFormat="false" ht="15.75" hidden="false" customHeight="false" outlineLevel="0" collapsed="false">
      <c r="AB915" s="530"/>
      <c r="AE915" s="541"/>
      <c r="AF915" s="541"/>
    </row>
    <row r="916" customFormat="false" ht="15.75" hidden="false" customHeight="false" outlineLevel="0" collapsed="false">
      <c r="AB916" s="530"/>
      <c r="AE916" s="541"/>
      <c r="AF916" s="541"/>
    </row>
    <row r="917" customFormat="false" ht="15.75" hidden="false" customHeight="false" outlineLevel="0" collapsed="false">
      <c r="AB917" s="530"/>
      <c r="AE917" s="541"/>
      <c r="AF917" s="541"/>
    </row>
    <row r="918" customFormat="false" ht="15.75" hidden="false" customHeight="false" outlineLevel="0" collapsed="false">
      <c r="AB918" s="530"/>
      <c r="AE918" s="541"/>
      <c r="AF918" s="541"/>
    </row>
    <row r="919" customFormat="false" ht="15.75" hidden="false" customHeight="false" outlineLevel="0" collapsed="false">
      <c r="AB919" s="530"/>
      <c r="AE919" s="541"/>
      <c r="AF919" s="541"/>
    </row>
    <row r="920" customFormat="false" ht="15.75" hidden="false" customHeight="false" outlineLevel="0" collapsed="false">
      <c r="AB920" s="530"/>
      <c r="AE920" s="541"/>
      <c r="AF920" s="541"/>
    </row>
    <row r="921" customFormat="false" ht="15.75" hidden="false" customHeight="false" outlineLevel="0" collapsed="false">
      <c r="AB921" s="530"/>
      <c r="AE921" s="541"/>
      <c r="AF921" s="541"/>
    </row>
    <row r="922" customFormat="false" ht="15.75" hidden="false" customHeight="false" outlineLevel="0" collapsed="false">
      <c r="AB922" s="530"/>
      <c r="AE922" s="541"/>
      <c r="AF922" s="541"/>
    </row>
    <row r="923" customFormat="false" ht="15.75" hidden="false" customHeight="false" outlineLevel="0" collapsed="false">
      <c r="AB923" s="530"/>
      <c r="AE923" s="541"/>
      <c r="AF923" s="541"/>
    </row>
    <row r="924" customFormat="false" ht="15.75" hidden="false" customHeight="false" outlineLevel="0" collapsed="false">
      <c r="AB924" s="530"/>
      <c r="AE924" s="541"/>
      <c r="AF924" s="541"/>
    </row>
    <row r="925" customFormat="false" ht="15.75" hidden="false" customHeight="false" outlineLevel="0" collapsed="false">
      <c r="AB925" s="530"/>
      <c r="AE925" s="541"/>
      <c r="AF925" s="541"/>
    </row>
    <row r="926" customFormat="false" ht="15.75" hidden="false" customHeight="false" outlineLevel="0" collapsed="false">
      <c r="AB926" s="530"/>
      <c r="AE926" s="541"/>
      <c r="AF926" s="541"/>
    </row>
    <row r="927" customFormat="false" ht="15.75" hidden="false" customHeight="false" outlineLevel="0" collapsed="false">
      <c r="AB927" s="530"/>
      <c r="AE927" s="541"/>
      <c r="AF927" s="541"/>
    </row>
    <row r="928" customFormat="false" ht="15.75" hidden="false" customHeight="false" outlineLevel="0" collapsed="false">
      <c r="AB928" s="530"/>
      <c r="AE928" s="541"/>
      <c r="AF928" s="541"/>
    </row>
    <row r="929" customFormat="false" ht="15.75" hidden="false" customHeight="false" outlineLevel="0" collapsed="false">
      <c r="AB929" s="530"/>
      <c r="AE929" s="541"/>
      <c r="AF929" s="541"/>
    </row>
    <row r="930" customFormat="false" ht="15.75" hidden="false" customHeight="false" outlineLevel="0" collapsed="false">
      <c r="AB930" s="530"/>
      <c r="AE930" s="541"/>
      <c r="AF930" s="541"/>
    </row>
    <row r="931" customFormat="false" ht="15.75" hidden="false" customHeight="false" outlineLevel="0" collapsed="false">
      <c r="AB931" s="530"/>
      <c r="AE931" s="541"/>
      <c r="AF931" s="541"/>
    </row>
    <row r="932" customFormat="false" ht="15.75" hidden="false" customHeight="false" outlineLevel="0" collapsed="false">
      <c r="AB932" s="530"/>
      <c r="AE932" s="541"/>
      <c r="AF932" s="541"/>
    </row>
    <row r="933" customFormat="false" ht="15.75" hidden="false" customHeight="false" outlineLevel="0" collapsed="false">
      <c r="AB933" s="530"/>
      <c r="AE933" s="541"/>
      <c r="AF933" s="541"/>
    </row>
    <row r="934" customFormat="false" ht="15.75" hidden="false" customHeight="false" outlineLevel="0" collapsed="false">
      <c r="AB934" s="530"/>
      <c r="AE934" s="541"/>
      <c r="AF934" s="541"/>
    </row>
    <row r="935" customFormat="false" ht="15.75" hidden="false" customHeight="false" outlineLevel="0" collapsed="false">
      <c r="AB935" s="530"/>
      <c r="AE935" s="541"/>
      <c r="AF935" s="541"/>
    </row>
    <row r="936" customFormat="false" ht="15.75" hidden="false" customHeight="false" outlineLevel="0" collapsed="false">
      <c r="AB936" s="530"/>
      <c r="AE936" s="541"/>
      <c r="AF936" s="541"/>
    </row>
    <row r="937" customFormat="false" ht="15.75" hidden="false" customHeight="false" outlineLevel="0" collapsed="false">
      <c r="AB937" s="530"/>
      <c r="AE937" s="541"/>
      <c r="AF937" s="541"/>
    </row>
    <row r="938" customFormat="false" ht="15.75" hidden="false" customHeight="false" outlineLevel="0" collapsed="false">
      <c r="AB938" s="530"/>
      <c r="AE938" s="541"/>
      <c r="AF938" s="541"/>
    </row>
    <row r="939" customFormat="false" ht="15.75" hidden="false" customHeight="false" outlineLevel="0" collapsed="false">
      <c r="AB939" s="530"/>
      <c r="AE939" s="541"/>
      <c r="AF939" s="541"/>
    </row>
    <row r="940" customFormat="false" ht="15.75" hidden="false" customHeight="false" outlineLevel="0" collapsed="false">
      <c r="AB940" s="530"/>
      <c r="AE940" s="541"/>
      <c r="AF940" s="541"/>
    </row>
    <row r="941" customFormat="false" ht="15.75" hidden="false" customHeight="false" outlineLevel="0" collapsed="false">
      <c r="AB941" s="530"/>
      <c r="AE941" s="541"/>
      <c r="AF941" s="541"/>
    </row>
    <row r="942" customFormat="false" ht="15.75" hidden="false" customHeight="false" outlineLevel="0" collapsed="false">
      <c r="AB942" s="530"/>
      <c r="AE942" s="541"/>
      <c r="AF942" s="541"/>
    </row>
    <row r="943" customFormat="false" ht="15.75" hidden="false" customHeight="false" outlineLevel="0" collapsed="false">
      <c r="AB943" s="530"/>
      <c r="AE943" s="541"/>
      <c r="AF943" s="541"/>
    </row>
    <row r="944" customFormat="false" ht="15.75" hidden="false" customHeight="false" outlineLevel="0" collapsed="false">
      <c r="AB944" s="530"/>
      <c r="AE944" s="541"/>
      <c r="AF944" s="541"/>
    </row>
    <row r="945" customFormat="false" ht="15.75" hidden="false" customHeight="false" outlineLevel="0" collapsed="false">
      <c r="AB945" s="530"/>
      <c r="AE945" s="541"/>
      <c r="AF945" s="541"/>
    </row>
    <row r="946" customFormat="false" ht="15.75" hidden="false" customHeight="false" outlineLevel="0" collapsed="false">
      <c r="AB946" s="530"/>
      <c r="AE946" s="541"/>
      <c r="AF946" s="541"/>
    </row>
    <row r="947" customFormat="false" ht="15.75" hidden="false" customHeight="false" outlineLevel="0" collapsed="false">
      <c r="AB947" s="530"/>
      <c r="AE947" s="541"/>
      <c r="AF947" s="541"/>
    </row>
    <row r="948" customFormat="false" ht="15.75" hidden="false" customHeight="false" outlineLevel="0" collapsed="false">
      <c r="AB948" s="530"/>
      <c r="AE948" s="541"/>
      <c r="AF948" s="541"/>
    </row>
    <row r="949" customFormat="false" ht="15.75" hidden="false" customHeight="false" outlineLevel="0" collapsed="false">
      <c r="AB949" s="530"/>
      <c r="AE949" s="541"/>
      <c r="AF949" s="541"/>
    </row>
    <row r="950" customFormat="false" ht="15.75" hidden="false" customHeight="false" outlineLevel="0" collapsed="false">
      <c r="AB950" s="530"/>
      <c r="AE950" s="541"/>
      <c r="AF950" s="541"/>
    </row>
    <row r="951" customFormat="false" ht="15.75" hidden="false" customHeight="false" outlineLevel="0" collapsed="false">
      <c r="AB951" s="530"/>
      <c r="AE951" s="541"/>
      <c r="AF951" s="541"/>
    </row>
    <row r="952" customFormat="false" ht="15.75" hidden="false" customHeight="false" outlineLevel="0" collapsed="false">
      <c r="AB952" s="530"/>
      <c r="AE952" s="541"/>
      <c r="AF952" s="541"/>
    </row>
    <row r="953" customFormat="false" ht="15.75" hidden="false" customHeight="false" outlineLevel="0" collapsed="false">
      <c r="AB953" s="530"/>
      <c r="AE953" s="541"/>
      <c r="AF953" s="541"/>
    </row>
    <row r="954" customFormat="false" ht="15.75" hidden="false" customHeight="false" outlineLevel="0" collapsed="false">
      <c r="AB954" s="530"/>
      <c r="AE954" s="541"/>
      <c r="AF954" s="541"/>
    </row>
    <row r="955" customFormat="false" ht="15.75" hidden="false" customHeight="false" outlineLevel="0" collapsed="false">
      <c r="AB955" s="530"/>
      <c r="AE955" s="541"/>
      <c r="AF955" s="541"/>
    </row>
    <row r="956" customFormat="false" ht="15.75" hidden="false" customHeight="false" outlineLevel="0" collapsed="false">
      <c r="AB956" s="530"/>
      <c r="AE956" s="541"/>
      <c r="AF956" s="541"/>
    </row>
    <row r="957" customFormat="false" ht="15.75" hidden="false" customHeight="false" outlineLevel="0" collapsed="false">
      <c r="AB957" s="530"/>
      <c r="AE957" s="541"/>
      <c r="AF957" s="541"/>
    </row>
    <row r="958" customFormat="false" ht="15.75" hidden="false" customHeight="false" outlineLevel="0" collapsed="false">
      <c r="AB958" s="530"/>
      <c r="AE958" s="541"/>
      <c r="AF958" s="541"/>
    </row>
    <row r="959" customFormat="false" ht="15.75" hidden="false" customHeight="false" outlineLevel="0" collapsed="false">
      <c r="AB959" s="530"/>
      <c r="AE959" s="541"/>
      <c r="AF959" s="541"/>
    </row>
    <row r="960" customFormat="false" ht="15.75" hidden="false" customHeight="false" outlineLevel="0" collapsed="false">
      <c r="AB960" s="530"/>
      <c r="AE960" s="541"/>
      <c r="AF960" s="541"/>
    </row>
    <row r="961" customFormat="false" ht="15.75" hidden="false" customHeight="false" outlineLevel="0" collapsed="false">
      <c r="AB961" s="530"/>
      <c r="AE961" s="541"/>
      <c r="AF961" s="541"/>
    </row>
    <row r="962" customFormat="false" ht="15.75" hidden="false" customHeight="false" outlineLevel="0" collapsed="false">
      <c r="AB962" s="530"/>
      <c r="AE962" s="541"/>
      <c r="AF962" s="541"/>
    </row>
    <row r="963" customFormat="false" ht="15.75" hidden="false" customHeight="false" outlineLevel="0" collapsed="false">
      <c r="AB963" s="530"/>
      <c r="AE963" s="541"/>
      <c r="AF963" s="541"/>
    </row>
    <row r="964" customFormat="false" ht="15.75" hidden="false" customHeight="false" outlineLevel="0" collapsed="false">
      <c r="AB964" s="530"/>
      <c r="AE964" s="541"/>
      <c r="AF964" s="541"/>
    </row>
    <row r="965" customFormat="false" ht="15.75" hidden="false" customHeight="false" outlineLevel="0" collapsed="false">
      <c r="AB965" s="530"/>
      <c r="AE965" s="541"/>
      <c r="AF965" s="541"/>
    </row>
    <row r="966" customFormat="false" ht="15.75" hidden="false" customHeight="false" outlineLevel="0" collapsed="false">
      <c r="AB966" s="530"/>
      <c r="AE966" s="541"/>
      <c r="AF966" s="541"/>
    </row>
    <row r="967" customFormat="false" ht="15.75" hidden="false" customHeight="false" outlineLevel="0" collapsed="false">
      <c r="AB967" s="530"/>
      <c r="AE967" s="541"/>
      <c r="AF967" s="541"/>
    </row>
    <row r="968" customFormat="false" ht="15.75" hidden="false" customHeight="false" outlineLevel="0" collapsed="false">
      <c r="AB968" s="530"/>
      <c r="AE968" s="541"/>
      <c r="AF968" s="541"/>
    </row>
    <row r="969" customFormat="false" ht="15.75" hidden="false" customHeight="false" outlineLevel="0" collapsed="false">
      <c r="AB969" s="530"/>
      <c r="AE969" s="541"/>
      <c r="AF969" s="541"/>
    </row>
    <row r="970" customFormat="false" ht="15.75" hidden="false" customHeight="false" outlineLevel="0" collapsed="false">
      <c r="AB970" s="530"/>
      <c r="AE970" s="541"/>
      <c r="AF970" s="541"/>
    </row>
    <row r="971" customFormat="false" ht="15.75" hidden="false" customHeight="false" outlineLevel="0" collapsed="false">
      <c r="AB971" s="530"/>
      <c r="AE971" s="541"/>
      <c r="AF971" s="541"/>
    </row>
    <row r="972" customFormat="false" ht="15.75" hidden="false" customHeight="false" outlineLevel="0" collapsed="false">
      <c r="AB972" s="530"/>
      <c r="AE972" s="541"/>
      <c r="AF972" s="541"/>
    </row>
    <row r="973" customFormat="false" ht="15.75" hidden="false" customHeight="false" outlineLevel="0" collapsed="false">
      <c r="AB973" s="530"/>
      <c r="AE973" s="541"/>
      <c r="AF973" s="541"/>
    </row>
    <row r="974" customFormat="false" ht="15.75" hidden="false" customHeight="false" outlineLevel="0" collapsed="false">
      <c r="AB974" s="530"/>
      <c r="AE974" s="541"/>
      <c r="AF974" s="541"/>
    </row>
    <row r="975" customFormat="false" ht="15.75" hidden="false" customHeight="false" outlineLevel="0" collapsed="false">
      <c r="AB975" s="530"/>
      <c r="AE975" s="541"/>
      <c r="AF975" s="541"/>
    </row>
    <row r="976" customFormat="false" ht="15.75" hidden="false" customHeight="false" outlineLevel="0" collapsed="false">
      <c r="AB976" s="530"/>
      <c r="AE976" s="541"/>
      <c r="AF976" s="541"/>
    </row>
    <row r="977" customFormat="false" ht="15.75" hidden="false" customHeight="false" outlineLevel="0" collapsed="false">
      <c r="AB977" s="530"/>
      <c r="AE977" s="541"/>
      <c r="AF977" s="541"/>
    </row>
    <row r="978" customFormat="false" ht="15.75" hidden="false" customHeight="false" outlineLevel="0" collapsed="false">
      <c r="AB978" s="530"/>
      <c r="AE978" s="541"/>
      <c r="AF978" s="541"/>
    </row>
    <row r="979" customFormat="false" ht="15.75" hidden="false" customHeight="false" outlineLevel="0" collapsed="false">
      <c r="AB979" s="530"/>
      <c r="AE979" s="541"/>
      <c r="AF979" s="541"/>
    </row>
    <row r="980" customFormat="false" ht="15.75" hidden="false" customHeight="false" outlineLevel="0" collapsed="false">
      <c r="AB980" s="530"/>
      <c r="AE980" s="541"/>
      <c r="AF980" s="541"/>
    </row>
    <row r="981" customFormat="false" ht="15.75" hidden="false" customHeight="false" outlineLevel="0" collapsed="false">
      <c r="AB981" s="530"/>
      <c r="AE981" s="541"/>
      <c r="AF981" s="541"/>
    </row>
    <row r="982" customFormat="false" ht="15.75" hidden="false" customHeight="false" outlineLevel="0" collapsed="false">
      <c r="AB982" s="530"/>
      <c r="AE982" s="541"/>
      <c r="AF982" s="541"/>
    </row>
    <row r="983" customFormat="false" ht="15.75" hidden="false" customHeight="false" outlineLevel="0" collapsed="false">
      <c r="AB983" s="530"/>
      <c r="AE983" s="541"/>
      <c r="AF983" s="541"/>
    </row>
    <row r="984" customFormat="false" ht="15.75" hidden="false" customHeight="false" outlineLevel="0" collapsed="false">
      <c r="AB984" s="530"/>
      <c r="AE984" s="541"/>
      <c r="AF984" s="541"/>
    </row>
    <row r="985" customFormat="false" ht="15.75" hidden="false" customHeight="false" outlineLevel="0" collapsed="false">
      <c r="AB985" s="530"/>
      <c r="AE985" s="541"/>
      <c r="AF985" s="541"/>
    </row>
    <row r="986" customFormat="false" ht="15.75" hidden="false" customHeight="false" outlineLevel="0" collapsed="false">
      <c r="AB986" s="530"/>
      <c r="AE986" s="541"/>
      <c r="AF986" s="541"/>
    </row>
    <row r="987" customFormat="false" ht="15.75" hidden="false" customHeight="false" outlineLevel="0" collapsed="false">
      <c r="AB987" s="530"/>
      <c r="AE987" s="541"/>
      <c r="AF987" s="541"/>
    </row>
    <row r="988" customFormat="false" ht="15.75" hidden="false" customHeight="false" outlineLevel="0" collapsed="false">
      <c r="AB988" s="530"/>
      <c r="AE988" s="541"/>
      <c r="AF988" s="541"/>
    </row>
    <row r="989" customFormat="false" ht="15.75" hidden="false" customHeight="false" outlineLevel="0" collapsed="false">
      <c r="AB989" s="530"/>
      <c r="AE989" s="541"/>
      <c r="AF989" s="541"/>
    </row>
    <row r="990" customFormat="false" ht="15.75" hidden="false" customHeight="false" outlineLevel="0" collapsed="false">
      <c r="AB990" s="530"/>
      <c r="AE990" s="541"/>
      <c r="AF990" s="541"/>
    </row>
    <row r="991" customFormat="false" ht="15.75" hidden="false" customHeight="false" outlineLevel="0" collapsed="false">
      <c r="AB991" s="530"/>
      <c r="AE991" s="541"/>
      <c r="AF991" s="541"/>
    </row>
    <row r="992" customFormat="false" ht="15.75" hidden="false" customHeight="false" outlineLevel="0" collapsed="false">
      <c r="AB992" s="530"/>
      <c r="AE992" s="541"/>
      <c r="AF992" s="541"/>
    </row>
    <row r="993" customFormat="false" ht="15.75" hidden="false" customHeight="false" outlineLevel="0" collapsed="false">
      <c r="AB993" s="530"/>
      <c r="AE993" s="541"/>
      <c r="AF993" s="541"/>
    </row>
    <row r="994" customFormat="false" ht="15.75" hidden="false" customHeight="false" outlineLevel="0" collapsed="false">
      <c r="AB994" s="530"/>
      <c r="AE994" s="541"/>
      <c r="AF994" s="541"/>
    </row>
    <row r="995" customFormat="false" ht="15.75" hidden="false" customHeight="false" outlineLevel="0" collapsed="false">
      <c r="AB995" s="530"/>
      <c r="AE995" s="541"/>
      <c r="AF995" s="541"/>
    </row>
    <row r="996" customFormat="false" ht="15.75" hidden="false" customHeight="false" outlineLevel="0" collapsed="false">
      <c r="AB996" s="530"/>
      <c r="AE996" s="541"/>
      <c r="AF996" s="541"/>
    </row>
    <row r="997" customFormat="false" ht="15.75" hidden="false" customHeight="false" outlineLevel="0" collapsed="false">
      <c r="AB997" s="530"/>
      <c r="AE997" s="541"/>
      <c r="AF997" s="541"/>
    </row>
    <row r="998" customFormat="false" ht="15.75" hidden="false" customHeight="false" outlineLevel="0" collapsed="false">
      <c r="AB998" s="530"/>
      <c r="AE998" s="541"/>
      <c r="AF998" s="541"/>
    </row>
    <row r="999" customFormat="false" ht="15.75" hidden="false" customHeight="false" outlineLevel="0" collapsed="false">
      <c r="AB999" s="530"/>
      <c r="AE999" s="541"/>
      <c r="AF999" s="541"/>
    </row>
    <row r="1000" customFormat="false" ht="15.75" hidden="false" customHeight="false" outlineLevel="0" collapsed="false">
      <c r="AB1000" s="530"/>
      <c r="AE1000" s="541"/>
      <c r="AF1000" s="541"/>
    </row>
    <row r="1001" customFormat="false" ht="15.75" hidden="false" customHeight="false" outlineLevel="0" collapsed="false">
      <c r="AB1001" s="530"/>
      <c r="AE1001" s="541"/>
      <c r="AF1001" s="541"/>
    </row>
    <row r="1002" customFormat="false" ht="15.75" hidden="false" customHeight="false" outlineLevel="0" collapsed="false">
      <c r="AB1002" s="530"/>
      <c r="AE1002" s="541"/>
      <c r="AF1002" s="541"/>
    </row>
    <row r="1003" customFormat="false" ht="15.75" hidden="false" customHeight="false" outlineLevel="0" collapsed="false">
      <c r="AB1003" s="530"/>
      <c r="AE1003" s="541"/>
      <c r="AF1003" s="541"/>
    </row>
    <row r="1004" customFormat="false" ht="15.75" hidden="false" customHeight="false" outlineLevel="0" collapsed="false">
      <c r="AB1004" s="530"/>
      <c r="AE1004" s="541"/>
      <c r="AF1004" s="541"/>
    </row>
    <row r="1005" customFormat="false" ht="15.75" hidden="false" customHeight="false" outlineLevel="0" collapsed="false">
      <c r="AB1005" s="530"/>
      <c r="AE1005" s="541"/>
      <c r="AF1005" s="541"/>
    </row>
    <row r="1006" customFormat="false" ht="15.75" hidden="false" customHeight="false" outlineLevel="0" collapsed="false">
      <c r="AB1006" s="530"/>
      <c r="AE1006" s="541"/>
      <c r="AF1006" s="541"/>
    </row>
    <row r="1007" customFormat="false" ht="15.75" hidden="false" customHeight="false" outlineLevel="0" collapsed="false">
      <c r="AB1007" s="530"/>
      <c r="AE1007" s="541"/>
      <c r="AF1007" s="541"/>
    </row>
    <row r="1008" customFormat="false" ht="15.75" hidden="false" customHeight="false" outlineLevel="0" collapsed="false">
      <c r="AB1008" s="530"/>
      <c r="AE1008" s="541"/>
      <c r="AF1008" s="541"/>
    </row>
    <row r="1009" customFormat="false" ht="15.75" hidden="false" customHeight="false" outlineLevel="0" collapsed="false">
      <c r="AB1009" s="530"/>
      <c r="AE1009" s="541"/>
      <c r="AF1009" s="541"/>
    </row>
    <row r="1010" customFormat="false" ht="15.75" hidden="false" customHeight="false" outlineLevel="0" collapsed="false">
      <c r="AB1010" s="530"/>
      <c r="AE1010" s="541"/>
      <c r="AF1010" s="541"/>
    </row>
    <row r="1011" customFormat="false" ht="15.75" hidden="false" customHeight="false" outlineLevel="0" collapsed="false">
      <c r="AB1011" s="530"/>
      <c r="AE1011" s="541"/>
      <c r="AF1011" s="541"/>
    </row>
    <row r="1012" customFormat="false" ht="15.75" hidden="false" customHeight="false" outlineLevel="0" collapsed="false">
      <c r="AB1012" s="530"/>
      <c r="AE1012" s="541"/>
      <c r="AF1012" s="541"/>
    </row>
    <row r="1013" customFormat="false" ht="15.75" hidden="false" customHeight="false" outlineLevel="0" collapsed="false">
      <c r="AB1013" s="530"/>
      <c r="AE1013" s="541"/>
      <c r="AF1013" s="541"/>
    </row>
    <row r="1014" customFormat="false" ht="15.75" hidden="false" customHeight="false" outlineLevel="0" collapsed="false">
      <c r="AB1014" s="530"/>
      <c r="AE1014" s="541"/>
      <c r="AF1014" s="541"/>
    </row>
    <row r="1015" customFormat="false" ht="15.75" hidden="false" customHeight="false" outlineLevel="0" collapsed="false">
      <c r="AB1015" s="530"/>
      <c r="AE1015" s="541"/>
      <c r="AF1015" s="541"/>
    </row>
    <row r="1016" customFormat="false" ht="15.75" hidden="false" customHeight="false" outlineLevel="0" collapsed="false">
      <c r="AB1016" s="530"/>
    </row>
    <row r="1017" customFormat="false" ht="15.75" hidden="false" customHeight="false" outlineLevel="0" collapsed="false">
      <c r="AB1017" s="530"/>
      <c r="AE1017" s="541"/>
      <c r="AF1017" s="54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AS23"/>
  <sheetViews>
    <sheetView showFormulas="false" showGridLines="true" showRowColHeaders="true" showZeros="true" rightToLeft="false" tabSelected="false" showOutlineSymbols="true" defaultGridColor="true" view="normal" topLeftCell="A6" colorId="64" zoomScale="125" zoomScaleNormal="125" zoomScalePageLayoutView="100" workbookViewId="0">
      <selection pane="topLeft" activeCell="P14" activeCellId="0" sqref="P14"/>
    </sheetView>
  </sheetViews>
  <sheetFormatPr defaultColWidth="10.5" defaultRowHeight="15.75" zeroHeight="false" outlineLevelRow="0" outlineLevelCol="0"/>
  <cols>
    <col collapsed="false" customWidth="true" hidden="false" outlineLevel="0" max="5" min="5" style="0" width="11"/>
    <col collapsed="false" customWidth="true" hidden="false" outlineLevel="0" max="14" min="14" style="0" width="15"/>
    <col collapsed="false" customWidth="true" hidden="false" outlineLevel="0" max="15" min="15" style="0" width="16.84"/>
    <col collapsed="false" customWidth="true" hidden="false" outlineLevel="0" max="16" min="16" style="0" width="14.66"/>
    <col collapsed="false" customWidth="true" hidden="false" outlineLevel="0" max="17" min="17" style="0" width="14.5"/>
    <col collapsed="false" customWidth="true" hidden="false" outlineLevel="0" max="18" min="18" style="0" width="21.16"/>
    <col collapsed="false" customWidth="true" hidden="false" outlineLevel="0" max="20" min="19" style="0" width="14.66"/>
    <col collapsed="false" customWidth="true" hidden="false" outlineLevel="0" max="24" min="24" style="0" width="14.5"/>
    <col collapsed="false" customWidth="true" hidden="false" outlineLevel="0" max="25" min="25" style="0" width="17.16"/>
    <col collapsed="false" customWidth="true" hidden="false" outlineLevel="0" max="29" min="29" style="0" width="13.33"/>
  </cols>
  <sheetData>
    <row r="1" customFormat="false" ht="24" hidden="false" customHeight="false" outlineLevel="0" collapsed="false">
      <c r="A1" s="553" t="s">
        <v>1976</v>
      </c>
      <c r="B1" s="554"/>
      <c r="C1" s="554"/>
      <c r="D1" s="555"/>
      <c r="E1" s="0" t="s">
        <v>1977</v>
      </c>
    </row>
    <row r="2" customFormat="false" ht="15.75" hidden="false" customHeight="false" outlineLevel="0" collapsed="false">
      <c r="A2" s="0" t="s">
        <v>1978</v>
      </c>
      <c r="E2" s="0" t="s">
        <v>1979</v>
      </c>
      <c r="AS2" s="142"/>
    </row>
    <row r="3" customFormat="false" ht="15.75" hidden="false" customHeight="false" outlineLevel="0" collapsed="false">
      <c r="E3" s="0" t="s">
        <v>1980</v>
      </c>
      <c r="AS3" s="142"/>
    </row>
    <row r="4" customFormat="false" ht="15.75" hidden="false" customHeight="false" outlineLevel="0" collapsed="false">
      <c r="E4" s="0" t="s">
        <v>1981</v>
      </c>
    </row>
    <row r="5" customFormat="false" ht="15.75" hidden="false" customHeight="false" outlineLevel="0" collapsed="false">
      <c r="E5" s="0" t="s">
        <v>1982</v>
      </c>
    </row>
    <row r="6" customFormat="false" ht="21" hidden="false" customHeight="false" outlineLevel="0" collapsed="false">
      <c r="E6" s="0" t="s">
        <v>1983</v>
      </c>
      <c r="L6" s="556" t="s">
        <v>1805</v>
      </c>
      <c r="M6" s="556" t="n">
        <v>46.625</v>
      </c>
    </row>
    <row r="7" customFormat="false" ht="15.75" hidden="false" customHeight="false" outlineLevel="0" collapsed="false">
      <c r="E7" s="0" t="s">
        <v>1984</v>
      </c>
      <c r="AS7" s="142"/>
    </row>
    <row r="8" customFormat="false" ht="15.75" hidden="false" customHeight="false" outlineLevel="0" collapsed="false">
      <c r="A8" s="106"/>
      <c r="B8" s="106"/>
      <c r="C8" s="106"/>
      <c r="E8" s="0" t="s">
        <v>1985</v>
      </c>
      <c r="AS8" s="142"/>
    </row>
    <row r="9" customFormat="false" ht="15.75" hidden="false" customHeight="false" outlineLevel="0" collapsed="false">
      <c r="AS9" s="142"/>
    </row>
    <row r="10" customFormat="false" ht="15.75" hidden="false" customHeight="false" outlineLevel="0" collapsed="false">
      <c r="AS10" s="142"/>
    </row>
    <row r="11" customFormat="false" ht="24" hidden="false" customHeight="false" outlineLevel="0" collapsed="false">
      <c r="A11" s="557"/>
      <c r="H11" s="558" t="s">
        <v>0</v>
      </c>
      <c r="S11" s="506" t="s">
        <v>1986</v>
      </c>
      <c r="T11" s="506"/>
      <c r="U11" s="506"/>
      <c r="V11" s="506"/>
      <c r="AS11" s="142"/>
    </row>
    <row r="12" customFormat="false" ht="21" hidden="false" customHeight="false" outlineLevel="0" collapsed="false">
      <c r="A12" s="559" t="s">
        <v>1758</v>
      </c>
      <c r="B12" s="152" t="s">
        <v>1987</v>
      </c>
      <c r="C12" s="152" t="s">
        <v>1988</v>
      </c>
      <c r="D12" s="152" t="s">
        <v>1989</v>
      </c>
      <c r="E12" s="152" t="s">
        <v>1990</v>
      </c>
      <c r="F12" s="152" t="s">
        <v>1991</v>
      </c>
      <c r="G12" s="152" t="s">
        <v>1992</v>
      </c>
      <c r="H12" s="504" t="s">
        <v>1758</v>
      </c>
      <c r="I12" s="504" t="s">
        <v>431</v>
      </c>
      <c r="J12" s="505" t="s">
        <v>1772</v>
      </c>
      <c r="K12" s="505" t="s">
        <v>1773</v>
      </c>
      <c r="L12" s="505" t="s">
        <v>1774</v>
      </c>
      <c r="M12" s="505" t="s">
        <v>1775</v>
      </c>
      <c r="N12" s="505" t="s">
        <v>500</v>
      </c>
      <c r="O12" s="505" t="s">
        <v>1763</v>
      </c>
      <c r="P12" s="505" t="s">
        <v>501</v>
      </c>
      <c r="R12" s="560" t="s">
        <v>1993</v>
      </c>
      <c r="S12" s="560" t="s">
        <v>1994</v>
      </c>
      <c r="T12" s="560" t="s">
        <v>1995</v>
      </c>
      <c r="U12" s="560" t="s">
        <v>1739</v>
      </c>
      <c r="V12" s="560" t="s">
        <v>1758</v>
      </c>
      <c r="W12" s="373" t="s">
        <v>1758</v>
      </c>
      <c r="X12" s="465" t="s">
        <v>1987</v>
      </c>
      <c r="Y12" s="465" t="s">
        <v>1988</v>
      </c>
      <c r="Z12" s="465" t="s">
        <v>1989</v>
      </c>
      <c r="AA12" s="465" t="s">
        <v>1990</v>
      </c>
      <c r="AB12" s="465" t="s">
        <v>1991</v>
      </c>
      <c r="AC12" s="465" t="s">
        <v>1992</v>
      </c>
      <c r="AS12" s="142"/>
    </row>
    <row r="13" customFormat="false" ht="15.75" hidden="false" customHeight="false" outlineLevel="0" collapsed="false">
      <c r="A13" s="0" t="n">
        <v>2015</v>
      </c>
      <c r="B13" s="0" t="n">
        <v>0.006959666</v>
      </c>
      <c r="C13" s="142" t="n">
        <v>8.984021E-007</v>
      </c>
      <c r="D13" s="0" t="n">
        <v>85.08199</v>
      </c>
      <c r="E13" s="0" t="n">
        <v>6.320948</v>
      </c>
      <c r="F13" s="0" t="n">
        <v>287.1108</v>
      </c>
      <c r="G13" s="0" t="n">
        <v>280.7828</v>
      </c>
      <c r="H13" s="0" t="n">
        <f aca="false">A13</f>
        <v>2015</v>
      </c>
      <c r="I13" s="0" t="n">
        <f aca="false">IF((H13=H12),I12+1,1)</f>
        <v>1</v>
      </c>
      <c r="J13" s="0" t="n">
        <f aca="false">G13-273.16</f>
        <v>7.62279999999998</v>
      </c>
      <c r="K13" s="0" t="n">
        <f aca="false">F13-273.16</f>
        <v>13.9508</v>
      </c>
      <c r="L13" s="0" t="n">
        <f aca="false">MIN(0.263*B13*1013.25*100/EXP(17.67*(F13-273.16)/(F13-29.65)),100)</f>
        <v>71.19302099051</v>
      </c>
      <c r="M13" s="0" t="n">
        <f aca="false">MIN(0.263*B13*1013.25*100/EXP(17.67*(G13-273.16)/(G13-29.65)),100)</f>
        <v>100</v>
      </c>
      <c r="N13" s="0" t="n">
        <f aca="false">(198.58*(1/(2/15*ACOS(-TAN(3.1416/180*$M$6)*TAN(3.1416/180*23.45*SIN((2*3.1416/365*(I13+284)))))/3.1416*180))^2+5.0551/(2/15*ACOS(-TAN(3.1416/180*$M$6)*TAN(3.1416/180*23.45*SIN((2*3.1416/365*(I13+284)))))/3.1416*180)+1.49)*D13*2.02</f>
        <v>838.348736704645</v>
      </c>
      <c r="O13" s="142" t="n">
        <f aca="false">C13*3600*24</f>
        <v>0.07762194144</v>
      </c>
      <c r="P13" s="0" t="n">
        <f aca="false">E13</f>
        <v>6.320948</v>
      </c>
      <c r="R13" s="373" t="n">
        <v>1</v>
      </c>
      <c r="S13" s="0" t="n">
        <v>46.625</v>
      </c>
      <c r="T13" s="0" t="n">
        <v>2.625</v>
      </c>
      <c r="U13" s="0" t="n">
        <v>0.006959666</v>
      </c>
      <c r="V13" s="0" t="n">
        <v>2015</v>
      </c>
      <c r="W13" s="0" t="n">
        <f aca="false">V13</f>
        <v>2015</v>
      </c>
      <c r="X13" s="0" t="n">
        <f aca="false">U13</f>
        <v>0.006959666</v>
      </c>
      <c r="Y13" s="142" t="n">
        <f aca="false">U14</f>
        <v>8.984021E-007</v>
      </c>
      <c r="Z13" s="0" t="n">
        <f aca="false">U15</f>
        <v>85.08199</v>
      </c>
      <c r="AA13" s="0" t="n">
        <f aca="false">U16</f>
        <v>6.320948</v>
      </c>
      <c r="AB13" s="0" t="n">
        <f aca="false">U17</f>
        <v>287.1108</v>
      </c>
      <c r="AC13" s="0" t="n">
        <f aca="false">U18</f>
        <v>280.7828</v>
      </c>
    </row>
    <row r="14" customFormat="false" ht="15.75" hidden="false" customHeight="false" outlineLevel="0" collapsed="false">
      <c r="A14" s="0" t="n">
        <v>2015</v>
      </c>
      <c r="B14" s="0" t="n">
        <v>0.006786179</v>
      </c>
      <c r="C14" s="142" t="n">
        <v>5.514727E-007</v>
      </c>
      <c r="D14" s="0" t="n">
        <v>80.17126</v>
      </c>
      <c r="E14" s="0" t="n">
        <v>6.545687</v>
      </c>
      <c r="F14" s="0" t="n">
        <v>287.0745</v>
      </c>
      <c r="G14" s="0" t="n">
        <v>280.6154</v>
      </c>
      <c r="H14" s="0" t="n">
        <f aca="false">A14</f>
        <v>2015</v>
      </c>
      <c r="I14" s="0" t="n">
        <f aca="false">IF((H14=H13),I13+1,1)</f>
        <v>2</v>
      </c>
      <c r="J14" s="0" t="n">
        <f aca="false">G14-273.16</f>
        <v>7.4554</v>
      </c>
      <c r="K14" s="0" t="n">
        <f aca="false">F14-273.16</f>
        <v>13.9145</v>
      </c>
      <c r="L14" s="0" t="n">
        <f aca="false">MIN(0.263*B14*1013.25*100/EXP(17.67*(F14-273.16)/(F14-29.65)),100)</f>
        <v>69.5821468817767</v>
      </c>
      <c r="M14" s="0" t="n">
        <f aca="false">MIN(0.263*B14*1013.25*100/EXP(17.67*(G14-273.16)/(G14-29.65)),100)</f>
        <v>100</v>
      </c>
      <c r="N14" s="0" t="n">
        <f aca="false">(198.58*(1/(2/15*ACOS(-TAN(3.1416/180*$M$6)*TAN(3.1416/180*23.45*SIN((2*3.1416/365*(I14+284)))))/3.1416*180))^2+5.0551/(2/15*ACOS(-TAN(3.1416/180*$M$6)*TAN(3.1416/180*23.45*SIN((2*3.1416/365*(I14+284)))))/3.1416*180)+1.49)*D14*2.02</f>
        <v>788.175115847902</v>
      </c>
      <c r="O14" s="0" t="n">
        <f aca="false">C14*3600*24</f>
        <v>0.04764724128</v>
      </c>
      <c r="P14" s="0" t="n">
        <f aca="false">E14</f>
        <v>6.545687</v>
      </c>
      <c r="R14" s="0" t="n">
        <v>2</v>
      </c>
      <c r="S14" s="0" t="n">
        <v>46.625</v>
      </c>
      <c r="T14" s="0" t="n">
        <v>2.625</v>
      </c>
      <c r="U14" s="142" t="n">
        <v>8.984021E-007</v>
      </c>
      <c r="V14" s="0" t="n">
        <v>2015</v>
      </c>
      <c r="AS14" s="142"/>
    </row>
    <row r="15" customFormat="false" ht="15.75" hidden="false" customHeight="false" outlineLevel="0" collapsed="false">
      <c r="A15" s="0" t="n">
        <v>2015</v>
      </c>
      <c r="B15" s="0" t="n">
        <v>0.006794245</v>
      </c>
      <c r="C15" s="142" t="n">
        <v>0</v>
      </c>
      <c r="D15" s="0" t="n">
        <v>76.82826</v>
      </c>
      <c r="E15" s="0" t="n">
        <v>5.420711</v>
      </c>
      <c r="F15" s="0" t="n">
        <v>286.5461</v>
      </c>
      <c r="G15" s="0" t="n">
        <v>280.8607</v>
      </c>
      <c r="H15" s="0" t="n">
        <f aca="false">A15</f>
        <v>2015</v>
      </c>
      <c r="I15" s="0" t="n">
        <f aca="false">IF((H15=H14),I14+1,1)</f>
        <v>3</v>
      </c>
      <c r="J15" s="0" t="n">
        <f aca="false">G15-273.16</f>
        <v>7.70069999999998</v>
      </c>
      <c r="K15" s="0" t="n">
        <f aca="false">F15-273.16</f>
        <v>13.3861</v>
      </c>
      <c r="L15" s="0" t="n">
        <f aca="false">MIN(0.263*B15*1013.25*100/EXP(17.67*(F15-273.16)/(F15-29.65)),100)</f>
        <v>72.1015931165649</v>
      </c>
      <c r="M15" s="0" t="n">
        <f aca="false">MIN(0.263*B15*1013.25*100/EXP(17.67*(G15-273.16)/(G15-29.65)),100)</f>
        <v>100</v>
      </c>
      <c r="N15" s="0" t="n">
        <f aca="false">(198.58*(1/(2/15*ACOS(-TAN(3.1416/180*$M$6)*TAN(3.1416/180*23.45*SIN((2*3.1416/365*(I15+284)))))/3.1416*180))^2+5.0551/(2/15*ACOS(-TAN(3.1416/180*$M$6)*TAN(3.1416/180*23.45*SIN((2*3.1416/365*(I15+284)))))/3.1416*180)+1.49)*D15*2.02</f>
        <v>753.468729878651</v>
      </c>
      <c r="O15" s="0" t="n">
        <f aca="false">C15*3600*24</f>
        <v>0</v>
      </c>
      <c r="P15" s="0" t="n">
        <f aca="false">E15</f>
        <v>5.420711</v>
      </c>
      <c r="R15" s="0" t="n">
        <v>3</v>
      </c>
      <c r="S15" s="0" t="n">
        <v>46.625</v>
      </c>
      <c r="T15" s="0" t="n">
        <v>2.625</v>
      </c>
      <c r="U15" s="0" t="n">
        <v>85.08199</v>
      </c>
      <c r="V15" s="0" t="n">
        <v>2015</v>
      </c>
    </row>
    <row r="16" customFormat="false" ht="15.75" hidden="false" customHeight="false" outlineLevel="0" collapsed="false">
      <c r="A16" s="0" t="n">
        <v>2015</v>
      </c>
      <c r="B16" s="0" t="n">
        <v>0.006658118</v>
      </c>
      <c r="C16" s="142" t="n">
        <v>5.919169E-005</v>
      </c>
      <c r="D16" s="0" t="n">
        <v>66.26374</v>
      </c>
      <c r="E16" s="0" t="n">
        <v>1.915241</v>
      </c>
      <c r="F16" s="0" t="n">
        <v>283.9147</v>
      </c>
      <c r="G16" s="0" t="n">
        <v>278.6299</v>
      </c>
      <c r="H16" s="0" t="n">
        <f aca="false">A16</f>
        <v>2015</v>
      </c>
      <c r="I16" s="0" t="n">
        <f aca="false">IF((H16=H15),I15+1,1)</f>
        <v>4</v>
      </c>
      <c r="J16" s="0" t="n">
        <f aca="false">G16-273.16</f>
        <v>5.4699</v>
      </c>
      <c r="K16" s="0" t="n">
        <f aca="false">F16-273.16</f>
        <v>10.7547</v>
      </c>
      <c r="L16" s="0" t="n">
        <f aca="false">MIN(0.263*B16*1013.25*100/EXP(17.67*(F16-273.16)/(F16-29.65)),100)</f>
        <v>84.0301961491978</v>
      </c>
      <c r="M16" s="0" t="n">
        <f aca="false">MIN(0.263*B16*1013.25*100/EXP(17.67*(G16-273.16)/(G16-29.65)),100)</f>
        <v>100</v>
      </c>
      <c r="N16" s="0" t="n">
        <f aca="false">(198.58*(1/(2/15*ACOS(-TAN(3.1416/180*$M$6)*TAN(3.1416/180*23.45*SIN((2*3.1416/365*(I16+284)))))/3.1416*180))^2+5.0551/(2/15*ACOS(-TAN(3.1416/180*$M$6)*TAN(3.1416/180*23.45*SIN((2*3.1416/365*(I16+284)))))/3.1416*180)+1.49)*D16*2.02</f>
        <v>648.164598338496</v>
      </c>
      <c r="O16" s="0" t="n">
        <f aca="false">C16*3600*24</f>
        <v>5.114162016</v>
      </c>
      <c r="P16" s="0" t="n">
        <f aca="false">E16</f>
        <v>1.915241</v>
      </c>
      <c r="R16" s="0" t="n">
        <v>4</v>
      </c>
      <c r="S16" s="0" t="n">
        <v>46.625</v>
      </c>
      <c r="T16" s="0" t="n">
        <v>2.625</v>
      </c>
      <c r="U16" s="0" t="n">
        <v>6.320948</v>
      </c>
      <c r="V16" s="0" t="n">
        <v>2015</v>
      </c>
    </row>
    <row r="17" customFormat="false" ht="15.75" hidden="false" customHeight="false" outlineLevel="0" collapsed="false">
      <c r="A17" s="0" t="n">
        <v>2015</v>
      </c>
      <c r="B17" s="0" t="n">
        <v>0.003852138</v>
      </c>
      <c r="C17" s="142" t="n">
        <v>3.798072E-005</v>
      </c>
      <c r="D17" s="0" t="n">
        <v>82.17582</v>
      </c>
      <c r="E17" s="0" t="n">
        <v>4.329463</v>
      </c>
      <c r="F17" s="0" t="n">
        <v>278.8409</v>
      </c>
      <c r="G17" s="0" t="n">
        <v>270.8051</v>
      </c>
      <c r="H17" s="0" t="n">
        <f aca="false">A17</f>
        <v>2015</v>
      </c>
      <c r="I17" s="0" t="n">
        <f aca="false">IF((H17=H16),I16+1,1)</f>
        <v>5</v>
      </c>
      <c r="J17" s="0" t="n">
        <f aca="false">G17-273.16</f>
        <v>-2.35490000000004</v>
      </c>
      <c r="K17" s="0" t="n">
        <f aca="false">F17-273.16</f>
        <v>5.68089999999995</v>
      </c>
      <c r="L17" s="0" t="n">
        <f aca="false">MIN(0.263*B17*1013.25*100/EXP(17.67*(F17-273.16)/(F17-29.65)),100)</f>
        <v>68.6163273486823</v>
      </c>
      <c r="M17" s="0" t="n">
        <f aca="false">MIN(0.263*B17*1013.25*100/EXP(17.67*(G17-273.16)/(G17-29.65)),100)</f>
        <v>100</v>
      </c>
      <c r="N17" s="0" t="n">
        <f aca="false">(198.58*(1/(2/15*ACOS(-TAN(3.1416/180*$M$6)*TAN(3.1416/180*23.45*SIN((2*3.1416/365*(I17+284)))))/3.1416*180))^2+5.0551/(2/15*ACOS(-TAN(3.1416/180*$M$6)*TAN(3.1416/180*23.45*SIN((2*3.1416/365*(I17+284)))))/3.1416*180)+1.49)*D17*2.02</f>
        <v>801.576802310462</v>
      </c>
      <c r="O17" s="0" t="n">
        <f aca="false">C17*3600*24</f>
        <v>3.281534208</v>
      </c>
      <c r="P17" s="0" t="n">
        <f aca="false">E17</f>
        <v>4.329463</v>
      </c>
      <c r="R17" s="0" t="n">
        <v>5</v>
      </c>
      <c r="S17" s="0" t="n">
        <v>46.625</v>
      </c>
      <c r="T17" s="0" t="n">
        <v>2.625</v>
      </c>
      <c r="U17" s="0" t="n">
        <v>287.1108</v>
      </c>
      <c r="V17" s="0" t="n">
        <v>2015</v>
      </c>
    </row>
    <row r="18" customFormat="false" ht="15.75" hidden="false" customHeight="false" outlineLevel="0" collapsed="false">
      <c r="A18" s="0" t="n">
        <v>2015</v>
      </c>
      <c r="B18" s="0" t="n">
        <v>0.002798951</v>
      </c>
      <c r="C18" s="142" t="n">
        <v>4.719056E-005</v>
      </c>
      <c r="D18" s="0" t="n">
        <v>78.49839</v>
      </c>
      <c r="E18" s="0" t="n">
        <v>2.114558</v>
      </c>
      <c r="F18" s="0" t="n">
        <v>272.8139</v>
      </c>
      <c r="G18" s="0" t="n">
        <v>267.8139</v>
      </c>
      <c r="H18" s="0" t="n">
        <f aca="false">A18</f>
        <v>2015</v>
      </c>
      <c r="I18" s="0" t="n">
        <f aca="false">IF((H18=H17),I17+1,1)</f>
        <v>6</v>
      </c>
      <c r="J18" s="0" t="n">
        <f aca="false">G18-273.16</f>
        <v>-5.34610000000004</v>
      </c>
      <c r="K18" s="0" t="n">
        <f aca="false">F18-273.16</f>
        <v>-0.346100000000035</v>
      </c>
      <c r="L18" s="0" t="n">
        <f aca="false">MIN(0.263*B18*1013.25*100/EXP(17.67*(F18-273.16)/(F18-29.65)),100)</f>
        <v>76.4874512305469</v>
      </c>
      <c r="M18" s="0" t="n">
        <f aca="false">MIN(0.263*B18*1013.25*100/EXP(17.67*(G18-273.16)/(G18-29.65)),100)</f>
        <v>100</v>
      </c>
      <c r="N18" s="0" t="n">
        <f aca="false">(198.58*(1/(2/15*ACOS(-TAN(3.1416/180*$M$6)*TAN(3.1416/180*23.45*SIN((2*3.1416/365*(I18+284)))))/3.1416*180))^2+5.0551/(2/15*ACOS(-TAN(3.1416/180*$M$6)*TAN(3.1416/180*23.45*SIN((2*3.1416/365*(I18+284)))))/3.1416*180)+1.49)*D18*2.02</f>
        <v>763.452404231195</v>
      </c>
      <c r="O18" s="0" t="n">
        <f aca="false">C18*3600*24</f>
        <v>4.077264384</v>
      </c>
      <c r="P18" s="0" t="n">
        <f aca="false">E18</f>
        <v>2.114558</v>
      </c>
      <c r="R18" s="0" t="n">
        <v>6</v>
      </c>
      <c r="S18" s="0" t="n">
        <v>46.625</v>
      </c>
      <c r="T18" s="0" t="n">
        <v>2.625</v>
      </c>
      <c r="U18" s="0" t="n">
        <v>280.7828</v>
      </c>
      <c r="V18" s="0" t="n">
        <v>2015</v>
      </c>
      <c r="AS18" s="142"/>
    </row>
    <row r="19" customFormat="false" ht="15.75" hidden="false" customHeight="false" outlineLevel="0" collapsed="false">
      <c r="A19" s="0" t="n">
        <v>2015</v>
      </c>
      <c r="B19" s="0" t="n">
        <v>0.003352317</v>
      </c>
      <c r="C19" s="142" t="n">
        <v>2.768105E-005</v>
      </c>
      <c r="D19" s="0" t="n">
        <v>74.74227</v>
      </c>
      <c r="E19" s="0" t="n">
        <v>5.823877</v>
      </c>
      <c r="F19" s="0" t="n">
        <v>270.5292</v>
      </c>
      <c r="G19" s="0" t="n">
        <v>266.9543</v>
      </c>
      <c r="H19" s="0" t="n">
        <f aca="false">A19</f>
        <v>2015</v>
      </c>
      <c r="I19" s="0" t="n">
        <f aca="false">IF((H19=H18),I18+1,1)</f>
        <v>7</v>
      </c>
      <c r="J19" s="0" t="n">
        <f aca="false">G19-273.16</f>
        <v>-6.20570000000004</v>
      </c>
      <c r="K19" s="0" t="n">
        <f aca="false">F19-273.16</f>
        <v>-2.63080000000002</v>
      </c>
      <c r="L19" s="0" t="n">
        <f aca="false">MIN(0.263*B19*1013.25*100/EXP(17.67*(F19-273.16)/(F19-29.65)),100)</f>
        <v>100</v>
      </c>
      <c r="M19" s="0" t="n">
        <f aca="false">MIN(0.263*B19*1013.25*100/EXP(17.67*(G19-273.16)/(G19-29.65)),100)</f>
        <v>100</v>
      </c>
      <c r="N19" s="0" t="n">
        <f aca="false">(198.58*(1/(2/15*ACOS(-TAN(3.1416/180*$M$6)*TAN(3.1416/180*23.45*SIN((2*3.1416/365*(I19+284)))))/3.1416*180))^2+5.0551/(2/15*ACOS(-TAN(3.1416/180*$M$6)*TAN(3.1416/180*23.45*SIN((2*3.1416/365*(I19+284)))))/3.1416*180)+1.49)*D19*2.02</f>
        <v>724.66599893689</v>
      </c>
      <c r="O19" s="0" t="n">
        <f aca="false">C19*3600*24</f>
        <v>2.39164272</v>
      </c>
      <c r="P19" s="0" t="n">
        <f aca="false">E19</f>
        <v>5.823877</v>
      </c>
      <c r="R19" s="373" t="n">
        <v>1</v>
      </c>
      <c r="S19" s="0" t="n">
        <v>46.625</v>
      </c>
      <c r="T19" s="0" t="n">
        <v>2.625</v>
      </c>
      <c r="U19" s="0" t="n">
        <v>0.006786179</v>
      </c>
      <c r="V19" s="0" t="n">
        <v>2015</v>
      </c>
      <c r="W19" s="0" t="n">
        <f aca="false">V19</f>
        <v>2015</v>
      </c>
      <c r="X19" s="0" t="n">
        <f aca="false">U19</f>
        <v>0.006786179</v>
      </c>
      <c r="Y19" s="142" t="n">
        <f aca="false">U20</f>
        <v>5.514727E-007</v>
      </c>
      <c r="Z19" s="0" t="n">
        <f aca="false">U21</f>
        <v>80.17126</v>
      </c>
      <c r="AA19" s="0" t="n">
        <f aca="false">U22</f>
        <v>6.545687</v>
      </c>
      <c r="AB19" s="0" t="n">
        <f aca="false">U23</f>
        <v>287.0745</v>
      </c>
      <c r="AC19" s="0" t="e">
        <f aca="false">#REF!</f>
        <v>#REF!</v>
      </c>
      <c r="AS19" s="142"/>
    </row>
    <row r="20" customFormat="false" ht="15.75" hidden="false" customHeight="false" outlineLevel="0" collapsed="false">
      <c r="A20" s="0" t="n">
        <v>2015</v>
      </c>
      <c r="B20" s="0" t="n">
        <v>0.003131243</v>
      </c>
      <c r="C20" s="142" t="n">
        <v>0</v>
      </c>
      <c r="D20" s="0" t="n">
        <v>87.08555</v>
      </c>
      <c r="E20" s="0" t="n">
        <v>1.115184</v>
      </c>
      <c r="F20" s="0" t="n">
        <v>271.6038</v>
      </c>
      <c r="G20" s="0" t="n">
        <v>268.049</v>
      </c>
      <c r="H20" s="0" t="n">
        <f aca="false">A20</f>
        <v>2015</v>
      </c>
      <c r="I20" s="0" t="n">
        <f aca="false">IF((H20=H19),I19+1,1)</f>
        <v>8</v>
      </c>
      <c r="J20" s="0" t="n">
        <f aca="false">G20-273.16</f>
        <v>-5.11100000000005</v>
      </c>
      <c r="K20" s="0" t="n">
        <f aca="false">F20-273.16</f>
        <v>-1.55620000000005</v>
      </c>
      <c r="L20" s="0" t="n">
        <f aca="false">MIN(0.263*B20*1013.25*100/EXP(17.67*(F20-273.16)/(F20-29.65)),100)</f>
        <v>93.4860282984233</v>
      </c>
      <c r="M20" s="0" t="n">
        <f aca="false">MIN(0.263*B20*1013.25*100/EXP(17.67*(G20-273.16)/(G20-29.65)),100)</f>
        <v>100</v>
      </c>
      <c r="N20" s="0" t="n">
        <f aca="false">(198.58*(1/(2/15*ACOS(-TAN(3.1416/180*$M$6)*TAN(3.1416/180*23.45*SIN((2*3.1416/365*(I20+284)))))/3.1416*180))^2+5.0551/(2/15*ACOS(-TAN(3.1416/180*$M$6)*TAN(3.1416/180*23.45*SIN((2*3.1416/365*(I20+284)))))/3.1416*180)+1.49)*D20*2.02</f>
        <v>841.589448424476</v>
      </c>
      <c r="O20" s="0" t="n">
        <f aca="false">C20*3600*24</f>
        <v>0</v>
      </c>
      <c r="P20" s="0" t="n">
        <f aca="false">E20</f>
        <v>1.115184</v>
      </c>
      <c r="R20" s="0" t="n">
        <v>2</v>
      </c>
      <c r="S20" s="0" t="n">
        <v>46.625</v>
      </c>
      <c r="T20" s="0" t="n">
        <v>2.625</v>
      </c>
      <c r="U20" s="142" t="n">
        <v>5.514727E-007</v>
      </c>
      <c r="V20" s="0" t="n">
        <v>2015</v>
      </c>
    </row>
    <row r="21" customFormat="false" ht="15.75" hidden="false" customHeight="false" outlineLevel="0" collapsed="false">
      <c r="A21" s="0" t="n">
        <v>2015</v>
      </c>
      <c r="B21" s="0" t="n">
        <v>0.003278734</v>
      </c>
      <c r="C21" s="142" t="n">
        <v>3.060036E-005</v>
      </c>
      <c r="D21" s="0" t="n">
        <v>65.75753</v>
      </c>
      <c r="E21" s="0" t="n">
        <v>3.734711</v>
      </c>
      <c r="F21" s="0" t="n">
        <v>275.0208</v>
      </c>
      <c r="G21" s="0" t="n">
        <v>269.7084</v>
      </c>
      <c r="H21" s="0" t="n">
        <f aca="false">A21</f>
        <v>2015</v>
      </c>
      <c r="I21" s="0" t="n">
        <f aca="false">IF((H21=H20),I20+1,1)</f>
        <v>9</v>
      </c>
      <c r="J21" s="0" t="n">
        <f aca="false">G21-273.16</f>
        <v>-3.45160000000004</v>
      </c>
      <c r="K21" s="0" t="n">
        <f aca="false">F21-273.16</f>
        <v>1.86079999999998</v>
      </c>
      <c r="L21" s="0" t="n">
        <f aca="false">MIN(0.263*B21*1013.25*100/EXP(17.67*(F21-273.16)/(F21-29.65)),100)</f>
        <v>76.4155839539951</v>
      </c>
      <c r="M21" s="0" t="n">
        <f aca="false">MIN(0.263*B21*1013.25*100/EXP(17.67*(G21-273.16)/(G21-29.65)),100)</f>
        <v>100</v>
      </c>
      <c r="N21" s="0" t="n">
        <f aca="false">(198.58*(1/(2/15*ACOS(-TAN(3.1416/180*$M$6)*TAN(3.1416/180*23.45*SIN((2*3.1416/365*(I21+284)))))/3.1416*180))^2+5.0551/(2/15*ACOS(-TAN(3.1416/180*$M$6)*TAN(3.1416/180*23.45*SIN((2*3.1416/365*(I21+284)))))/3.1416*180)+1.49)*D21*2.02</f>
        <v>633.310162123365</v>
      </c>
      <c r="O21" s="0" t="n">
        <f aca="false">C21*3600*24</f>
        <v>2.643871104</v>
      </c>
      <c r="P21" s="0" t="n">
        <f aca="false">E21</f>
        <v>3.734711</v>
      </c>
      <c r="R21" s="0" t="n">
        <v>3</v>
      </c>
      <c r="S21" s="0" t="n">
        <v>46.625</v>
      </c>
      <c r="T21" s="0" t="n">
        <v>2.625</v>
      </c>
      <c r="U21" s="0" t="n">
        <v>80.17126</v>
      </c>
      <c r="V21" s="0" t="n">
        <v>2015</v>
      </c>
      <c r="AS21" s="142"/>
    </row>
    <row r="22" customFormat="false" ht="15.75" hidden="false" customHeight="false" outlineLevel="0" collapsed="false">
      <c r="A22" s="0" t="n">
        <v>2015</v>
      </c>
      <c r="B22" s="0" t="n">
        <v>0.004970248</v>
      </c>
      <c r="C22" s="142" t="n">
        <v>1.382052E-005</v>
      </c>
      <c r="D22" s="0" t="n">
        <v>51.7546</v>
      </c>
      <c r="E22" s="0" t="n">
        <v>1.675589</v>
      </c>
      <c r="F22" s="0" t="n">
        <v>277.4575</v>
      </c>
      <c r="G22" s="0" t="n">
        <v>273.2437</v>
      </c>
      <c r="H22" s="0" t="n">
        <f aca="false">A22</f>
        <v>2015</v>
      </c>
      <c r="I22" s="0" t="n">
        <f aca="false">IF((H22=H21),I21+1,1)</f>
        <v>10</v>
      </c>
      <c r="J22" s="0" t="n">
        <f aca="false">G22-273.16</f>
        <v>0.0836999999999648</v>
      </c>
      <c r="K22" s="0" t="n">
        <f aca="false">F22-273.16</f>
        <v>4.29749999999996</v>
      </c>
      <c r="L22" s="0" t="n">
        <f aca="false">MIN(0.263*B22*1013.25*100/EXP(17.67*(F22-273.16)/(F22-29.65)),100)</f>
        <v>97.4916693086406</v>
      </c>
      <c r="M22" s="0" t="n">
        <f aca="false">MIN(0.263*B22*1013.25*100/EXP(17.67*(G22-273.16)/(G22-29.65)),100)</f>
        <v>100</v>
      </c>
      <c r="N22" s="0" t="n">
        <f aca="false">(198.58*(1/(2/15*ACOS(-TAN(3.1416/180*$M$6)*TAN(3.1416/180*23.45*SIN((2*3.1416/365*(I22+284)))))/3.1416*180))^2+5.0551/(2/15*ACOS(-TAN(3.1416/180*$M$6)*TAN(3.1416/180*23.45*SIN((2*3.1416/365*(I22+284)))))/3.1416*180)+1.49)*D22*2.02</f>
        <v>496.675758698999</v>
      </c>
      <c r="O22" s="0" t="n">
        <f aca="false">C22*3600*24</f>
        <v>1.194092928</v>
      </c>
      <c r="P22" s="0" t="n">
        <f aca="false">E22</f>
        <v>1.675589</v>
      </c>
      <c r="R22" s="0" t="n">
        <v>4</v>
      </c>
      <c r="S22" s="0" t="n">
        <v>46.625</v>
      </c>
      <c r="T22" s="0" t="n">
        <v>2.625</v>
      </c>
      <c r="U22" s="0" t="n">
        <v>6.545687</v>
      </c>
      <c r="V22" s="0" t="n">
        <v>2015</v>
      </c>
    </row>
    <row r="23" customFormat="false" ht="15.75" hidden="false" customHeight="false" outlineLevel="0" collapsed="false">
      <c r="A23" s="0" t="n">
        <v>2015</v>
      </c>
      <c r="B23" s="0" t="n">
        <v>0.004788606</v>
      </c>
      <c r="C23" s="142" t="n">
        <v>2.420637E-006</v>
      </c>
      <c r="D23" s="0" t="n">
        <v>79.24886</v>
      </c>
      <c r="E23" s="0" t="n">
        <v>1.525927</v>
      </c>
      <c r="F23" s="0" t="n">
        <v>279.4218</v>
      </c>
      <c r="G23" s="0" t="n">
        <v>273.3203</v>
      </c>
      <c r="H23" s="0" t="n">
        <f aca="false">A23</f>
        <v>2015</v>
      </c>
      <c r="I23" s="0" t="n">
        <f aca="false">IF((H23=H22),I22+1,1)</f>
        <v>11</v>
      </c>
      <c r="J23" s="0" t="n">
        <f aca="false">G23-273.16</f>
        <v>0.16029999999995</v>
      </c>
      <c r="K23" s="0" t="n">
        <f aca="false">F23-273.16</f>
        <v>6.26179999999999</v>
      </c>
      <c r="L23" s="0" t="n">
        <f aca="false">MIN(0.263*B23*1013.25*100/EXP(17.67*(F23-273.16)/(F23-29.65)),100)</f>
        <v>81.9396407674253</v>
      </c>
      <c r="M23" s="0" t="n">
        <f aca="false">MIN(0.263*B23*1013.25*100/EXP(17.67*(G23-273.16)/(G23-29.65)),100)</f>
        <v>100</v>
      </c>
      <c r="N23" s="0" t="n">
        <f aca="false">(198.58*(1/(2/15*ACOS(-TAN(3.1416/180*$M$6)*TAN(3.1416/180*23.45*SIN((2*3.1416/365*(I23+284)))))/3.1416*180))^2+5.0551/(2/15*ACOS(-TAN(3.1416/180*$M$6)*TAN(3.1416/180*23.45*SIN((2*3.1416/365*(I23+284)))))/3.1416*180)+1.49)*D23*2.02</f>
        <v>757.719463411395</v>
      </c>
      <c r="O23" s="0" t="n">
        <f aca="false">C23*3600*24</f>
        <v>0.2091430368</v>
      </c>
      <c r="P23" s="0" t="n">
        <f aca="false">E23</f>
        <v>1.525927</v>
      </c>
      <c r="R23" s="0" t="n">
        <v>5</v>
      </c>
      <c r="S23" s="0" t="n">
        <v>46.625</v>
      </c>
      <c r="T23" s="0" t="n">
        <v>2.625</v>
      </c>
      <c r="U23" s="0" t="n">
        <v>287.0745</v>
      </c>
      <c r="V23" s="0" t="n">
        <v>2015</v>
      </c>
      <c r="AS23" s="142"/>
    </row>
  </sheetData>
  <autoFilter ref="R12:AC23"/>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Z1367"/>
  <sheetViews>
    <sheetView showFormulas="false" showGridLines="true" showRowColHeaders="true" showZeros="true" rightToLeft="false" tabSelected="false" showOutlineSymbols="true" defaultGridColor="true" view="normal" topLeftCell="A237" colorId="64" zoomScale="100" zoomScaleNormal="100" zoomScalePageLayoutView="100" workbookViewId="0">
      <selection pane="topLeft" activeCell="J17" activeCellId="0" sqref="J17"/>
    </sheetView>
  </sheetViews>
  <sheetFormatPr defaultColWidth="10.5" defaultRowHeight="15.75" zeroHeight="false" outlineLevelRow="0" outlineLevelCol="0"/>
  <cols>
    <col collapsed="false" customWidth="true" hidden="false" outlineLevel="0" max="3" min="3" style="0" width="10"/>
    <col collapsed="false" customWidth="true" hidden="false" outlineLevel="0" max="15" min="14" style="130" width="10.83"/>
  </cols>
  <sheetData>
    <row r="1" customFormat="false" ht="21" hidden="false" customHeight="false" outlineLevel="0" collapsed="false">
      <c r="A1" s="506" t="s">
        <v>1996</v>
      </c>
      <c r="B1" s="504" t="s">
        <v>1758</v>
      </c>
      <c r="C1" s="504" t="s">
        <v>381</v>
      </c>
      <c r="D1" s="505" t="s">
        <v>1772</v>
      </c>
      <c r="E1" s="505" t="s">
        <v>1773</v>
      </c>
      <c r="F1" s="464" t="s">
        <v>1997</v>
      </c>
      <c r="G1" s="464" t="s">
        <v>1998</v>
      </c>
      <c r="H1" s="464" t="s">
        <v>1763</v>
      </c>
      <c r="I1" s="505" t="s">
        <v>501</v>
      </c>
      <c r="K1" s="561" t="s">
        <v>1805</v>
      </c>
      <c r="L1" s="561" t="n">
        <v>45.55</v>
      </c>
      <c r="M1" s="562" t="s">
        <v>1999</v>
      </c>
      <c r="R1" s="504" t="s">
        <v>1758</v>
      </c>
      <c r="S1" s="504" t="s">
        <v>431</v>
      </c>
      <c r="T1" s="505" t="s">
        <v>1772</v>
      </c>
      <c r="U1" s="505" t="s">
        <v>1773</v>
      </c>
      <c r="V1" s="505" t="s">
        <v>1774</v>
      </c>
      <c r="W1" s="505" t="s">
        <v>1775</v>
      </c>
      <c r="X1" s="505" t="s">
        <v>500</v>
      </c>
      <c r="Y1" s="505" t="s">
        <v>1763</v>
      </c>
      <c r="Z1" s="505" t="s">
        <v>501</v>
      </c>
    </row>
    <row r="2" customFormat="false" ht="15.75" hidden="false" customHeight="false" outlineLevel="0" collapsed="false">
      <c r="B2" s="0" t="n">
        <v>1950</v>
      </c>
      <c r="C2" s="424" t="n">
        <v>1</v>
      </c>
      <c r="D2" s="0" t="n">
        <v>1.24</v>
      </c>
      <c r="E2" s="0" t="n">
        <v>3.59</v>
      </c>
      <c r="F2" s="0" t="n">
        <v>88.96</v>
      </c>
      <c r="G2" s="0" t="n">
        <v>62</v>
      </c>
      <c r="H2" s="0" t="n">
        <v>0</v>
      </c>
      <c r="I2" s="0" t="n">
        <v>1</v>
      </c>
      <c r="M2" s="0" t="n">
        <f aca="false">F2/0.263*1000/1013.25/100*EXP(17.67*(D2+E2)/2/((D2+E2)/2+273.16-29.65))</f>
        <v>3.9708313877225</v>
      </c>
      <c r="R2" s="424" t="n">
        <f aca="false">B2</f>
        <v>1950</v>
      </c>
      <c r="S2" s="424" t="n">
        <f aca="false">C2</f>
        <v>1</v>
      </c>
      <c r="T2" s="424" t="n">
        <f aca="false">D2</f>
        <v>1.24</v>
      </c>
      <c r="U2" s="424" t="n">
        <f aca="false">E2</f>
        <v>3.59</v>
      </c>
      <c r="V2" s="0" t="n">
        <f aca="false">MIN(0.263*M2/1000*1013.25*100/EXP(17.67*E2/(E2+273.16-29.65)), 100)</f>
        <v>81.8581829683956</v>
      </c>
      <c r="W2" s="0" t="n">
        <f aca="false">MIN(0.263*M2/1000*1013.25*100/EXP(17.67*D2/(D2+273.16-29.65)), 100)</f>
        <v>96.7552146957227</v>
      </c>
      <c r="X2" s="0" t="n">
        <f aca="false">(198.58*(1/(2/15*ACOS(-TAN(3.1416/180*$L$1)*TAN(3.1416/180*23.45*SIN((2*3.1416/365*(C2+284)))))/3.1416*180))^2+5.0551/(2/15*ACOS(-TAN(3.1416/180*$L$1)*TAN(3.1416/180*23.45*SIN((2*3.1416/365*(C2+284)))))/3.1416*180)+1.49)*G2*2.02</f>
        <v>598.288683531306</v>
      </c>
      <c r="Y2" s="424" t="n">
        <f aca="false">H2</f>
        <v>0</v>
      </c>
      <c r="Z2" s="424" t="n">
        <f aca="false">I2</f>
        <v>1</v>
      </c>
    </row>
    <row r="3" customFormat="false" ht="15.75" hidden="false" customHeight="false" outlineLevel="0" collapsed="false">
      <c r="B3" s="0" t="n">
        <v>1950</v>
      </c>
      <c r="C3" s="424" t="n">
        <v>2</v>
      </c>
      <c r="D3" s="0" t="n">
        <v>0.7</v>
      </c>
      <c r="E3" s="0" t="n">
        <v>5.87</v>
      </c>
      <c r="F3" s="0" t="n">
        <v>88.06</v>
      </c>
      <c r="G3" s="0" t="n">
        <v>48</v>
      </c>
      <c r="H3" s="0" t="n">
        <v>0</v>
      </c>
      <c r="I3" s="0" t="n">
        <v>1</v>
      </c>
      <c r="M3" s="0" t="n">
        <f aca="false">F3/0.263*1000/1013.25/100*EXP(17.67*(D3+E3)/2/((D3+E3)/2+273.16-29.65))</f>
        <v>4.18072855357326</v>
      </c>
      <c r="R3" s="424" t="n">
        <f aca="false">B3</f>
        <v>1950</v>
      </c>
      <c r="S3" s="424" t="n">
        <f aca="false">C3</f>
        <v>2</v>
      </c>
      <c r="T3" s="424" t="n">
        <f aca="false">D3</f>
        <v>0.7</v>
      </c>
      <c r="U3" s="424" t="n">
        <f aca="false">E3</f>
        <v>5.87</v>
      </c>
      <c r="V3" s="0" t="n">
        <f aca="false">MIN(0.263*M3/1000*1013.25*100/EXP(17.67*E3/(E3+273.16-29.65)), 100)</f>
        <v>73.5006583198173</v>
      </c>
      <c r="W3" s="0" t="n">
        <f aca="false">MIN(0.263*M3/1000*1013.25*100/EXP(17.67*D3/(D3+273.16-29.65)), 100)</f>
        <v>100</v>
      </c>
      <c r="X3" s="0" t="n">
        <f aca="false">(198.58*(1/(2/15*ACOS(-TAN(3.1416/180*$L$1)*TAN(3.1416/180*23.45*SIN((2*3.1416/365*(C3+284)))))/3.1416*180))^2+5.0551/(2/15*ACOS(-TAN(3.1416/180*$L$1)*TAN(3.1416/180*23.45*SIN((2*3.1416/365*(C3+284)))))/3.1416*180)+1.49)*G3*2.02</f>
        <v>462.21831939884</v>
      </c>
      <c r="Y3" s="424" t="n">
        <f aca="false">H3</f>
        <v>0</v>
      </c>
      <c r="Z3" s="424" t="n">
        <f aca="false">I3</f>
        <v>1</v>
      </c>
    </row>
    <row r="4" customFormat="false" ht="15.75" hidden="false" customHeight="false" outlineLevel="0" collapsed="false">
      <c r="B4" s="0" t="n">
        <v>1950</v>
      </c>
      <c r="C4" s="424" t="n">
        <v>3</v>
      </c>
      <c r="D4" s="0" t="n">
        <v>-0.89</v>
      </c>
      <c r="E4" s="0" t="n">
        <v>11.809999</v>
      </c>
      <c r="F4" s="0" t="n">
        <v>94.200005</v>
      </c>
      <c r="G4" s="0" t="n">
        <v>30</v>
      </c>
      <c r="H4" s="0" t="n">
        <v>2.2</v>
      </c>
      <c r="I4" s="0" t="n">
        <v>1</v>
      </c>
      <c r="M4" s="0" t="n">
        <f aca="false">F4/0.263*1000/1013.25/100*EXP(17.67*(D4+E4)/2/((D4+E4)/2+273.16-29.65))</f>
        <v>5.20800889428802</v>
      </c>
      <c r="R4" s="424" t="n">
        <f aca="false">B4</f>
        <v>1950</v>
      </c>
      <c r="S4" s="424" t="n">
        <f aca="false">C4</f>
        <v>3</v>
      </c>
      <c r="T4" s="424" t="n">
        <f aca="false">D4</f>
        <v>-0.89</v>
      </c>
      <c r="U4" s="424" t="n">
        <f aca="false">E4</f>
        <v>11.809999</v>
      </c>
      <c r="V4" s="0" t="n">
        <f aca="false">MIN(0.263*M4/1000*1013.25*100/EXP(17.67*E4/(E4+273.16-29.65)), 100)</f>
        <v>61.2884712255353</v>
      </c>
      <c r="W4" s="0" t="n">
        <f aca="false">MIN(0.263*M4/1000*1013.25*100/EXP(17.67*D4/(D4+273.16-29.65)), 100)</f>
        <v>100</v>
      </c>
      <c r="X4" s="0" t="n">
        <f aca="false">(198.58*(1/(2/15*ACOS(-TAN(3.1416/180*$L$1)*TAN(3.1416/180*23.45*SIN((2*3.1416/365*(C4+284)))))/3.1416*180))^2+5.0551/(2/15*ACOS(-TAN(3.1416/180*$L$1)*TAN(3.1416/180*23.45*SIN((2*3.1416/365*(C4+284)))))/3.1416*180)+1.49)*G4*2.02</f>
        <v>288.232189117541</v>
      </c>
      <c r="Y4" s="424" t="n">
        <f aca="false">H4</f>
        <v>2.2</v>
      </c>
      <c r="Z4" s="424" t="n">
        <f aca="false">I4</f>
        <v>1</v>
      </c>
    </row>
    <row r="5" customFormat="false" ht="15.75" hidden="false" customHeight="false" outlineLevel="0" collapsed="false">
      <c r="B5" s="0" t="n">
        <v>1950</v>
      </c>
      <c r="C5" s="424" t="n">
        <v>4</v>
      </c>
      <c r="D5" s="0" t="n">
        <v>7.33</v>
      </c>
      <c r="E5" s="0" t="n">
        <v>10.429999</v>
      </c>
      <c r="F5" s="0" t="n">
        <v>91.850006</v>
      </c>
      <c r="G5" s="0" t="n">
        <v>32</v>
      </c>
      <c r="H5" s="0" t="n">
        <v>0</v>
      </c>
      <c r="I5" s="0" t="n">
        <v>1</v>
      </c>
      <c r="M5" s="0" t="n">
        <f aca="false">F5/0.263*1000/1013.25/100*EXP(17.67*(D5+E5)/2/((D5+E5)/2+273.16-29.65))</f>
        <v>6.41808581342724</v>
      </c>
      <c r="R5" s="424" t="n">
        <f aca="false">B5</f>
        <v>1950</v>
      </c>
      <c r="S5" s="424" t="n">
        <f aca="false">C5</f>
        <v>4</v>
      </c>
      <c r="T5" s="424" t="n">
        <f aca="false">D5</f>
        <v>7.33</v>
      </c>
      <c r="U5" s="424" t="n">
        <f aca="false">E5</f>
        <v>10.429999</v>
      </c>
      <c r="V5" s="0" t="n">
        <f aca="false">MIN(0.263*M5/1000*1013.25*100/EXP(17.67*E5/(E5+273.16-29.65)), 100)</f>
        <v>82.7726255010769</v>
      </c>
      <c r="W5" s="0" t="n">
        <f aca="false">MIN(0.263*M5/1000*1013.25*100/EXP(17.67*D5/(D5+273.16-29.65)), 100)</f>
        <v>100</v>
      </c>
      <c r="X5" s="0" t="n">
        <f aca="false">(198.58*(1/(2/15*ACOS(-TAN(3.1416/180*$L$1)*TAN(3.1416/180*23.45*SIN((2*3.1416/365*(C5+284)))))/3.1416*180))^2+5.0551/(2/15*ACOS(-TAN(3.1416/180*$L$1)*TAN(3.1416/180*23.45*SIN((2*3.1416/365*(C5+284)))))/3.1416*180)+1.49)*G5*2.02</f>
        <v>306.701884174899</v>
      </c>
      <c r="Y5" s="424" t="n">
        <f aca="false">H5</f>
        <v>0</v>
      </c>
      <c r="Z5" s="424" t="n">
        <f aca="false">I5</f>
        <v>1</v>
      </c>
    </row>
    <row r="6" customFormat="false" ht="15.75" hidden="false" customHeight="false" outlineLevel="0" collapsed="false">
      <c r="B6" s="0" t="n">
        <v>1950</v>
      </c>
      <c r="C6" s="424" t="n">
        <v>5</v>
      </c>
      <c r="D6" s="0" t="n">
        <v>7.49</v>
      </c>
      <c r="E6" s="0" t="n">
        <v>10.559999</v>
      </c>
      <c r="F6" s="0" t="n">
        <v>93.61667</v>
      </c>
      <c r="G6" s="0" t="n">
        <v>51</v>
      </c>
      <c r="H6" s="0" t="n">
        <v>3.4</v>
      </c>
      <c r="I6" s="0" t="n">
        <v>1</v>
      </c>
      <c r="M6" s="0" t="n">
        <f aca="false">F6/0.263*1000/1013.25/100*EXP(17.67*(D6+E6)/2/((D6+E6)/2+273.16-29.65))</f>
        <v>6.60588065860162</v>
      </c>
      <c r="R6" s="424" t="n">
        <f aca="false">B6</f>
        <v>1950</v>
      </c>
      <c r="S6" s="424" t="n">
        <f aca="false">C6</f>
        <v>5</v>
      </c>
      <c r="T6" s="424" t="n">
        <f aca="false">D6</f>
        <v>7.49</v>
      </c>
      <c r="U6" s="424" t="n">
        <f aca="false">E6</f>
        <v>10.559999</v>
      </c>
      <c r="V6" s="0" t="n">
        <f aca="false">MIN(0.263*M6/1000*1013.25*100/EXP(17.67*E6/(E6+273.16-29.65)), 100)</f>
        <v>84.4591412846541</v>
      </c>
      <c r="W6" s="0" t="n">
        <f aca="false">MIN(0.263*M6/1000*1013.25*100/EXP(17.67*D6/(D6+273.16-29.65)), 100)</f>
        <v>100</v>
      </c>
      <c r="X6" s="0" t="n">
        <f aca="false">(198.58*(1/(2/15*ACOS(-TAN(3.1416/180*$L$1)*TAN(3.1416/180*23.45*SIN((2*3.1416/365*(C6+284)))))/3.1416*180))^2+5.0551/(2/15*ACOS(-TAN(3.1416/180*$L$1)*TAN(3.1416/180*23.45*SIN((2*3.1416/365*(C6+284)))))/3.1416*180)+1.49)*G6*2.02</f>
        <v>487.543463134992</v>
      </c>
      <c r="Y6" s="424" t="n">
        <f aca="false">H6</f>
        <v>3.4</v>
      </c>
      <c r="Z6" s="424" t="n">
        <f aca="false">I6</f>
        <v>1</v>
      </c>
    </row>
    <row r="7" customFormat="false" ht="15.75" hidden="false" customHeight="false" outlineLevel="0" collapsed="false">
      <c r="B7" s="0" t="n">
        <v>1950</v>
      </c>
      <c r="C7" s="424" t="n">
        <v>6</v>
      </c>
      <c r="D7" s="0" t="n">
        <v>6.27</v>
      </c>
      <c r="E7" s="0" t="n">
        <v>13.2</v>
      </c>
      <c r="F7" s="0" t="n">
        <v>92.71177</v>
      </c>
      <c r="G7" s="0" t="n">
        <v>46</v>
      </c>
      <c r="H7" s="0" t="n">
        <v>0</v>
      </c>
      <c r="I7" s="0" t="n">
        <v>1</v>
      </c>
      <c r="M7" s="0" t="n">
        <f aca="false">F7/0.263*1000/1013.25/100*EXP(17.67*(D7+E7)/2/((D7+E7)/2+273.16-29.65))</f>
        <v>6.86212116965586</v>
      </c>
      <c r="R7" s="424" t="n">
        <f aca="false">B7</f>
        <v>1950</v>
      </c>
      <c r="S7" s="424" t="n">
        <f aca="false">C7</f>
        <v>6</v>
      </c>
      <c r="T7" s="424" t="n">
        <f aca="false">D7</f>
        <v>6.27</v>
      </c>
      <c r="U7" s="424" t="n">
        <f aca="false">E7</f>
        <v>13.2</v>
      </c>
      <c r="V7" s="0" t="n">
        <f aca="false">MIN(0.263*M7/1000*1013.25*100/EXP(17.67*E7/(E7+273.16-29.65)), 100)</f>
        <v>73.7115179944804</v>
      </c>
      <c r="W7" s="0" t="n">
        <f aca="false">MIN(0.263*M7/1000*1013.25*100/EXP(17.67*D7/(D7+273.16-29.65)), 100)</f>
        <v>100</v>
      </c>
      <c r="X7" s="0" t="n">
        <f aca="false">(198.58*(1/(2/15*ACOS(-TAN(3.1416/180*$L$1)*TAN(3.1416/180*23.45*SIN((2*3.1416/365*(C7+284)))))/3.1416*180))^2+5.0551/(2/15*ACOS(-TAN(3.1416/180*$L$1)*TAN(3.1416/180*23.45*SIN((2*3.1416/365*(C7+284)))))/3.1416*180)+1.49)*G7*2.02</f>
        <v>438.541550493035</v>
      </c>
      <c r="Y7" s="424" t="n">
        <f aca="false">H7</f>
        <v>0</v>
      </c>
      <c r="Z7" s="424" t="n">
        <f aca="false">I7</f>
        <v>1</v>
      </c>
    </row>
    <row r="8" customFormat="false" ht="15.75" hidden="false" customHeight="false" outlineLevel="0" collapsed="false">
      <c r="B8" s="0" t="n">
        <v>1950</v>
      </c>
      <c r="C8" s="424" t="n">
        <v>7</v>
      </c>
      <c r="D8" s="0" t="n">
        <v>4.65</v>
      </c>
      <c r="E8" s="0" t="n">
        <v>11.33</v>
      </c>
      <c r="F8" s="0" t="n">
        <v>91.46111</v>
      </c>
      <c r="G8" s="0" t="n">
        <v>79</v>
      </c>
      <c r="H8" s="0" t="n">
        <v>0</v>
      </c>
      <c r="I8" s="0" t="n">
        <v>1</v>
      </c>
      <c r="M8" s="0" t="n">
        <f aca="false">F8/0.263*1000/1013.25/100*EXP(17.67*(D8+E8)/2/((D8+E8)/2+273.16-29.65))</f>
        <v>6.01674814930417</v>
      </c>
      <c r="R8" s="424" t="n">
        <f aca="false">B8</f>
        <v>1950</v>
      </c>
      <c r="S8" s="424" t="n">
        <f aca="false">C8</f>
        <v>7</v>
      </c>
      <c r="T8" s="424" t="n">
        <f aca="false">D8</f>
        <v>4.65</v>
      </c>
      <c r="U8" s="424" t="n">
        <f aca="false">E8</f>
        <v>11.33</v>
      </c>
      <c r="V8" s="0" t="n">
        <f aca="false">MIN(0.263*M8/1000*1013.25*100/EXP(17.67*E8/(E8+273.16-29.65)), 100)</f>
        <v>73.0894175181774</v>
      </c>
      <c r="W8" s="0" t="n">
        <f aca="false">MIN(0.263*M8/1000*1013.25*100/EXP(17.67*D8/(D8+273.16-29.65)), 100)</f>
        <v>100</v>
      </c>
      <c r="X8" s="0" t="n">
        <f aca="false">(198.58*(1/(2/15*ACOS(-TAN(3.1416/180*$L$1)*TAN(3.1416/180*23.45*SIN((2*3.1416/365*(C8+284)))))/3.1416*180))^2+5.0551/(2/15*ACOS(-TAN(3.1416/180*$L$1)*TAN(3.1416/180*23.45*SIN((2*3.1416/365*(C8+284)))))/3.1416*180)+1.49)*G8*2.02</f>
        <v>750.97329548894</v>
      </c>
      <c r="Y8" s="424" t="n">
        <f aca="false">H8</f>
        <v>0</v>
      </c>
      <c r="Z8" s="424" t="n">
        <f aca="false">I8</f>
        <v>1</v>
      </c>
    </row>
    <row r="9" customFormat="false" ht="15.75" hidden="false" customHeight="false" outlineLevel="0" collapsed="false">
      <c r="B9" s="0" t="n">
        <v>1950</v>
      </c>
      <c r="C9" s="424" t="n">
        <v>8</v>
      </c>
      <c r="D9" s="0" t="n">
        <v>5.37</v>
      </c>
      <c r="E9" s="0" t="n">
        <v>13.139999</v>
      </c>
      <c r="F9" s="0" t="n">
        <v>88.115005</v>
      </c>
      <c r="G9" s="0" t="n">
        <v>61</v>
      </c>
      <c r="H9" s="0" t="n">
        <v>0</v>
      </c>
      <c r="I9" s="0" t="n">
        <v>1</v>
      </c>
      <c r="M9" s="0" t="n">
        <f aca="false">F9/0.263*1000/1013.25/100*EXP(17.67*(D9+E9)/2/((D9+E9)/2+273.16-29.65))</f>
        <v>6.31481583794171</v>
      </c>
      <c r="R9" s="424" t="n">
        <f aca="false">B9</f>
        <v>1950</v>
      </c>
      <c r="S9" s="424" t="n">
        <f aca="false">C9</f>
        <v>8</v>
      </c>
      <c r="T9" s="424" t="n">
        <f aca="false">D9</f>
        <v>5.37</v>
      </c>
      <c r="U9" s="424" t="n">
        <f aca="false">E9</f>
        <v>13.139999</v>
      </c>
      <c r="V9" s="0" t="n">
        <f aca="false">MIN(0.263*M9/1000*1013.25*100/EXP(17.67*E9/(E9+273.16-29.65)), 100)</f>
        <v>68.098802673486</v>
      </c>
      <c r="W9" s="0" t="n">
        <f aca="false">MIN(0.263*M9/1000*1013.25*100/EXP(17.67*D9/(D9+273.16-29.65)), 100)</f>
        <v>100</v>
      </c>
      <c r="X9" s="0" t="n">
        <f aca="false">(198.58*(1/(2/15*ACOS(-TAN(3.1416/180*$L$1)*TAN(3.1416/180*23.45*SIN((2*3.1416/365*(C9+284)))))/3.1416*180))^2+5.0551/(2/15*ACOS(-TAN(3.1416/180*$L$1)*TAN(3.1416/180*23.45*SIN((2*3.1416/365*(C9+284)))))/3.1416*180)+1.49)*G9*2.02</f>
        <v>578.106957175103</v>
      </c>
      <c r="Y9" s="424" t="n">
        <f aca="false">H9</f>
        <v>0</v>
      </c>
      <c r="Z9" s="424" t="n">
        <f aca="false">I9</f>
        <v>1</v>
      </c>
    </row>
    <row r="10" customFormat="false" ht="15.75" hidden="false" customHeight="false" outlineLevel="0" collapsed="false">
      <c r="B10" s="0" t="n">
        <v>1950</v>
      </c>
      <c r="C10" s="424" t="n">
        <v>9</v>
      </c>
      <c r="D10" s="0" t="n">
        <v>7.8799996</v>
      </c>
      <c r="E10" s="0" t="n">
        <v>15.75</v>
      </c>
      <c r="F10" s="0" t="n">
        <v>88.14445</v>
      </c>
      <c r="G10" s="0" t="n">
        <v>76</v>
      </c>
      <c r="H10" s="0" t="n">
        <v>0</v>
      </c>
      <c r="I10" s="0" t="n">
        <v>1</v>
      </c>
      <c r="M10" s="0" t="n">
        <f aca="false">F10/0.263*1000/1013.25/100*EXP(17.67*(D10+E10)/2/((D10+E10)/2+273.16-29.65))</f>
        <v>7.49257763137927</v>
      </c>
      <c r="R10" s="424" t="n">
        <f aca="false">B10</f>
        <v>1950</v>
      </c>
      <c r="S10" s="424" t="n">
        <f aca="false">C10</f>
        <v>9</v>
      </c>
      <c r="T10" s="424" t="n">
        <f aca="false">D10</f>
        <v>7.8799996</v>
      </c>
      <c r="U10" s="424" t="n">
        <f aca="false">E10</f>
        <v>15.75</v>
      </c>
      <c r="V10" s="0" t="n">
        <f aca="false">MIN(0.263*M10/1000*1013.25*100/EXP(17.67*E10/(E10+273.16-29.65)), 100)</f>
        <v>68.251224416672</v>
      </c>
      <c r="W10" s="0" t="n">
        <f aca="false">MIN(0.263*M10/1000*1013.25*100/EXP(17.67*D10/(D10+273.16-29.65)), 100)</f>
        <v>100</v>
      </c>
      <c r="X10" s="0" t="n">
        <f aca="false">(198.58*(1/(2/15*ACOS(-TAN(3.1416/180*$L$1)*TAN(3.1416/180*23.45*SIN((2*3.1416/365*(C10+284)))))/3.1416*180))^2+5.0551/(2/15*ACOS(-TAN(3.1416/180*$L$1)*TAN(3.1416/180*23.45*SIN((2*3.1416/365*(C10+284)))))/3.1416*180)+1.49)*G10*2.02</f>
        <v>717.978075104605</v>
      </c>
      <c r="Y10" s="424" t="n">
        <f aca="false">H10</f>
        <v>0</v>
      </c>
      <c r="Z10" s="424" t="n">
        <f aca="false">I10</f>
        <v>1</v>
      </c>
    </row>
    <row r="11" customFormat="false" ht="15.75" hidden="false" customHeight="false" outlineLevel="0" collapsed="false">
      <c r="B11" s="0" t="n">
        <v>1950</v>
      </c>
      <c r="C11" s="424" t="n">
        <v>10</v>
      </c>
      <c r="D11" s="0" t="n">
        <v>3.59</v>
      </c>
      <c r="E11" s="0" t="n">
        <v>12.49</v>
      </c>
      <c r="F11" s="0" t="n">
        <v>95.200005</v>
      </c>
      <c r="G11" s="0" t="n">
        <v>35</v>
      </c>
      <c r="H11" s="0" t="n">
        <v>0</v>
      </c>
      <c r="I11" s="0" t="n">
        <v>1</v>
      </c>
      <c r="M11" s="0" t="n">
        <f aca="false">F11/0.263*1000/1013.25/100*EXP(17.67*(D11+E11)/2/((D11+E11)/2+273.16-29.65))</f>
        <v>6.28404399548525</v>
      </c>
      <c r="R11" s="424" t="n">
        <f aca="false">B11</f>
        <v>1950</v>
      </c>
      <c r="S11" s="424" t="n">
        <f aca="false">C11</f>
        <v>10</v>
      </c>
      <c r="T11" s="424" t="n">
        <f aca="false">D11</f>
        <v>3.59</v>
      </c>
      <c r="U11" s="424" t="n">
        <f aca="false">E11</f>
        <v>12.49</v>
      </c>
      <c r="V11" s="0" t="n">
        <f aca="false">MIN(0.263*M11/1000*1013.25*100/EXP(17.67*E11/(E11+273.16-29.65)), 100)</f>
        <v>70.7139533141979</v>
      </c>
      <c r="W11" s="0" t="n">
        <f aca="false">MIN(0.263*M11/1000*1013.25*100/EXP(17.67*D11/(D11+273.16-29.65)), 100)</f>
        <v>100</v>
      </c>
      <c r="X11" s="0" t="n">
        <f aca="false">(198.58*(1/(2/15*ACOS(-TAN(3.1416/180*$L$1)*TAN(3.1416/180*23.45*SIN((2*3.1416/365*(C11+284)))))/3.1416*180))^2+5.0551/(2/15*ACOS(-TAN(3.1416/180*$L$1)*TAN(3.1416/180*23.45*SIN((2*3.1416/365*(C11+284)))))/3.1416*180)+1.49)*G11*2.02</f>
        <v>329.552785410308</v>
      </c>
      <c r="Y11" s="424" t="n">
        <f aca="false">H11</f>
        <v>0</v>
      </c>
      <c r="Z11" s="424" t="n">
        <f aca="false">I11</f>
        <v>1</v>
      </c>
    </row>
    <row r="12" customFormat="false" ht="15.75" hidden="false" customHeight="false" outlineLevel="0" collapsed="false">
      <c r="B12" s="0" t="n">
        <v>1950</v>
      </c>
      <c r="C12" s="424" t="n">
        <v>11</v>
      </c>
      <c r="D12" s="0" t="n">
        <v>0.16</v>
      </c>
      <c r="E12" s="0" t="n">
        <v>12.09</v>
      </c>
      <c r="F12" s="0" t="n">
        <v>94.200005</v>
      </c>
      <c r="G12" s="0" t="n">
        <v>47</v>
      </c>
      <c r="H12" s="0" t="n">
        <v>0</v>
      </c>
      <c r="I12" s="0" t="n">
        <v>1</v>
      </c>
      <c r="M12" s="0" t="n">
        <f aca="false">F12/0.263*1000/1013.25/100*EXP(17.67*(D12+E12)/2/((D12+E12)/2+273.16-29.65))</f>
        <v>5.45338375778725</v>
      </c>
      <c r="R12" s="424" t="n">
        <f aca="false">B12</f>
        <v>1950</v>
      </c>
      <c r="S12" s="424" t="n">
        <f aca="false">C12</f>
        <v>11</v>
      </c>
      <c r="T12" s="424" t="n">
        <f aca="false">D12</f>
        <v>0.16</v>
      </c>
      <c r="U12" s="424" t="n">
        <f aca="false">E12</f>
        <v>12.09</v>
      </c>
      <c r="V12" s="0" t="n">
        <f aca="false">MIN(0.263*M12/1000*1013.25*100/EXP(17.67*E12/(E12+273.16-29.65)), 100)</f>
        <v>63.0021541671987</v>
      </c>
      <c r="W12" s="0" t="n">
        <f aca="false">MIN(0.263*M12/1000*1013.25*100/EXP(17.67*D12/(D12+273.16-29.65)), 100)</f>
        <v>100</v>
      </c>
      <c r="X12" s="0" t="n">
        <f aca="false">(198.58*(1/(2/15*ACOS(-TAN(3.1416/180*$L$1)*TAN(3.1416/180*23.45*SIN((2*3.1416/365*(C12+284)))))/3.1416*180))^2+5.0551/(2/15*ACOS(-TAN(3.1416/180*$L$1)*TAN(3.1416/180*23.45*SIN((2*3.1416/365*(C12+284)))))/3.1416*180)+1.49)*G12*2.02</f>
        <v>441.017856689709</v>
      </c>
      <c r="Y12" s="424" t="n">
        <f aca="false">H12</f>
        <v>0</v>
      </c>
      <c r="Z12" s="424" t="n">
        <f aca="false">I12</f>
        <v>1</v>
      </c>
    </row>
    <row r="13" customFormat="false" ht="15.75" hidden="false" customHeight="false" outlineLevel="0" collapsed="false">
      <c r="B13" s="0" t="n">
        <v>1950</v>
      </c>
      <c r="C13" s="424" t="n">
        <v>12</v>
      </c>
      <c r="D13" s="0" t="n">
        <v>3.52</v>
      </c>
      <c r="E13" s="0" t="n">
        <v>7.7999997</v>
      </c>
      <c r="F13" s="0" t="n">
        <v>94.700005</v>
      </c>
      <c r="G13" s="0" t="n">
        <v>72</v>
      </c>
      <c r="H13" s="0" t="n">
        <v>0</v>
      </c>
      <c r="I13" s="0" t="n">
        <v>1</v>
      </c>
      <c r="M13" s="0" t="n">
        <f aca="false">F13/0.263*1000/1013.25/100*EXP(17.67*(D13+E13)/2/((D13+E13)/2+273.16-29.65))</f>
        <v>5.30878769460266</v>
      </c>
      <c r="R13" s="424" t="n">
        <f aca="false">B13</f>
        <v>1950</v>
      </c>
      <c r="S13" s="424" t="n">
        <f aca="false">C13</f>
        <v>12</v>
      </c>
      <c r="T13" s="424" t="n">
        <f aca="false">D13</f>
        <v>3.52</v>
      </c>
      <c r="U13" s="424" t="n">
        <f aca="false">E13</f>
        <v>7.7999997</v>
      </c>
      <c r="V13" s="0" t="n">
        <f aca="false">MIN(0.263*M13/1000*1013.25*100/EXP(17.67*E13/(E13+273.16-29.65)), 100)</f>
        <v>81.7499520814755</v>
      </c>
      <c r="W13" s="0" t="n">
        <f aca="false">MIN(0.263*M13/1000*1013.25*100/EXP(17.67*D13/(D13+273.16-29.65)), 100)</f>
        <v>100</v>
      </c>
      <c r="X13" s="0" t="n">
        <f aca="false">(198.58*(1/(2/15*ACOS(-TAN(3.1416/180*$L$1)*TAN(3.1416/180*23.45*SIN((2*3.1416/365*(C13+284)))))/3.1416*180))^2+5.0551/(2/15*ACOS(-TAN(3.1416/180*$L$1)*TAN(3.1416/180*23.45*SIN((2*3.1416/365*(C13+284)))))/3.1416*180)+1.49)*G13*2.02</f>
        <v>673.187662103128</v>
      </c>
      <c r="Y13" s="424" t="n">
        <f aca="false">H13</f>
        <v>0</v>
      </c>
      <c r="Z13" s="424" t="n">
        <f aca="false">I13</f>
        <v>1</v>
      </c>
    </row>
    <row r="14" customFormat="false" ht="15.75" hidden="false" customHeight="false" outlineLevel="0" collapsed="false">
      <c r="B14" s="0" t="n">
        <v>1950</v>
      </c>
      <c r="C14" s="424" t="n">
        <v>13</v>
      </c>
      <c r="D14" s="0" t="n">
        <v>3.1599998</v>
      </c>
      <c r="E14" s="0" t="n">
        <v>8.26</v>
      </c>
      <c r="F14" s="0" t="n">
        <v>94.700005</v>
      </c>
      <c r="G14" s="0" t="n">
        <v>50</v>
      </c>
      <c r="H14" s="0" t="n">
        <v>0</v>
      </c>
      <c r="I14" s="0" t="n">
        <v>1</v>
      </c>
      <c r="M14" s="0" t="n">
        <f aca="false">F14/0.263*1000/1013.25/100*EXP(17.67*(D14+E14)/2/((D14+E14)/2+273.16-29.65))</f>
        <v>5.32721208107252</v>
      </c>
      <c r="R14" s="424" t="n">
        <f aca="false">B14</f>
        <v>1950</v>
      </c>
      <c r="S14" s="424" t="n">
        <f aca="false">C14</f>
        <v>13</v>
      </c>
      <c r="T14" s="424" t="n">
        <f aca="false">D14</f>
        <v>3.1599998</v>
      </c>
      <c r="U14" s="424" t="n">
        <f aca="false">E14</f>
        <v>8.26</v>
      </c>
      <c r="V14" s="0" t="n">
        <f aca="false">MIN(0.263*M14/1000*1013.25*100/EXP(17.67*E14/(E14+273.16-29.65)), 100)</f>
        <v>79.507195689133</v>
      </c>
      <c r="W14" s="0" t="n">
        <f aca="false">MIN(0.263*M14/1000*1013.25*100/EXP(17.67*D14/(D14+273.16-29.65)), 100)</f>
        <v>100</v>
      </c>
      <c r="X14" s="0" t="n">
        <f aca="false">(198.58*(1/(2/15*ACOS(-TAN(3.1416/180*$L$1)*TAN(3.1416/180*23.45*SIN((2*3.1416/365*(C14+284)))))/3.1416*180))^2+5.0551/(2/15*ACOS(-TAN(3.1416/180*$L$1)*TAN(3.1416/180*23.45*SIN((2*3.1416/365*(C14+284)))))/3.1416*180)+1.49)*G14*2.02</f>
        <v>465.762935407102</v>
      </c>
      <c r="Y14" s="424" t="n">
        <f aca="false">H14</f>
        <v>0</v>
      </c>
      <c r="Z14" s="424" t="n">
        <f aca="false">I14</f>
        <v>1</v>
      </c>
    </row>
    <row r="15" customFormat="false" ht="15.75" hidden="false" customHeight="false" outlineLevel="0" collapsed="false">
      <c r="B15" s="0" t="n">
        <v>1950</v>
      </c>
      <c r="C15" s="424" t="n">
        <v>14</v>
      </c>
      <c r="D15" s="0" t="n">
        <v>6.62</v>
      </c>
      <c r="E15" s="0" t="n">
        <v>10.36</v>
      </c>
      <c r="F15" s="0" t="n">
        <v>91.265</v>
      </c>
      <c r="G15" s="0" t="n">
        <v>53</v>
      </c>
      <c r="H15" s="0" t="n">
        <v>0</v>
      </c>
      <c r="I15" s="0" t="n">
        <v>1</v>
      </c>
      <c r="M15" s="0" t="n">
        <f aca="false">F15/0.263*1000/1013.25/100*EXP(17.67*(D15+E15)/2/((D15+E15)/2+273.16-29.65))</f>
        <v>6.21115054101944</v>
      </c>
      <c r="R15" s="424" t="n">
        <f aca="false">B15</f>
        <v>1950</v>
      </c>
      <c r="S15" s="424" t="n">
        <f aca="false">C15</f>
        <v>14</v>
      </c>
      <c r="T15" s="424" t="n">
        <f aca="false">D15</f>
        <v>6.62</v>
      </c>
      <c r="U15" s="424" t="n">
        <f aca="false">E15</f>
        <v>10.36</v>
      </c>
      <c r="V15" s="0" t="n">
        <f aca="false">MIN(0.263*M15/1000*1013.25*100/EXP(17.67*E15/(E15+273.16-29.65)), 100)</f>
        <v>80.4789478659711</v>
      </c>
      <c r="W15" s="0" t="n">
        <f aca="false">MIN(0.263*M15/1000*1013.25*100/EXP(17.67*D15/(D15+273.16-29.65)), 100)</f>
        <v>100</v>
      </c>
      <c r="X15" s="0" t="n">
        <f aca="false">(198.58*(1/(2/15*ACOS(-TAN(3.1416/180*$L$1)*TAN(3.1416/180*23.45*SIN((2*3.1416/365*(C15+284)))))/3.1416*180))^2+5.0551/(2/15*ACOS(-TAN(3.1416/180*$L$1)*TAN(3.1416/180*23.45*SIN((2*3.1416/365*(C15+284)))))/3.1416*180)+1.49)*G15*2.02</f>
        <v>491.824315073847</v>
      </c>
      <c r="Y15" s="424" t="n">
        <f aca="false">H15</f>
        <v>0</v>
      </c>
      <c r="Z15" s="424" t="n">
        <f aca="false">I15</f>
        <v>1</v>
      </c>
    </row>
    <row r="16" customFormat="false" ht="15.75" hidden="false" customHeight="false" outlineLevel="0" collapsed="false">
      <c r="B16" s="0" t="n">
        <v>1950</v>
      </c>
      <c r="C16" s="424" t="n">
        <v>15</v>
      </c>
      <c r="D16" s="0" t="n">
        <v>1.75</v>
      </c>
      <c r="E16" s="0" t="n">
        <v>10.11</v>
      </c>
      <c r="F16" s="0" t="n">
        <v>90.54737</v>
      </c>
      <c r="G16" s="0" t="n">
        <v>47</v>
      </c>
      <c r="H16" s="0" t="n">
        <v>0</v>
      </c>
      <c r="I16" s="0" t="n">
        <v>1</v>
      </c>
      <c r="M16" s="0" t="n">
        <f aca="false">F16/0.263*1000/1013.25/100*EXP(17.67*(D16+E16)/2/((D16+E16)/2+273.16-29.65))</f>
        <v>5.171767869803</v>
      </c>
      <c r="R16" s="424" t="n">
        <f aca="false">B16</f>
        <v>1950</v>
      </c>
      <c r="S16" s="424" t="n">
        <f aca="false">C16</f>
        <v>15</v>
      </c>
      <c r="T16" s="424" t="n">
        <f aca="false">D16</f>
        <v>1.75</v>
      </c>
      <c r="U16" s="424" t="n">
        <f aca="false">E16</f>
        <v>10.11</v>
      </c>
      <c r="V16" s="0" t="n">
        <f aca="false">MIN(0.263*M16/1000*1013.25*100/EXP(17.67*E16/(E16+273.16-29.65)), 100)</f>
        <v>68.1404529762765</v>
      </c>
      <c r="W16" s="0" t="n">
        <f aca="false">MIN(0.263*M16/1000*1013.25*100/EXP(17.67*D16/(D16+273.16-29.65)), 100)</f>
        <v>100</v>
      </c>
      <c r="X16" s="0" t="n">
        <f aca="false">(198.58*(1/(2/15*ACOS(-TAN(3.1416/180*$L$1)*TAN(3.1416/180*23.45*SIN((2*3.1416/365*(C16+284)))))/3.1416*180))^2+5.0551/(2/15*ACOS(-TAN(3.1416/180*$L$1)*TAN(3.1416/180*23.45*SIN((2*3.1416/365*(C16+284)))))/3.1416*180)+1.49)*G16*2.02</f>
        <v>434.431341068464</v>
      </c>
      <c r="Y16" s="424" t="n">
        <f aca="false">H16</f>
        <v>0</v>
      </c>
      <c r="Z16" s="424" t="n">
        <f aca="false">I16</f>
        <v>1</v>
      </c>
    </row>
    <row r="17" customFormat="false" ht="15.75" hidden="false" customHeight="false" outlineLevel="0" collapsed="false">
      <c r="B17" s="0" t="n">
        <v>1950</v>
      </c>
      <c r="C17" s="424" t="n">
        <v>16</v>
      </c>
      <c r="D17" s="0" t="n">
        <v>0.95</v>
      </c>
      <c r="E17" s="0" t="n">
        <v>9.7699995</v>
      </c>
      <c r="F17" s="0" t="n">
        <v>92.33077</v>
      </c>
      <c r="G17" s="0" t="n">
        <v>45</v>
      </c>
      <c r="H17" s="0" t="n">
        <v>11.900001</v>
      </c>
      <c r="I17" s="0" t="n">
        <v>1</v>
      </c>
      <c r="M17" s="0" t="n">
        <f aca="false">F17/0.263*1000/1013.25/100*EXP(17.67*(D17+E17)/2/((D17+E17)/2+273.16-29.65))</f>
        <v>5.06933916000451</v>
      </c>
      <c r="R17" s="424" t="n">
        <f aca="false">B17</f>
        <v>1950</v>
      </c>
      <c r="S17" s="424" t="n">
        <f aca="false">C17</f>
        <v>16</v>
      </c>
      <c r="T17" s="424" t="n">
        <f aca="false">D17</f>
        <v>0.95</v>
      </c>
      <c r="U17" s="424" t="n">
        <f aca="false">E17</f>
        <v>9.7699995</v>
      </c>
      <c r="V17" s="0" t="n">
        <f aca="false">MIN(0.263*M17/1000*1013.25*100/EXP(17.67*E17/(E17+273.16-29.65)), 100)</f>
        <v>68.329488990615</v>
      </c>
      <c r="W17" s="0" t="n">
        <f aca="false">MIN(0.263*M17/1000*1013.25*100/EXP(17.67*D17/(D17+273.16-29.65)), 100)</f>
        <v>100</v>
      </c>
      <c r="X17" s="0" t="n">
        <f aca="false">(198.58*(1/(2/15*ACOS(-TAN(3.1416/180*$L$1)*TAN(3.1416/180*23.45*SIN((2*3.1416/365*(C17+284)))))/3.1416*180))^2+5.0551/(2/15*ACOS(-TAN(3.1416/180*$L$1)*TAN(3.1416/180*23.45*SIN((2*3.1416/365*(C17+284)))))/3.1416*180)+1.49)*G17*2.02</f>
        <v>414.263784681702</v>
      </c>
      <c r="Y17" s="424" t="n">
        <f aca="false">H17</f>
        <v>11.900001</v>
      </c>
      <c r="Z17" s="424" t="n">
        <f aca="false">I17</f>
        <v>1</v>
      </c>
    </row>
    <row r="18" customFormat="false" ht="15.75" hidden="false" customHeight="false" outlineLevel="0" collapsed="false">
      <c r="B18" s="0" t="n">
        <v>1950</v>
      </c>
      <c r="C18" s="424" t="n">
        <v>17</v>
      </c>
      <c r="D18" s="0" t="n">
        <v>2.6699998</v>
      </c>
      <c r="E18" s="0" t="n">
        <v>8.51</v>
      </c>
      <c r="F18" s="0" t="n">
        <v>88.142105</v>
      </c>
      <c r="G18" s="0" t="n">
        <v>37</v>
      </c>
      <c r="H18" s="0" t="n">
        <v>4.4</v>
      </c>
      <c r="I18" s="0" t="n">
        <v>1</v>
      </c>
      <c r="M18" s="0" t="n">
        <f aca="false">F18/0.263*1000/1013.25/100*EXP(17.67*(D18+E18)/2/((D18+E18)/2+273.16-29.65))</f>
        <v>4.91723859754067</v>
      </c>
      <c r="R18" s="424" t="n">
        <f aca="false">B18</f>
        <v>1950</v>
      </c>
      <c r="S18" s="424" t="n">
        <f aca="false">C18</f>
        <v>17</v>
      </c>
      <c r="T18" s="424" t="n">
        <f aca="false">D18</f>
        <v>2.6699998</v>
      </c>
      <c r="U18" s="424" t="n">
        <f aca="false">E18</f>
        <v>8.51</v>
      </c>
      <c r="V18" s="0" t="n">
        <f aca="false">MIN(0.263*M18/1000*1013.25*100/EXP(17.67*E18/(E18+273.16-29.65)), 100)</f>
        <v>72.1547629195345</v>
      </c>
      <c r="W18" s="0" t="n">
        <f aca="false">MIN(0.263*M18/1000*1013.25*100/EXP(17.67*D18/(D18+273.16-29.65)), 100)</f>
        <v>100</v>
      </c>
      <c r="X18" s="0" t="n">
        <f aca="false">(198.58*(1/(2/15*ACOS(-TAN(3.1416/180*$L$1)*TAN(3.1416/180*23.45*SIN((2*3.1416/365*(C18+284)))))/3.1416*180))^2+5.0551/(2/15*ACOS(-TAN(3.1416/180*$L$1)*TAN(3.1416/180*23.45*SIN((2*3.1416/365*(C18+284)))))/3.1416*180)+1.49)*G18*2.02</f>
        <v>339.204333376495</v>
      </c>
      <c r="Y18" s="424" t="n">
        <f aca="false">H18</f>
        <v>4.4</v>
      </c>
      <c r="Z18" s="424" t="n">
        <f aca="false">I18</f>
        <v>1</v>
      </c>
    </row>
    <row r="19" customFormat="false" ht="15.75" hidden="false" customHeight="false" outlineLevel="0" collapsed="false">
      <c r="B19" s="0" t="n">
        <v>1950</v>
      </c>
      <c r="C19" s="424" t="n">
        <v>18</v>
      </c>
      <c r="D19" s="0" t="n">
        <v>2.9299998</v>
      </c>
      <c r="E19" s="0" t="n">
        <v>7</v>
      </c>
      <c r="F19" s="0" t="n">
        <v>80.455</v>
      </c>
      <c r="G19" s="0" t="n">
        <v>47</v>
      </c>
      <c r="H19" s="0" t="n">
        <v>0</v>
      </c>
      <c r="I19" s="0" t="n">
        <v>1</v>
      </c>
      <c r="M19" s="0" t="n">
        <f aca="false">F19/0.263*1000/1013.25/100*EXP(17.67*(D19+E19)/2/((D19+E19)/2+273.16-29.65))</f>
        <v>4.29755422999321</v>
      </c>
      <c r="R19" s="424" t="n">
        <f aca="false">B19</f>
        <v>1950</v>
      </c>
      <c r="S19" s="424" t="n">
        <f aca="false">C19</f>
        <v>18</v>
      </c>
      <c r="T19" s="424" t="n">
        <f aca="false">D19</f>
        <v>2.9299998</v>
      </c>
      <c r="U19" s="424" t="n">
        <f aca="false">E19</f>
        <v>7</v>
      </c>
      <c r="V19" s="0" t="n">
        <f aca="false">MIN(0.263*M19/1000*1013.25*100/EXP(17.67*E19/(E19+273.16-29.65)), 100)</f>
        <v>69.8971767419843</v>
      </c>
      <c r="W19" s="0" t="n">
        <f aca="false">MIN(0.263*M19/1000*1013.25*100/EXP(17.67*D19/(D19+273.16-29.65)), 100)</f>
        <v>92.8229598096991</v>
      </c>
      <c r="X19" s="0" t="n">
        <f aca="false">(198.58*(1/(2/15*ACOS(-TAN(3.1416/180*$L$1)*TAN(3.1416/180*23.45*SIN((2*3.1416/365*(C19+284)))))/3.1416*180))^2+5.0551/(2/15*ACOS(-TAN(3.1416/180*$L$1)*TAN(3.1416/180*23.45*SIN((2*3.1416/365*(C19+284)))))/3.1416*180)+1.49)*G19*2.02</f>
        <v>429.050925276001</v>
      </c>
      <c r="Y19" s="424" t="n">
        <f aca="false">H19</f>
        <v>0</v>
      </c>
      <c r="Z19" s="424" t="n">
        <f aca="false">I19</f>
        <v>1</v>
      </c>
    </row>
    <row r="20" customFormat="false" ht="15.75" hidden="false" customHeight="false" outlineLevel="0" collapsed="false">
      <c r="B20" s="0" t="n">
        <v>1950</v>
      </c>
      <c r="C20" s="424" t="n">
        <v>19</v>
      </c>
      <c r="D20" s="0" t="n">
        <v>-2.3899999</v>
      </c>
      <c r="E20" s="0" t="n">
        <v>1.1999999</v>
      </c>
      <c r="F20" s="0" t="n">
        <v>86.095</v>
      </c>
      <c r="G20" s="0" t="n">
        <v>50</v>
      </c>
      <c r="H20" s="0" t="n">
        <v>0</v>
      </c>
      <c r="I20" s="0" t="n">
        <v>1</v>
      </c>
      <c r="M20" s="0" t="n">
        <f aca="false">F20/0.263*1000/1013.25/100*EXP(17.67*(D20+E20)/2/((D20+E20)/2+273.16-29.65))</f>
        <v>3.09391792031337</v>
      </c>
      <c r="R20" s="424" t="n">
        <f aca="false">B20</f>
        <v>1950</v>
      </c>
      <c r="S20" s="424" t="n">
        <f aca="false">C20</f>
        <v>19</v>
      </c>
      <c r="T20" s="424" t="n">
        <f aca="false">D20</f>
        <v>-2.3899999</v>
      </c>
      <c r="U20" s="424" t="n">
        <f aca="false">E20</f>
        <v>1.1999999</v>
      </c>
      <c r="V20" s="0" t="n">
        <f aca="false">MIN(0.263*M20/1000*1013.25*100/EXP(17.67*E20/(E20+273.16-29.65)), 100)</f>
        <v>75.6048664795508</v>
      </c>
      <c r="W20" s="0" t="n">
        <f aca="false">MIN(0.263*M20/1000*1013.25*100/EXP(17.67*D20/(D20+273.16-29.65)), 100)</f>
        <v>98.2304787633727</v>
      </c>
      <c r="X20" s="0" t="n">
        <f aca="false">(198.58*(1/(2/15*ACOS(-TAN(3.1416/180*$L$1)*TAN(3.1416/180*23.45*SIN((2*3.1416/365*(C20+284)))))/3.1416*180))^2+5.0551/(2/15*ACOS(-TAN(3.1416/180*$L$1)*TAN(3.1416/180*23.45*SIN((2*3.1416/365*(C20+284)))))/3.1416*180)+1.49)*G20*2.02</f>
        <v>454.454560183256</v>
      </c>
      <c r="Y20" s="424" t="n">
        <f aca="false">H20</f>
        <v>0</v>
      </c>
      <c r="Z20" s="424" t="n">
        <f aca="false">I20</f>
        <v>1</v>
      </c>
    </row>
    <row r="21" customFormat="false" ht="15.75" hidden="false" customHeight="false" outlineLevel="0" collapsed="false">
      <c r="B21" s="0" t="n">
        <v>1950</v>
      </c>
      <c r="C21" s="424" t="n">
        <v>20</v>
      </c>
      <c r="D21" s="0" t="n">
        <v>-4.1</v>
      </c>
      <c r="E21" s="0" t="n">
        <v>-0.31</v>
      </c>
      <c r="F21" s="0" t="n">
        <v>82.885</v>
      </c>
      <c r="G21" s="0" t="n">
        <v>12</v>
      </c>
      <c r="H21" s="0" t="n">
        <v>0</v>
      </c>
      <c r="I21" s="0" t="n">
        <v>1</v>
      </c>
      <c r="M21" s="0" t="n">
        <f aca="false">F21/0.263*1000/1013.25/100*EXP(17.67*(D21+E21)/2/((D21+E21)/2+273.16-29.65))</f>
        <v>2.64655030686678</v>
      </c>
      <c r="R21" s="424" t="n">
        <f aca="false">B21</f>
        <v>1950</v>
      </c>
      <c r="S21" s="424" t="n">
        <f aca="false">C21</f>
        <v>20</v>
      </c>
      <c r="T21" s="424" t="n">
        <f aca="false">D21</f>
        <v>-4.1</v>
      </c>
      <c r="U21" s="424" t="n">
        <f aca="false">E21</f>
        <v>-0.31</v>
      </c>
      <c r="V21" s="0" t="n">
        <f aca="false">MIN(0.263*M21/1000*1013.25*100/EXP(17.67*E21/(E21+273.16-29.65)), 100)</f>
        <v>72.1330538799884</v>
      </c>
      <c r="W21" s="0" t="n">
        <f aca="false">MIN(0.263*M21/1000*1013.25*100/EXP(17.67*D21/(D21+273.16-29.65)), 100)</f>
        <v>95.4493131367341</v>
      </c>
      <c r="X21" s="0" t="n">
        <f aca="false">(198.58*(1/(2/15*ACOS(-TAN(3.1416/180*$L$1)*TAN(3.1416/180*23.45*SIN((2*3.1416/365*(C21+284)))))/3.1416*180))^2+5.0551/(2/15*ACOS(-TAN(3.1416/180*$L$1)*TAN(3.1416/180*23.45*SIN((2*3.1416/365*(C21+284)))))/3.1416*180)+1.49)*G21*2.02</f>
        <v>108.585389235868</v>
      </c>
      <c r="Y21" s="424" t="n">
        <f aca="false">H21</f>
        <v>0</v>
      </c>
      <c r="Z21" s="424" t="n">
        <f aca="false">I21</f>
        <v>1</v>
      </c>
    </row>
    <row r="22" customFormat="false" ht="15.75" hidden="false" customHeight="false" outlineLevel="0" collapsed="false">
      <c r="B22" s="0" t="n">
        <v>1950</v>
      </c>
      <c r="C22" s="424" t="n">
        <v>21</v>
      </c>
      <c r="D22" s="0" t="n">
        <v>-4.19</v>
      </c>
      <c r="E22" s="0" t="n">
        <v>0.90999997</v>
      </c>
      <c r="F22" s="0" t="n">
        <v>86.135</v>
      </c>
      <c r="G22" s="0" t="n">
        <v>65</v>
      </c>
      <c r="H22" s="0" t="n">
        <v>0</v>
      </c>
      <c r="I22" s="0" t="n">
        <v>1</v>
      </c>
      <c r="M22" s="0" t="n">
        <f aca="false">F22/0.263*1000/1013.25/100*EXP(17.67*(D22+E22)/2/((D22+E22)/2+273.16-29.65))</f>
        <v>2.86730463554389</v>
      </c>
      <c r="R22" s="424" t="n">
        <f aca="false">B22</f>
        <v>1950</v>
      </c>
      <c r="S22" s="424" t="n">
        <f aca="false">C22</f>
        <v>21</v>
      </c>
      <c r="T22" s="424" t="n">
        <f aca="false">D22</f>
        <v>-4.19</v>
      </c>
      <c r="U22" s="424" t="n">
        <f aca="false">E22</f>
        <v>0.90999997</v>
      </c>
      <c r="V22" s="0" t="n">
        <f aca="false">MIN(0.263*M22/1000*1013.25*100/EXP(17.67*E22/(E22+273.16-29.65)), 100)</f>
        <v>71.5443255484721</v>
      </c>
      <c r="W22" s="0" t="n">
        <f aca="false">MIN(0.263*M22/1000*1013.25*100/EXP(17.67*D22/(D22+273.16-29.65)), 100)</f>
        <v>100</v>
      </c>
      <c r="X22" s="0" t="n">
        <f aca="false">(198.58*(1/(2/15*ACOS(-TAN(3.1416/180*$L$1)*TAN(3.1416/180*23.45*SIN((2*3.1416/365*(C22+284)))))/3.1416*180))^2+5.0551/(2/15*ACOS(-TAN(3.1416/180*$L$1)*TAN(3.1416/180*23.45*SIN((2*3.1416/365*(C22+284)))))/3.1416*180)+1.49)*G22*2.02</f>
        <v>585.511509312139</v>
      </c>
      <c r="Y22" s="424" t="n">
        <f aca="false">H22</f>
        <v>0</v>
      </c>
      <c r="Z22" s="424" t="n">
        <f aca="false">I22</f>
        <v>1</v>
      </c>
    </row>
    <row r="23" customFormat="false" ht="15.75" hidden="false" customHeight="false" outlineLevel="0" collapsed="false">
      <c r="B23" s="0" t="n">
        <v>1950</v>
      </c>
      <c r="C23" s="424" t="n">
        <v>22</v>
      </c>
      <c r="D23" s="0" t="n">
        <v>-7.5099998</v>
      </c>
      <c r="E23" s="0" t="n">
        <v>5.02</v>
      </c>
      <c r="F23" s="0" t="n">
        <v>89.675</v>
      </c>
      <c r="G23" s="0" t="n">
        <v>72</v>
      </c>
      <c r="H23" s="0" t="n">
        <v>0</v>
      </c>
      <c r="I23" s="0" t="n">
        <v>1</v>
      </c>
      <c r="M23" s="0" t="n">
        <f aca="false">F23/0.263*1000/1013.25/100*EXP(17.67*(D23+E23)/2/((D23+E23)/2+273.16-29.65))</f>
        <v>3.07299901619948</v>
      </c>
      <c r="R23" s="424" t="n">
        <f aca="false">B23</f>
        <v>1950</v>
      </c>
      <c r="S23" s="424" t="n">
        <f aca="false">C23</f>
        <v>22</v>
      </c>
      <c r="T23" s="424" t="n">
        <f aca="false">D23</f>
        <v>-7.5099998</v>
      </c>
      <c r="U23" s="424" t="n">
        <f aca="false">E23</f>
        <v>5.02</v>
      </c>
      <c r="V23" s="0" t="n">
        <f aca="false">MIN(0.263*M23/1000*1013.25*100/EXP(17.67*E23/(E23+273.16-29.65)), 100)</f>
        <v>57.3099149609985</v>
      </c>
      <c r="W23" s="0" t="n">
        <f aca="false">MIN(0.263*M23/1000*1013.25*100/EXP(17.67*D23/(D23+273.16-29.65)), 100)</f>
        <v>100</v>
      </c>
      <c r="X23" s="0" t="n">
        <f aca="false">(198.58*(1/(2/15*ACOS(-TAN(3.1416/180*$L$1)*TAN(3.1416/180*23.45*SIN((2*3.1416/365*(C23+284)))))/3.1416*180))^2+5.0551/(2/15*ACOS(-TAN(3.1416/180*$L$1)*TAN(3.1416/180*23.45*SIN((2*3.1416/365*(C23+284)))))/3.1416*180)+1.49)*G23*2.02</f>
        <v>645.58106298393</v>
      </c>
      <c r="Y23" s="424" t="n">
        <f aca="false">H23</f>
        <v>0</v>
      </c>
      <c r="Z23" s="424" t="n">
        <f aca="false">I23</f>
        <v>1</v>
      </c>
    </row>
    <row r="24" customFormat="false" ht="15.75" hidden="false" customHeight="false" outlineLevel="0" collapsed="false">
      <c r="B24" s="0" t="n">
        <v>1950</v>
      </c>
      <c r="C24" s="424" t="n">
        <v>23</v>
      </c>
      <c r="D24" s="0" t="n">
        <v>-5.98</v>
      </c>
      <c r="E24" s="0" t="n">
        <v>3.21</v>
      </c>
      <c r="F24" s="0" t="n">
        <v>92.517654</v>
      </c>
      <c r="G24" s="0" t="n">
        <v>41</v>
      </c>
      <c r="H24" s="0" t="n">
        <v>0</v>
      </c>
      <c r="I24" s="0" t="n">
        <v>1</v>
      </c>
      <c r="M24" s="0" t="n">
        <f aca="false">F24/0.263*1000/1013.25/100*EXP(17.67*(D24+E24)/2/((D24+E24)/2+273.16-29.65))</f>
        <v>3.13801950679051</v>
      </c>
      <c r="R24" s="424" t="n">
        <f aca="false">B24</f>
        <v>1950</v>
      </c>
      <c r="S24" s="424" t="n">
        <f aca="false">C24</f>
        <v>23</v>
      </c>
      <c r="T24" s="424" t="n">
        <f aca="false">D24</f>
        <v>-5.98</v>
      </c>
      <c r="U24" s="424" t="n">
        <f aca="false">E24</f>
        <v>3.21</v>
      </c>
      <c r="V24" s="0" t="n">
        <f aca="false">MIN(0.263*M24/1000*1013.25*100/EXP(17.67*E24/(E24+273.16-29.65)), 100)</f>
        <v>66.448334470221</v>
      </c>
      <c r="W24" s="0" t="n">
        <f aca="false">MIN(0.263*M24/1000*1013.25*100/EXP(17.67*D24/(D24+273.16-29.65)), 100)</f>
        <v>100</v>
      </c>
      <c r="X24" s="0" t="n">
        <f aca="false">(198.58*(1/(2/15*ACOS(-TAN(3.1416/180*$L$1)*TAN(3.1416/180*23.45*SIN((2*3.1416/365*(C24+284)))))/3.1416*180))^2+5.0551/(2/15*ACOS(-TAN(3.1416/180*$L$1)*TAN(3.1416/180*23.45*SIN((2*3.1416/365*(C24+284)))))/3.1416*180)+1.49)*G24*2.02</f>
        <v>365.90186975429</v>
      </c>
      <c r="Y24" s="424" t="n">
        <f aca="false">H24</f>
        <v>0</v>
      </c>
      <c r="Z24" s="424" t="n">
        <f aca="false">I24</f>
        <v>1</v>
      </c>
    </row>
    <row r="25" customFormat="false" ht="15.75" hidden="false" customHeight="false" outlineLevel="0" collapsed="false">
      <c r="B25" s="0" t="n">
        <v>1950</v>
      </c>
      <c r="C25" s="424" t="n">
        <v>24</v>
      </c>
      <c r="D25" s="0" t="n">
        <v>-4.02</v>
      </c>
      <c r="E25" s="0" t="n">
        <v>0.22</v>
      </c>
      <c r="F25" s="0" t="n">
        <v>91.36</v>
      </c>
      <c r="G25" s="0" t="n">
        <v>60</v>
      </c>
      <c r="H25" s="0" t="n">
        <v>0</v>
      </c>
      <c r="I25" s="0" t="n">
        <v>1</v>
      </c>
      <c r="M25" s="0" t="n">
        <f aca="false">F25/0.263*1000/1013.25/100*EXP(17.67*(D25+E25)/2/((D25+E25)/2+273.16-29.65))</f>
        <v>2.98356972808968</v>
      </c>
      <c r="R25" s="424" t="n">
        <f aca="false">B25</f>
        <v>1950</v>
      </c>
      <c r="S25" s="424" t="n">
        <f aca="false">C25</f>
        <v>24</v>
      </c>
      <c r="T25" s="424" t="n">
        <f aca="false">D25</f>
        <v>-4.02</v>
      </c>
      <c r="U25" s="424" t="n">
        <f aca="false">E25</f>
        <v>0.22</v>
      </c>
      <c r="V25" s="0" t="n">
        <f aca="false">MIN(0.263*M25/1000*1013.25*100/EXP(17.67*E25/(E25+273.16-29.65)), 100)</f>
        <v>78.2495272819276</v>
      </c>
      <c r="W25" s="0" t="n">
        <f aca="false">MIN(0.263*M25/1000*1013.25*100/EXP(17.67*D25/(D25+273.16-29.65)), 100)</f>
        <v>100</v>
      </c>
      <c r="X25" s="0" t="n">
        <f aca="false">(198.58*(1/(2/15*ACOS(-TAN(3.1416/180*$L$1)*TAN(3.1416/180*23.45*SIN((2*3.1416/365*(C25+284)))))/3.1416*180))^2+5.0551/(2/15*ACOS(-TAN(3.1416/180*$L$1)*TAN(3.1416/180*23.45*SIN((2*3.1416/365*(C25+284)))))/3.1416*180)+1.49)*G25*2.02</f>
        <v>532.920922548563</v>
      </c>
      <c r="Y25" s="424" t="n">
        <f aca="false">H25</f>
        <v>0</v>
      </c>
      <c r="Z25" s="424" t="n">
        <f aca="false">I25</f>
        <v>1</v>
      </c>
    </row>
    <row r="26" customFormat="false" ht="15.75" hidden="false" customHeight="false" outlineLevel="0" collapsed="false">
      <c r="B26" s="0" t="n">
        <v>1950</v>
      </c>
      <c r="C26" s="424" t="n">
        <v>25</v>
      </c>
      <c r="D26" s="0" t="n">
        <v>-3.1299999</v>
      </c>
      <c r="E26" s="0" t="n">
        <v>5.17</v>
      </c>
      <c r="F26" s="0" t="n">
        <v>89.835</v>
      </c>
      <c r="G26" s="0" t="n">
        <v>59</v>
      </c>
      <c r="H26" s="0" t="n">
        <v>0</v>
      </c>
      <c r="I26" s="0" t="n">
        <v>1</v>
      </c>
      <c r="M26" s="0" t="n">
        <f aca="false">F26/0.263*1000/1013.25/100*EXP(17.67*(D26+E26)/2/((D26+E26)/2+273.16-29.65))</f>
        <v>3.62897059704617</v>
      </c>
      <c r="R26" s="424" t="n">
        <f aca="false">B26</f>
        <v>1950</v>
      </c>
      <c r="S26" s="424" t="n">
        <f aca="false">C26</f>
        <v>25</v>
      </c>
      <c r="T26" s="424" t="n">
        <f aca="false">D26</f>
        <v>-3.1299999</v>
      </c>
      <c r="U26" s="424" t="n">
        <f aca="false">E26</f>
        <v>5.17</v>
      </c>
      <c r="V26" s="0" t="n">
        <f aca="false">MIN(0.263*M26/1000*1013.25*100/EXP(17.67*E26/(E26+273.16-29.65)), 100)</f>
        <v>66.9754219849479</v>
      </c>
      <c r="W26" s="0" t="n">
        <f aca="false">MIN(0.263*M26/1000*1013.25*100/EXP(17.67*D26/(D26+273.16-29.65)), 100)</f>
        <v>100</v>
      </c>
      <c r="X26" s="0" t="n">
        <f aca="false">(198.58*(1/(2/15*ACOS(-TAN(3.1416/180*$L$1)*TAN(3.1416/180*23.45*SIN((2*3.1416/365*(C26+284)))))/3.1416*180))^2+5.0551/(2/15*ACOS(-TAN(3.1416/180*$L$1)*TAN(3.1416/180*23.45*SIN((2*3.1416/365*(C26+284)))))/3.1416*180)+1.49)*G26*2.02</f>
        <v>521.512233948397</v>
      </c>
      <c r="Y26" s="424" t="n">
        <f aca="false">H26</f>
        <v>0</v>
      </c>
      <c r="Z26" s="424" t="n">
        <f aca="false">I26</f>
        <v>1</v>
      </c>
    </row>
    <row r="27" customFormat="false" ht="15.75" hidden="false" customHeight="false" outlineLevel="0" collapsed="false">
      <c r="B27" s="0" t="n">
        <v>1950</v>
      </c>
      <c r="C27" s="424" t="n">
        <v>26</v>
      </c>
      <c r="D27" s="0" t="n">
        <v>0</v>
      </c>
      <c r="E27" s="0" t="n">
        <v>7.5299997</v>
      </c>
      <c r="F27" s="0" t="n">
        <v>88.435005</v>
      </c>
      <c r="G27" s="0" t="n">
        <v>77</v>
      </c>
      <c r="H27" s="0" t="n">
        <v>0</v>
      </c>
      <c r="I27" s="0" t="n">
        <v>1</v>
      </c>
      <c r="M27" s="0" t="n">
        <f aca="false">F27/0.263*1000/1013.25/100*EXP(17.67*(D27+E27)/2/((D27+E27)/2+273.16-29.65))</f>
        <v>4.34305798707292</v>
      </c>
      <c r="R27" s="424" t="n">
        <f aca="false">B27</f>
        <v>1950</v>
      </c>
      <c r="S27" s="424" t="n">
        <f aca="false">C27</f>
        <v>26</v>
      </c>
      <c r="T27" s="424" t="n">
        <f aca="false">D27</f>
        <v>0</v>
      </c>
      <c r="U27" s="424" t="n">
        <f aca="false">E27</f>
        <v>7.5299997</v>
      </c>
      <c r="V27" s="0" t="n">
        <f aca="false">MIN(0.263*M27/1000*1013.25*100/EXP(17.67*E27/(E27+273.16-29.65)), 100)</f>
        <v>68.121652634156</v>
      </c>
      <c r="W27" s="0" t="n">
        <f aca="false">MIN(0.263*M27/1000*1013.25*100/EXP(17.67*D27/(D27+273.16-29.65)), 100)</f>
        <v>100</v>
      </c>
      <c r="X27" s="0" t="n">
        <f aca="false">(198.58*(1/(2/15*ACOS(-TAN(3.1416/180*$L$1)*TAN(3.1416/180*23.45*SIN((2*3.1416/365*(C27+284)))))/3.1416*180))^2+5.0551/(2/15*ACOS(-TAN(3.1416/180*$L$1)*TAN(3.1416/180*23.45*SIN((2*3.1416/365*(C27+284)))))/3.1416*180)+1.49)*G27*2.02</f>
        <v>677.292599222291</v>
      </c>
      <c r="Y27" s="424" t="n">
        <f aca="false">H27</f>
        <v>0</v>
      </c>
      <c r="Z27" s="424" t="n">
        <f aca="false">I27</f>
        <v>1</v>
      </c>
    </row>
    <row r="28" customFormat="false" ht="15.75" hidden="false" customHeight="false" outlineLevel="0" collapsed="false">
      <c r="B28" s="0" t="n">
        <v>1950</v>
      </c>
      <c r="C28" s="424" t="n">
        <v>27</v>
      </c>
      <c r="D28" s="0" t="n">
        <v>-3.81</v>
      </c>
      <c r="E28" s="0" t="n">
        <v>8.55</v>
      </c>
      <c r="F28" s="0" t="n">
        <v>88.485</v>
      </c>
      <c r="G28" s="0" t="n">
        <v>74</v>
      </c>
      <c r="H28" s="0" t="n">
        <v>0</v>
      </c>
      <c r="I28" s="0" t="n">
        <v>1</v>
      </c>
      <c r="M28" s="0" t="n">
        <f aca="false">F28/0.263*1000/1013.25/100*EXP(17.67*(D28+E28)/2/((D28+E28)/2+273.16-29.65))</f>
        <v>3.93700219084258</v>
      </c>
      <c r="R28" s="424" t="n">
        <f aca="false">B28</f>
        <v>1950</v>
      </c>
      <c r="S28" s="424" t="n">
        <f aca="false">C28</f>
        <v>27</v>
      </c>
      <c r="T28" s="424" t="n">
        <f aca="false">D28</f>
        <v>-3.81</v>
      </c>
      <c r="U28" s="424" t="n">
        <f aca="false">E28</f>
        <v>8.55</v>
      </c>
      <c r="V28" s="0" t="n">
        <f aca="false">MIN(0.263*M28/1000*1013.25*100/EXP(17.67*E28/(E28+273.16-29.65)), 100)</f>
        <v>57.6146194487945</v>
      </c>
      <c r="W28" s="0" t="n">
        <f aca="false">MIN(0.263*M28/1000*1013.25*100/EXP(17.67*D28/(D28+273.16-29.65)), 100)</f>
        <v>100</v>
      </c>
      <c r="X28" s="0" t="n">
        <f aca="false">(198.58*(1/(2/15*ACOS(-TAN(3.1416/180*$L$1)*TAN(3.1416/180*23.45*SIN((2*3.1416/365*(C28+284)))))/3.1416*180))^2+5.0551/(2/15*ACOS(-TAN(3.1416/180*$L$1)*TAN(3.1416/180*23.45*SIN((2*3.1416/365*(C28+284)))))/3.1416*180)+1.49)*G28*2.02</f>
        <v>647.685958834837</v>
      </c>
      <c r="Y28" s="424" t="n">
        <f aca="false">H28</f>
        <v>0</v>
      </c>
      <c r="Z28" s="424" t="n">
        <f aca="false">I28</f>
        <v>1</v>
      </c>
    </row>
    <row r="29" customFormat="false" ht="15.75" hidden="false" customHeight="false" outlineLevel="0" collapsed="false">
      <c r="B29" s="0" t="n">
        <v>1950</v>
      </c>
      <c r="C29" s="424" t="n">
        <v>28</v>
      </c>
      <c r="D29" s="0" t="n">
        <v>-3.55</v>
      </c>
      <c r="E29" s="0" t="n">
        <v>8</v>
      </c>
      <c r="F29" s="0" t="n">
        <v>87.275</v>
      </c>
      <c r="G29" s="0" t="n">
        <v>75</v>
      </c>
      <c r="H29" s="0" t="n">
        <v>0</v>
      </c>
      <c r="I29" s="0" t="n">
        <v>1</v>
      </c>
      <c r="M29" s="0" t="n">
        <f aca="false">F29/0.263*1000/1013.25/100*EXP(17.67*(D29+E29)/2/((D29+E29)/2+273.16-29.65))</f>
        <v>3.84327396671788</v>
      </c>
      <c r="R29" s="424" t="n">
        <f aca="false">B29</f>
        <v>1950</v>
      </c>
      <c r="S29" s="424" t="n">
        <f aca="false">C29</f>
        <v>28</v>
      </c>
      <c r="T29" s="424" t="n">
        <f aca="false">D29</f>
        <v>-3.55</v>
      </c>
      <c r="U29" s="424" t="n">
        <f aca="false">E29</f>
        <v>8</v>
      </c>
      <c r="V29" s="0" t="n">
        <f aca="false">MIN(0.263*M29/1000*1013.25*100/EXP(17.67*E29/(E29+273.16-29.65)), 100)</f>
        <v>58.3822133690455</v>
      </c>
      <c r="W29" s="0" t="n">
        <f aca="false">MIN(0.263*M29/1000*1013.25*100/EXP(17.67*D29/(D29+273.16-29.65)), 100)</f>
        <v>100</v>
      </c>
      <c r="X29" s="0" t="n">
        <f aca="false">(198.58*(1/(2/15*ACOS(-TAN(3.1416/180*$L$1)*TAN(3.1416/180*23.45*SIN((2*3.1416/365*(C29+284)))))/3.1416*180))^2+5.0551/(2/15*ACOS(-TAN(3.1416/180*$L$1)*TAN(3.1416/180*23.45*SIN((2*3.1416/365*(C29+284)))))/3.1416*180)+1.49)*G29*2.02</f>
        <v>653.156245234065</v>
      </c>
      <c r="Y29" s="424" t="n">
        <f aca="false">H29</f>
        <v>0</v>
      </c>
      <c r="Z29" s="424" t="n">
        <f aca="false">I29</f>
        <v>1</v>
      </c>
    </row>
    <row r="30" customFormat="false" ht="15.75" hidden="false" customHeight="false" outlineLevel="0" collapsed="false">
      <c r="B30" s="0" t="n">
        <v>1950</v>
      </c>
      <c r="C30" s="424" t="n">
        <v>29</v>
      </c>
      <c r="D30" s="0" t="n">
        <v>-2.54</v>
      </c>
      <c r="E30" s="0" t="n">
        <v>4.39</v>
      </c>
      <c r="F30" s="0" t="n">
        <v>93.50001</v>
      </c>
      <c r="G30" s="0" t="n">
        <v>24</v>
      </c>
      <c r="H30" s="0" t="n">
        <v>1.5</v>
      </c>
      <c r="I30" s="0" t="n">
        <v>1</v>
      </c>
      <c r="M30" s="0" t="n">
        <f aca="false">F30/0.263*1000/1013.25/100*EXP(17.67*(D30+E30)/2/((D30+E30)/2+273.16-29.65))</f>
        <v>3.75127989624463</v>
      </c>
      <c r="R30" s="424" t="n">
        <f aca="false">B30</f>
        <v>1950</v>
      </c>
      <c r="S30" s="424" t="n">
        <f aca="false">C30</f>
        <v>29</v>
      </c>
      <c r="T30" s="424" t="n">
        <f aca="false">D30</f>
        <v>-2.54</v>
      </c>
      <c r="U30" s="424" t="n">
        <f aca="false">E30</f>
        <v>4.39</v>
      </c>
      <c r="V30" s="0" t="n">
        <f aca="false">MIN(0.263*M30/1000*1013.25*100/EXP(17.67*E30/(E30+273.16-29.65)), 100)</f>
        <v>73.1063578932256</v>
      </c>
      <c r="W30" s="0" t="n">
        <f aca="false">MIN(0.263*M30/1000*1013.25*100/EXP(17.67*D30/(D30+273.16-29.65)), 100)</f>
        <v>100</v>
      </c>
      <c r="X30" s="0" t="n">
        <f aca="false">(198.58*(1/(2/15*ACOS(-TAN(3.1416/180*$L$1)*TAN(3.1416/180*23.45*SIN((2*3.1416/365*(C30+284)))))/3.1416*180))^2+5.0551/(2/15*ACOS(-TAN(3.1416/180*$L$1)*TAN(3.1416/180*23.45*SIN((2*3.1416/365*(C30+284)))))/3.1416*180)+1.49)*G30*2.02</f>
        <v>207.954269543456</v>
      </c>
      <c r="Y30" s="424" t="n">
        <f aca="false">H30</f>
        <v>1.5</v>
      </c>
      <c r="Z30" s="424" t="n">
        <f aca="false">I30</f>
        <v>1</v>
      </c>
    </row>
    <row r="31" customFormat="false" ht="15.75" hidden="false" customHeight="false" outlineLevel="0" collapsed="false">
      <c r="B31" s="0" t="n">
        <v>1950</v>
      </c>
      <c r="C31" s="424" t="n">
        <v>30</v>
      </c>
      <c r="D31" s="0" t="n">
        <v>2.07</v>
      </c>
      <c r="E31" s="0" t="n">
        <v>13.179999</v>
      </c>
      <c r="F31" s="0" t="n">
        <v>94.950005</v>
      </c>
      <c r="G31" s="0" t="n">
        <v>60</v>
      </c>
      <c r="H31" s="0" t="n">
        <v>0</v>
      </c>
      <c r="I31" s="0" t="n">
        <v>1</v>
      </c>
      <c r="M31" s="0" t="n">
        <f aca="false">F31/0.263*1000/1013.25/100*EXP(17.67*(D31+E31)/2/((D31+E31)/2+273.16-29.65))</f>
        <v>6.09286139824357</v>
      </c>
      <c r="R31" s="424" t="n">
        <f aca="false">B31</f>
        <v>1950</v>
      </c>
      <c r="S31" s="424" t="n">
        <f aca="false">C31</f>
        <v>30</v>
      </c>
      <c r="T31" s="424" t="n">
        <f aca="false">D31</f>
        <v>2.07</v>
      </c>
      <c r="U31" s="424" t="n">
        <f aca="false">E31</f>
        <v>13.179999</v>
      </c>
      <c r="V31" s="0" t="n">
        <f aca="false">MIN(0.263*M31/1000*1013.25*100/EXP(17.67*E31/(E31+273.16-29.65)), 100)</f>
        <v>65.5338183843099</v>
      </c>
      <c r="W31" s="0" t="n">
        <f aca="false">MIN(0.263*M31/1000*1013.25*100/EXP(17.67*D31/(D31+273.16-29.65)), 100)</f>
        <v>100</v>
      </c>
      <c r="X31" s="0" t="n">
        <f aca="false">(198.58*(1/(2/15*ACOS(-TAN(3.1416/180*$L$1)*TAN(3.1416/180*23.45*SIN((2*3.1416/365*(C31+284)))))/3.1416*180))^2+5.0551/(2/15*ACOS(-TAN(3.1416/180*$L$1)*TAN(3.1416/180*23.45*SIN((2*3.1416/365*(C31+284)))))/3.1416*180)+1.49)*G31*2.02</f>
        <v>517.235269262982</v>
      </c>
      <c r="Y31" s="424" t="n">
        <f aca="false">H31</f>
        <v>0</v>
      </c>
      <c r="Z31" s="424" t="n">
        <f aca="false">I31</f>
        <v>1</v>
      </c>
    </row>
    <row r="32" customFormat="false" ht="15.75" hidden="false" customHeight="false" outlineLevel="0" collapsed="false">
      <c r="B32" s="0" t="n">
        <v>1950</v>
      </c>
      <c r="C32" s="424" t="n">
        <v>31</v>
      </c>
      <c r="D32" s="0" t="n">
        <v>4.58</v>
      </c>
      <c r="E32" s="0" t="n">
        <v>14.259999</v>
      </c>
      <c r="F32" s="0" t="n">
        <v>87.995</v>
      </c>
      <c r="G32" s="0" t="n">
        <v>44</v>
      </c>
      <c r="H32" s="0" t="n">
        <v>5.5</v>
      </c>
      <c r="I32" s="0" t="n">
        <v>1</v>
      </c>
      <c r="M32" s="0" t="n">
        <f aca="false">F32/0.263*1000/1013.25/100*EXP(17.67*(D32+E32)/2/((D32+E32)/2+273.16-29.65))</f>
        <v>6.37663665491764</v>
      </c>
      <c r="R32" s="424" t="n">
        <f aca="false">B32</f>
        <v>1950</v>
      </c>
      <c r="S32" s="424" t="n">
        <f aca="false">C32</f>
        <v>31</v>
      </c>
      <c r="T32" s="424" t="n">
        <f aca="false">D32</f>
        <v>4.58</v>
      </c>
      <c r="U32" s="424" t="n">
        <f aca="false">E32</f>
        <v>14.259999</v>
      </c>
      <c r="V32" s="0" t="n">
        <f aca="false">MIN(0.263*M32/1000*1013.25*100/EXP(17.67*E32/(E32+273.16-29.65)), 100)</f>
        <v>63.9343748330067</v>
      </c>
      <c r="W32" s="0" t="n">
        <f aca="false">MIN(0.263*M32/1000*1013.25*100/EXP(17.67*D32/(D32+273.16-29.65)), 100)</f>
        <v>100</v>
      </c>
      <c r="X32" s="0" t="n">
        <f aca="false">(198.58*(1/(2/15*ACOS(-TAN(3.1416/180*$L$1)*TAN(3.1416/180*23.45*SIN((2*3.1416/365*(C32+284)))))/3.1416*180))^2+5.0551/(2/15*ACOS(-TAN(3.1416/180*$L$1)*TAN(3.1416/180*23.45*SIN((2*3.1416/365*(C32+284)))))/3.1416*180)+1.49)*G32*2.02</f>
        <v>377.355841632142</v>
      </c>
      <c r="Y32" s="424" t="n">
        <f aca="false">H32</f>
        <v>5.5</v>
      </c>
      <c r="Z32" s="424" t="n">
        <f aca="false">I32</f>
        <v>1</v>
      </c>
    </row>
    <row r="33" customFormat="false" ht="15.75" hidden="false" customHeight="false" outlineLevel="0" collapsed="false">
      <c r="B33" s="0" t="n">
        <v>1950</v>
      </c>
      <c r="C33" s="424" t="n">
        <v>32</v>
      </c>
      <c r="D33" s="0" t="n">
        <v>2.44</v>
      </c>
      <c r="E33" s="0" t="n">
        <v>12.099999</v>
      </c>
      <c r="F33" s="0" t="n">
        <v>82.32</v>
      </c>
      <c r="G33" s="0" t="n">
        <v>98</v>
      </c>
      <c r="H33" s="0" t="n">
        <v>0</v>
      </c>
      <c r="I33" s="0" t="n">
        <v>1</v>
      </c>
      <c r="M33" s="0" t="n">
        <f aca="false">F33/0.263*1000/1013.25/100*EXP(17.67*(D33+E33)/2/((D33+E33)/2+273.16-29.65))</f>
        <v>5.1558269721819</v>
      </c>
      <c r="R33" s="424" t="n">
        <f aca="false">B33</f>
        <v>1950</v>
      </c>
      <c r="S33" s="424" t="n">
        <f aca="false">C33</f>
        <v>32</v>
      </c>
      <c r="T33" s="424" t="n">
        <f aca="false">D33</f>
        <v>2.44</v>
      </c>
      <c r="U33" s="424" t="n">
        <f aca="false">E33</f>
        <v>12.099999</v>
      </c>
      <c r="V33" s="0" t="n">
        <f aca="false">MIN(0.263*M33/1000*1013.25*100/EXP(17.67*E33/(E33+273.16-29.65)), 100)</f>
        <v>59.525311918409</v>
      </c>
      <c r="W33" s="0" t="n">
        <f aca="false">MIN(0.263*M33/1000*1013.25*100/EXP(17.67*D33/(D33+273.16-29.65)), 100)</f>
        <v>100</v>
      </c>
      <c r="X33" s="0" t="n">
        <f aca="false">(198.58*(1/(2/15*ACOS(-TAN(3.1416/180*$L$1)*TAN(3.1416/180*23.45*SIN((2*3.1416/365*(C33+284)))))/3.1416*180))^2+5.0551/(2/15*ACOS(-TAN(3.1416/180*$L$1)*TAN(3.1416/180*23.45*SIN((2*3.1416/365*(C33+284)))))/3.1416*180)+1.49)*G33*2.02</f>
        <v>836.120613480545</v>
      </c>
      <c r="Y33" s="424" t="n">
        <f aca="false">H33</f>
        <v>0</v>
      </c>
      <c r="Z33" s="424" t="n">
        <f aca="false">I33</f>
        <v>1</v>
      </c>
    </row>
    <row r="34" customFormat="false" ht="15.75" hidden="false" customHeight="false" outlineLevel="0" collapsed="false">
      <c r="B34" s="0" t="n">
        <v>1950</v>
      </c>
      <c r="C34" s="424" t="n">
        <v>33</v>
      </c>
      <c r="D34" s="0" t="n">
        <v>4.0699997</v>
      </c>
      <c r="E34" s="0" t="n">
        <v>14.21</v>
      </c>
      <c r="F34" s="0" t="n">
        <v>76.625</v>
      </c>
      <c r="G34" s="0" t="n">
        <v>50</v>
      </c>
      <c r="H34" s="0" t="n">
        <v>0</v>
      </c>
      <c r="I34" s="0" t="n">
        <v>1</v>
      </c>
      <c r="M34" s="0" t="n">
        <f aca="false">F34/0.263*1000/1013.25/100*EXP(17.67*(D34+E34)/2/((D34+E34)/2+273.16-29.65))</f>
        <v>5.44899246206469</v>
      </c>
      <c r="R34" s="424" t="n">
        <f aca="false">B34</f>
        <v>1950</v>
      </c>
      <c r="S34" s="424" t="n">
        <f aca="false">C34</f>
        <v>33</v>
      </c>
      <c r="T34" s="424" t="n">
        <f aca="false">D34</f>
        <v>4.0699997</v>
      </c>
      <c r="U34" s="424" t="n">
        <f aca="false">E34</f>
        <v>14.21</v>
      </c>
      <c r="V34" s="0" t="n">
        <f aca="false">MIN(0.263*M34/1000*1013.25*100/EXP(17.67*E34/(E34+273.16-29.65)), 100)</f>
        <v>54.8107052136896</v>
      </c>
      <c r="W34" s="0" t="n">
        <f aca="false">MIN(0.263*M34/1000*1013.25*100/EXP(17.67*D34/(D34+273.16-29.65)), 100)</f>
        <v>100</v>
      </c>
      <c r="X34" s="0" t="n">
        <f aca="false">(198.58*(1/(2/15*ACOS(-TAN(3.1416/180*$L$1)*TAN(3.1416/180*23.45*SIN((2*3.1416/365*(C34+284)))))/3.1416*180))^2+5.0551/(2/15*ACOS(-TAN(3.1416/180*$L$1)*TAN(3.1416/180*23.45*SIN((2*3.1416/365*(C34+284)))))/3.1416*180)+1.49)*G34*2.02</f>
        <v>424.367283693852</v>
      </c>
      <c r="Y34" s="424" t="n">
        <f aca="false">H34</f>
        <v>0</v>
      </c>
      <c r="Z34" s="424" t="n">
        <f aca="false">I34</f>
        <v>1</v>
      </c>
    </row>
    <row r="35" customFormat="false" ht="15.75" hidden="false" customHeight="false" outlineLevel="0" collapsed="false">
      <c r="B35" s="0" t="n">
        <v>1950</v>
      </c>
      <c r="C35" s="424" t="n">
        <v>34</v>
      </c>
      <c r="D35" s="0" t="n">
        <v>7.71</v>
      </c>
      <c r="E35" s="0" t="n">
        <v>12.849999</v>
      </c>
      <c r="F35" s="0" t="n">
        <v>80.345</v>
      </c>
      <c r="G35" s="0" t="n">
        <v>38</v>
      </c>
      <c r="H35" s="0" t="n">
        <v>3.1000001</v>
      </c>
      <c r="I35" s="0" t="n">
        <v>1</v>
      </c>
      <c r="M35" s="0" t="n">
        <f aca="false">F35/0.263*1000/1013.25/100*EXP(17.67*(D35+E35)/2/((D35+E35)/2+273.16-29.65))</f>
        <v>6.16777210883534</v>
      </c>
      <c r="R35" s="424" t="n">
        <f aca="false">B35</f>
        <v>1950</v>
      </c>
      <c r="S35" s="424" t="n">
        <f aca="false">C35</f>
        <v>34</v>
      </c>
      <c r="T35" s="424" t="n">
        <f aca="false">D35</f>
        <v>7.71</v>
      </c>
      <c r="U35" s="424" t="n">
        <f aca="false">E35</f>
        <v>12.849999</v>
      </c>
      <c r="V35" s="0" t="n">
        <f aca="false">MIN(0.263*M35/1000*1013.25*100/EXP(17.67*E35/(E35+273.16-29.65)), 100)</f>
        <v>67.7865658235376</v>
      </c>
      <c r="W35" s="0" t="n">
        <f aca="false">MIN(0.263*M35/1000*1013.25*100/EXP(17.67*D35/(D35+273.16-29.65)), 100)</f>
        <v>95.5618059000273</v>
      </c>
      <c r="X35" s="0" t="n">
        <f aca="false">(198.58*(1/(2/15*ACOS(-TAN(3.1416/180*$L$1)*TAN(3.1416/180*23.45*SIN((2*3.1416/365*(C35+284)))))/3.1416*180))^2+5.0551/(2/15*ACOS(-TAN(3.1416/180*$L$1)*TAN(3.1416/180*23.45*SIN((2*3.1416/365*(C35+284)))))/3.1416*180)+1.49)*G35*2.02</f>
        <v>320.826849306129</v>
      </c>
      <c r="Y35" s="424" t="n">
        <f aca="false">H35</f>
        <v>3.1000001</v>
      </c>
      <c r="Z35" s="424" t="n">
        <f aca="false">I35</f>
        <v>1</v>
      </c>
    </row>
    <row r="36" customFormat="false" ht="15.75" hidden="false" customHeight="false" outlineLevel="0" collapsed="false">
      <c r="B36" s="0" t="n">
        <v>1950</v>
      </c>
      <c r="C36" s="424" t="n">
        <v>35</v>
      </c>
      <c r="D36" s="0" t="n">
        <v>6.2799997</v>
      </c>
      <c r="E36" s="0" t="n">
        <v>13.009999</v>
      </c>
      <c r="F36" s="0" t="n">
        <v>78.935005</v>
      </c>
      <c r="G36" s="0" t="n">
        <v>93</v>
      </c>
      <c r="H36" s="0" t="n">
        <v>2.8</v>
      </c>
      <c r="I36" s="0" t="n">
        <v>1</v>
      </c>
      <c r="M36" s="0" t="n">
        <f aca="false">F36/0.263*1000/1013.25/100*EXP(17.67*(D36+E36)/2/((D36+E36)/2+273.16-29.65))</f>
        <v>5.80724037333555</v>
      </c>
      <c r="R36" s="424" t="n">
        <f aca="false">B36</f>
        <v>1950</v>
      </c>
      <c r="S36" s="424" t="n">
        <f aca="false">C36</f>
        <v>35</v>
      </c>
      <c r="T36" s="424" t="n">
        <f aca="false">D36</f>
        <v>6.2799997</v>
      </c>
      <c r="U36" s="424" t="n">
        <f aca="false">E36</f>
        <v>13.009999</v>
      </c>
      <c r="V36" s="0" t="n">
        <f aca="false">MIN(0.263*M36/1000*1013.25*100/EXP(17.67*E36/(E36+273.16-29.65)), 100)</f>
        <v>63.1594766382673</v>
      </c>
      <c r="W36" s="0" t="n">
        <f aca="false">MIN(0.263*M36/1000*1013.25*100/EXP(17.67*D36/(D36+273.16-29.65)), 100)</f>
        <v>99.2452303075499</v>
      </c>
      <c r="X36" s="0" t="n">
        <f aca="false">(198.58*(1/(2/15*ACOS(-TAN(3.1416/180*$L$1)*TAN(3.1416/180*23.45*SIN((2*3.1416/365*(C36+284)))))/3.1416*180))^2+5.0551/(2/15*ACOS(-TAN(3.1416/180*$L$1)*TAN(3.1416/180*23.45*SIN((2*3.1416/365*(C36+284)))))/3.1416*180)+1.49)*G36*2.02</f>
        <v>781.039529520055</v>
      </c>
      <c r="Y36" s="424" t="n">
        <f aca="false">H36</f>
        <v>2.8</v>
      </c>
      <c r="Z36" s="424" t="n">
        <f aca="false">I36</f>
        <v>1</v>
      </c>
    </row>
    <row r="37" customFormat="false" ht="15.75" hidden="false" customHeight="false" outlineLevel="0" collapsed="false">
      <c r="B37" s="0" t="n">
        <v>1950</v>
      </c>
      <c r="C37" s="424" t="n">
        <v>36</v>
      </c>
      <c r="D37" s="0" t="n">
        <v>3.3</v>
      </c>
      <c r="E37" s="0" t="n">
        <v>12</v>
      </c>
      <c r="F37" s="0" t="n">
        <v>85.275</v>
      </c>
      <c r="G37" s="0" t="n">
        <v>111</v>
      </c>
      <c r="H37" s="0" t="n">
        <v>9.900001</v>
      </c>
      <c r="I37" s="0" t="n">
        <v>1</v>
      </c>
      <c r="M37" s="0" t="n">
        <f aca="false">F37/0.263*1000/1013.25/100*EXP(17.67*(D37+E37)/2/((D37+E37)/2+273.16-29.65))</f>
        <v>5.48136486358672</v>
      </c>
      <c r="R37" s="424" t="n">
        <f aca="false">B37</f>
        <v>1950</v>
      </c>
      <c r="S37" s="424" t="n">
        <f aca="false">C37</f>
        <v>36</v>
      </c>
      <c r="T37" s="424" t="n">
        <f aca="false">D37</f>
        <v>3.3</v>
      </c>
      <c r="U37" s="424" t="n">
        <f aca="false">E37</f>
        <v>12</v>
      </c>
      <c r="V37" s="0" t="n">
        <f aca="false">MIN(0.263*M37/1000*1013.25*100/EXP(17.67*E37/(E37+273.16-29.65)), 100)</f>
        <v>63.7020271802419</v>
      </c>
      <c r="W37" s="0" t="n">
        <f aca="false">MIN(0.263*M37/1000*1013.25*100/EXP(17.67*D37/(D37+273.16-29.65)), 100)</f>
        <v>100</v>
      </c>
      <c r="X37" s="0" t="n">
        <f aca="false">(198.58*(1/(2/15*ACOS(-TAN(3.1416/180*$L$1)*TAN(3.1416/180*23.45*SIN((2*3.1416/365*(C37+284)))))/3.1416*180))^2+5.0551/(2/15*ACOS(-TAN(3.1416/180*$L$1)*TAN(3.1416/180*23.45*SIN((2*3.1416/365*(C37+284)))))/3.1416*180)+1.49)*G37*2.02</f>
        <v>927.267939240049</v>
      </c>
      <c r="Y37" s="424" t="n">
        <f aca="false">H37</f>
        <v>9.900001</v>
      </c>
      <c r="Z37" s="424" t="n">
        <f aca="false">I37</f>
        <v>1</v>
      </c>
    </row>
    <row r="38" customFormat="false" ht="15.75" hidden="false" customHeight="false" outlineLevel="0" collapsed="false">
      <c r="B38" s="0" t="n">
        <v>1950</v>
      </c>
      <c r="C38" s="424" t="n">
        <v>37</v>
      </c>
      <c r="D38" s="0" t="n">
        <v>8.01</v>
      </c>
      <c r="E38" s="0" t="n">
        <v>11.67</v>
      </c>
      <c r="F38" s="0" t="n">
        <v>78.545</v>
      </c>
      <c r="G38" s="0" t="n">
        <v>37</v>
      </c>
      <c r="H38" s="0" t="n">
        <v>13.5</v>
      </c>
      <c r="I38" s="0" t="n">
        <v>1</v>
      </c>
      <c r="M38" s="0" t="n">
        <f aca="false">F38/0.263*1000/1013.25/100*EXP(17.67*(D38+E38)/2/((D38+E38)/2+273.16-29.65))</f>
        <v>5.85464072020934</v>
      </c>
      <c r="R38" s="424" t="n">
        <f aca="false">B38</f>
        <v>1950</v>
      </c>
      <c r="S38" s="424" t="n">
        <f aca="false">C38</f>
        <v>37</v>
      </c>
      <c r="T38" s="424" t="n">
        <f aca="false">D38</f>
        <v>8.01</v>
      </c>
      <c r="U38" s="424" t="n">
        <f aca="false">E38</f>
        <v>11.67</v>
      </c>
      <c r="V38" s="0" t="n">
        <f aca="false">MIN(0.263*M38/1000*1013.25*100/EXP(17.67*E38/(E38+273.16-29.65)), 100)</f>
        <v>69.5380874183532</v>
      </c>
      <c r="W38" s="0" t="n">
        <f aca="false">MIN(0.263*M38/1000*1013.25*100/EXP(17.67*D38/(D38+273.16-29.65)), 100)</f>
        <v>88.8759101257448</v>
      </c>
      <c r="X38" s="0" t="n">
        <f aca="false">(198.58*(1/(2/15*ACOS(-TAN(3.1416/180*$L$1)*TAN(3.1416/180*23.45*SIN((2*3.1416/365*(C38+284)))))/3.1416*180))^2+5.0551/(2/15*ACOS(-TAN(3.1416/180*$L$1)*TAN(3.1416/180*23.45*SIN((2*3.1416/365*(C38+284)))))/3.1416*180)+1.49)*G38*2.02</f>
        <v>307.444612833935</v>
      </c>
      <c r="Y38" s="424" t="n">
        <f aca="false">H38</f>
        <v>13.5</v>
      </c>
      <c r="Z38" s="424" t="n">
        <f aca="false">I38</f>
        <v>1</v>
      </c>
    </row>
    <row r="39" customFormat="false" ht="15.75" hidden="false" customHeight="false" outlineLevel="0" collapsed="false">
      <c r="B39" s="0" t="n">
        <v>1950</v>
      </c>
      <c r="C39" s="424" t="n">
        <v>38</v>
      </c>
      <c r="D39" s="0" t="n">
        <v>3.73</v>
      </c>
      <c r="E39" s="0" t="n">
        <v>11.639999</v>
      </c>
      <c r="F39" s="0" t="n">
        <v>93.336845</v>
      </c>
      <c r="G39" s="0" t="n">
        <v>92</v>
      </c>
      <c r="H39" s="0" t="n">
        <v>12.2</v>
      </c>
      <c r="I39" s="0" t="n">
        <v>1</v>
      </c>
      <c r="M39" s="0" t="n">
        <f aca="false">F39/0.263*1000/1013.25/100*EXP(17.67*(D39+E39)/2/((D39+E39)/2+273.16-29.65))</f>
        <v>6.01390778055276</v>
      </c>
      <c r="R39" s="424" t="n">
        <f aca="false">B39</f>
        <v>1950</v>
      </c>
      <c r="S39" s="424" t="n">
        <f aca="false">C39</f>
        <v>38</v>
      </c>
      <c r="T39" s="424" t="n">
        <f aca="false">D39</f>
        <v>3.73</v>
      </c>
      <c r="U39" s="424" t="n">
        <f aca="false">E39</f>
        <v>11.639999</v>
      </c>
      <c r="V39" s="0" t="n">
        <f aca="false">MIN(0.263*M39/1000*1013.25*100/EXP(17.67*E39/(E39+273.16-29.65)), 100)</f>
        <v>71.5715318241906</v>
      </c>
      <c r="W39" s="0" t="n">
        <f aca="false">MIN(0.263*M39/1000*1013.25*100/EXP(17.67*D39/(D39+273.16-29.65)), 100)</f>
        <v>100</v>
      </c>
      <c r="X39" s="0" t="n">
        <f aca="false">(198.58*(1/(2/15*ACOS(-TAN(3.1416/180*$L$1)*TAN(3.1416/180*23.45*SIN((2*3.1416/365*(C39+284)))))/3.1416*180))^2+5.0551/(2/15*ACOS(-TAN(3.1416/180*$L$1)*TAN(3.1416/180*23.45*SIN((2*3.1416/365*(C39+284)))))/3.1416*180)+1.49)*G39*2.02</f>
        <v>760.375289780609</v>
      </c>
      <c r="Y39" s="424" t="n">
        <f aca="false">H39</f>
        <v>12.2</v>
      </c>
      <c r="Z39" s="424" t="n">
        <f aca="false">I39</f>
        <v>1</v>
      </c>
    </row>
    <row r="40" customFormat="false" ht="15.75" hidden="false" customHeight="false" outlineLevel="0" collapsed="false">
      <c r="B40" s="0" t="n">
        <v>1950</v>
      </c>
      <c r="C40" s="424" t="n">
        <v>39</v>
      </c>
      <c r="D40" s="0" t="n">
        <v>7.87</v>
      </c>
      <c r="E40" s="0" t="n">
        <v>13.049999</v>
      </c>
      <c r="F40" s="0" t="n">
        <v>87.22</v>
      </c>
      <c r="G40" s="0" t="n">
        <v>91</v>
      </c>
      <c r="H40" s="0" t="n">
        <v>9.2</v>
      </c>
      <c r="I40" s="0" t="n">
        <v>1</v>
      </c>
      <c r="M40" s="0" t="n">
        <f aca="false">F40/0.263*1000/1013.25/100*EXP(17.67*(D40+E40)/2/((D40+E40)/2+273.16-29.65))</f>
        <v>6.77647962345523</v>
      </c>
      <c r="R40" s="424" t="n">
        <f aca="false">B40</f>
        <v>1950</v>
      </c>
      <c r="S40" s="424" t="n">
        <f aca="false">C40</f>
        <v>39</v>
      </c>
      <c r="T40" s="424" t="n">
        <f aca="false">D40</f>
        <v>7.87</v>
      </c>
      <c r="U40" s="424" t="n">
        <f aca="false">E40</f>
        <v>13.049999</v>
      </c>
      <c r="V40" s="0" t="n">
        <f aca="false">MIN(0.263*M40/1000*1013.25*100/EXP(17.67*E40/(E40+273.16-29.65)), 100)</f>
        <v>73.5084210543977</v>
      </c>
      <c r="W40" s="0" t="n">
        <f aca="false">MIN(0.263*M40/1000*1013.25*100/EXP(17.67*D40/(D40+273.16-29.65)), 100)</f>
        <v>100</v>
      </c>
      <c r="X40" s="0" t="n">
        <f aca="false">(198.58*(1/(2/15*ACOS(-TAN(3.1416/180*$L$1)*TAN(3.1416/180*23.45*SIN((2*3.1416/365*(C40+284)))))/3.1416*180))^2+5.0551/(2/15*ACOS(-TAN(3.1416/180*$L$1)*TAN(3.1416/180*23.45*SIN((2*3.1416/365*(C40+284)))))/3.1416*180)+1.49)*G40*2.02</f>
        <v>748.083416351867</v>
      </c>
      <c r="Y40" s="424" t="n">
        <f aca="false">H40</f>
        <v>9.2</v>
      </c>
      <c r="Z40" s="424" t="n">
        <f aca="false">I40</f>
        <v>1</v>
      </c>
    </row>
    <row r="41" customFormat="false" ht="15.75" hidden="false" customHeight="false" outlineLevel="0" collapsed="false">
      <c r="B41" s="0" t="n">
        <v>1950</v>
      </c>
      <c r="C41" s="424" t="n">
        <v>40</v>
      </c>
      <c r="D41" s="0" t="n">
        <v>5.48</v>
      </c>
      <c r="E41" s="0" t="n">
        <v>12.4</v>
      </c>
      <c r="F41" s="0" t="n">
        <v>88.495</v>
      </c>
      <c r="G41" s="0" t="n">
        <v>30</v>
      </c>
      <c r="H41" s="0" t="n">
        <v>5.5</v>
      </c>
      <c r="I41" s="0" t="n">
        <v>1</v>
      </c>
      <c r="M41" s="0" t="n">
        <f aca="false">F41/0.263*1000/1013.25/100*EXP(17.67*(D41+E41)/2/((D41+E41)/2+273.16-29.65))</f>
        <v>6.20875882055204</v>
      </c>
      <c r="R41" s="424" t="n">
        <f aca="false">B41</f>
        <v>1950</v>
      </c>
      <c r="S41" s="424" t="n">
        <f aca="false">C41</f>
        <v>40</v>
      </c>
      <c r="T41" s="424" t="n">
        <f aca="false">D41</f>
        <v>5.48</v>
      </c>
      <c r="U41" s="424" t="n">
        <f aca="false">E41</f>
        <v>12.4</v>
      </c>
      <c r="V41" s="0" t="n">
        <f aca="false">MIN(0.263*M41/1000*1013.25*100/EXP(17.67*E41/(E41+273.16-29.65)), 100)</f>
        <v>70.2809867820071</v>
      </c>
      <c r="W41" s="0" t="n">
        <f aca="false">MIN(0.263*M41/1000*1013.25*100/EXP(17.67*D41/(D41+273.16-29.65)), 100)</f>
        <v>100</v>
      </c>
      <c r="X41" s="0" t="n">
        <f aca="false">(198.58*(1/(2/15*ACOS(-TAN(3.1416/180*$L$1)*TAN(3.1416/180*23.45*SIN((2*3.1416/365*(C41+284)))))/3.1416*180))^2+5.0551/(2/15*ACOS(-TAN(3.1416/180*$L$1)*TAN(3.1416/180*23.45*SIN((2*3.1416/365*(C41+284)))))/3.1416*180)+1.49)*G41*2.02</f>
        <v>245.297503391767</v>
      </c>
      <c r="Y41" s="424" t="n">
        <f aca="false">H41</f>
        <v>5.5</v>
      </c>
      <c r="Z41" s="424" t="n">
        <f aca="false">I41</f>
        <v>1</v>
      </c>
    </row>
    <row r="42" customFormat="false" ht="15.75" hidden="false" customHeight="false" outlineLevel="0" collapsed="false">
      <c r="B42" s="0" t="n">
        <v>1950</v>
      </c>
      <c r="C42" s="424" t="n">
        <v>41</v>
      </c>
      <c r="D42" s="0" t="n">
        <v>8.79</v>
      </c>
      <c r="E42" s="0" t="n">
        <v>14.03</v>
      </c>
      <c r="F42" s="0" t="n">
        <v>86.495</v>
      </c>
      <c r="G42" s="0" t="n">
        <v>88</v>
      </c>
      <c r="H42" s="0" t="n">
        <v>6.2000003</v>
      </c>
      <c r="I42" s="0" t="n">
        <v>1</v>
      </c>
      <c r="M42" s="0" t="n">
        <f aca="false">F42/0.263*1000/1013.25/100*EXP(17.67*(D42+E42)/2/((D42+E42)/2+273.16-29.65))</f>
        <v>7.15812939424367</v>
      </c>
      <c r="R42" s="424" t="n">
        <f aca="false">B42</f>
        <v>1950</v>
      </c>
      <c r="S42" s="424" t="n">
        <f aca="false">C42</f>
        <v>41</v>
      </c>
      <c r="T42" s="424" t="n">
        <f aca="false">D42</f>
        <v>8.79</v>
      </c>
      <c r="U42" s="424" t="n">
        <f aca="false">E42</f>
        <v>14.03</v>
      </c>
      <c r="V42" s="0" t="n">
        <f aca="false">MIN(0.263*M42/1000*1013.25*100/EXP(17.67*E42/(E42+273.16-29.65)), 100)</f>
        <v>72.8478104226209</v>
      </c>
      <c r="W42" s="0" t="n">
        <f aca="false">MIN(0.263*M42/1000*1013.25*100/EXP(17.67*D42/(D42+273.16-29.65)), 100)</f>
        <v>100</v>
      </c>
      <c r="X42" s="0" t="n">
        <f aca="false">(198.58*(1/(2/15*ACOS(-TAN(3.1416/180*$L$1)*TAN(3.1416/180*23.45*SIN((2*3.1416/365*(C42+284)))))/3.1416*180))^2+5.0551/(2/15*ACOS(-TAN(3.1416/180*$L$1)*TAN(3.1416/180*23.45*SIN((2*3.1416/365*(C42+284)))))/3.1416*180)+1.49)*G42*2.02</f>
        <v>715.671648565868</v>
      </c>
      <c r="Y42" s="424" t="n">
        <f aca="false">H42</f>
        <v>6.2000003</v>
      </c>
      <c r="Z42" s="424" t="n">
        <f aca="false">I42</f>
        <v>1</v>
      </c>
    </row>
    <row r="43" customFormat="false" ht="15.75" hidden="false" customHeight="false" outlineLevel="0" collapsed="false">
      <c r="B43" s="0" t="n">
        <v>1950</v>
      </c>
      <c r="C43" s="424" t="n">
        <v>42</v>
      </c>
      <c r="D43" s="0" t="n">
        <v>8.65</v>
      </c>
      <c r="E43" s="0" t="n">
        <v>11.45</v>
      </c>
      <c r="F43" s="0" t="n">
        <v>83.840004</v>
      </c>
      <c r="G43" s="0" t="n">
        <v>46</v>
      </c>
      <c r="H43" s="0" t="n">
        <v>9.5</v>
      </c>
      <c r="I43" s="0" t="n">
        <v>1</v>
      </c>
      <c r="M43" s="0" t="n">
        <f aca="false">F43/0.263*1000/1013.25/100*EXP(17.67*(D43+E43)/2/((D43+E43)/2+273.16-29.65))</f>
        <v>6.33784752627701</v>
      </c>
      <c r="R43" s="424" t="n">
        <f aca="false">B43</f>
        <v>1950</v>
      </c>
      <c r="S43" s="424" t="n">
        <f aca="false">C43</f>
        <v>42</v>
      </c>
      <c r="T43" s="424" t="n">
        <f aca="false">D43</f>
        <v>8.65</v>
      </c>
      <c r="U43" s="424" t="n">
        <f aca="false">E43</f>
        <v>11.45</v>
      </c>
      <c r="V43" s="0" t="n">
        <f aca="false">MIN(0.263*M43/1000*1013.25*100/EXP(17.67*E43/(E43+273.16-29.65)), 100)</f>
        <v>76.3806204804222</v>
      </c>
      <c r="W43" s="0" t="n">
        <f aca="false">MIN(0.263*M43/1000*1013.25*100/EXP(17.67*D43/(D43+273.16-29.65)), 100)</f>
        <v>92.1231456449322</v>
      </c>
      <c r="X43" s="0" t="n">
        <f aca="false">(198.58*(1/(2/15*ACOS(-TAN(3.1416/180*$L$1)*TAN(3.1416/180*23.45*SIN((2*3.1416/365*(C43+284)))))/3.1416*180))^2+5.0551/(2/15*ACOS(-TAN(3.1416/180*$L$1)*TAN(3.1416/180*23.45*SIN((2*3.1416/365*(C43+284)))))/3.1416*180)+1.49)*G43*2.02</f>
        <v>372.087840684671</v>
      </c>
      <c r="Y43" s="424" t="n">
        <f aca="false">H43</f>
        <v>9.5</v>
      </c>
      <c r="Z43" s="424" t="n">
        <f aca="false">I43</f>
        <v>1</v>
      </c>
    </row>
    <row r="44" customFormat="false" ht="15.75" hidden="false" customHeight="false" outlineLevel="0" collapsed="false">
      <c r="B44" s="0" t="n">
        <v>1950</v>
      </c>
      <c r="C44" s="424" t="n">
        <v>43</v>
      </c>
      <c r="D44" s="0" t="n">
        <v>5.68</v>
      </c>
      <c r="E44" s="0" t="n">
        <v>11.66</v>
      </c>
      <c r="F44" s="0" t="n">
        <v>81.665</v>
      </c>
      <c r="G44" s="0" t="n">
        <v>54</v>
      </c>
      <c r="H44" s="0" t="n">
        <v>2.5</v>
      </c>
      <c r="I44" s="0" t="n">
        <v>1</v>
      </c>
      <c r="M44" s="0" t="n">
        <f aca="false">F44/0.263*1000/1013.25/100*EXP(17.67*(D44+E44)/2/((D44+E44)/2+273.16-29.65))</f>
        <v>5.62596114297108</v>
      </c>
      <c r="R44" s="424" t="n">
        <f aca="false">B44</f>
        <v>1950</v>
      </c>
      <c r="S44" s="424" t="n">
        <f aca="false">C44</f>
        <v>43</v>
      </c>
      <c r="T44" s="424" t="n">
        <f aca="false">D44</f>
        <v>5.68</v>
      </c>
      <c r="U44" s="424" t="n">
        <f aca="false">E44</f>
        <v>11.66</v>
      </c>
      <c r="V44" s="0" t="n">
        <f aca="false">MIN(0.263*M44/1000*1013.25*100/EXP(17.67*E44/(E44+273.16-29.65)), 100)</f>
        <v>66.8661329295162</v>
      </c>
      <c r="W44" s="0" t="n">
        <f aca="false">MIN(0.263*M44/1000*1013.25*100/EXP(17.67*D44/(D44+273.16-29.65)), 100)</f>
        <v>100</v>
      </c>
      <c r="X44" s="0" t="n">
        <f aca="false">(198.58*(1/(2/15*ACOS(-TAN(3.1416/180*$L$1)*TAN(3.1416/180*23.45*SIN((2*3.1416/365*(C44+284)))))/3.1416*180))^2+5.0551/(2/15*ACOS(-TAN(3.1416/180*$L$1)*TAN(3.1416/180*23.45*SIN((2*3.1416/365*(C44+284)))))/3.1416*180)+1.49)*G44*2.02</f>
        <v>434.446507647285</v>
      </c>
      <c r="Y44" s="424" t="n">
        <f aca="false">H44</f>
        <v>2.5</v>
      </c>
      <c r="Z44" s="424" t="n">
        <f aca="false">I44</f>
        <v>1</v>
      </c>
    </row>
    <row r="45" customFormat="false" ht="15.75" hidden="false" customHeight="false" outlineLevel="0" collapsed="false">
      <c r="B45" s="0" t="n">
        <v>1950</v>
      </c>
      <c r="C45" s="424" t="n">
        <v>44</v>
      </c>
      <c r="D45" s="0" t="n">
        <v>6.39</v>
      </c>
      <c r="E45" s="0" t="n">
        <v>10.71</v>
      </c>
      <c r="F45" s="0" t="n">
        <v>83.615</v>
      </c>
      <c r="G45" s="0" t="n">
        <v>37</v>
      </c>
      <c r="H45" s="0" t="n">
        <v>11.1</v>
      </c>
      <c r="I45" s="0" t="n">
        <v>1</v>
      </c>
      <c r="M45" s="0" t="n">
        <f aca="false">F45/0.263*1000/1013.25/100*EXP(17.67*(D45+E45)/2/((D45+E45)/2+273.16-29.65))</f>
        <v>5.71369630376324</v>
      </c>
      <c r="R45" s="424" t="n">
        <f aca="false">B45</f>
        <v>1950</v>
      </c>
      <c r="S45" s="424" t="n">
        <f aca="false">C45</f>
        <v>44</v>
      </c>
      <c r="T45" s="424" t="n">
        <f aca="false">D45</f>
        <v>6.39</v>
      </c>
      <c r="U45" s="424" t="n">
        <f aca="false">E45</f>
        <v>10.71</v>
      </c>
      <c r="V45" s="0" t="n">
        <f aca="false">MIN(0.263*M45/1000*1013.25*100/EXP(17.67*E45/(E45+273.16-29.65)), 100)</f>
        <v>72.3258091322362</v>
      </c>
      <c r="W45" s="0" t="n">
        <f aca="false">MIN(0.263*M45/1000*1013.25*100/EXP(17.67*D45/(D45+273.16-29.65)), 100)</f>
        <v>96.9089761986063</v>
      </c>
      <c r="X45" s="0" t="n">
        <f aca="false">(198.58*(1/(2/15*ACOS(-TAN(3.1416/180*$L$1)*TAN(3.1416/180*23.45*SIN((2*3.1416/365*(C45+284)))))/3.1416*180))^2+5.0551/(2/15*ACOS(-TAN(3.1416/180*$L$1)*TAN(3.1416/180*23.45*SIN((2*3.1416/365*(C45+284)))))/3.1416*180)+1.49)*G45*2.02</f>
        <v>296.072921787001</v>
      </c>
      <c r="Y45" s="424" t="n">
        <f aca="false">H45</f>
        <v>11.1</v>
      </c>
      <c r="Z45" s="424" t="n">
        <f aca="false">I45</f>
        <v>1</v>
      </c>
    </row>
    <row r="46" customFormat="false" ht="15.75" hidden="false" customHeight="false" outlineLevel="0" collapsed="false">
      <c r="B46" s="0" t="n">
        <v>1950</v>
      </c>
      <c r="C46" s="424" t="n">
        <v>45</v>
      </c>
      <c r="D46" s="0" t="n">
        <v>3</v>
      </c>
      <c r="E46" s="0" t="n">
        <v>11.58</v>
      </c>
      <c r="F46" s="0" t="n">
        <v>80.845</v>
      </c>
      <c r="G46" s="0" t="n">
        <v>123</v>
      </c>
      <c r="H46" s="0" t="n">
        <v>0</v>
      </c>
      <c r="I46" s="0" t="n">
        <v>1</v>
      </c>
      <c r="M46" s="0" t="n">
        <f aca="false">F46/0.263*1000/1013.25/100*EXP(17.67*(D46+E46)/2/((D46+E46)/2+273.16-29.65))</f>
        <v>5.07037840972956</v>
      </c>
      <c r="R46" s="424" t="n">
        <f aca="false">B46</f>
        <v>1950</v>
      </c>
      <c r="S46" s="424" t="n">
        <f aca="false">C46</f>
        <v>45</v>
      </c>
      <c r="T46" s="424" t="n">
        <f aca="false">D46</f>
        <v>3</v>
      </c>
      <c r="U46" s="424" t="n">
        <f aca="false">E46</f>
        <v>11.58</v>
      </c>
      <c r="V46" s="0" t="n">
        <f aca="false">MIN(0.263*M46/1000*1013.25*100/EXP(17.67*E46/(E46+273.16-29.65)), 100)</f>
        <v>60.5824110603383</v>
      </c>
      <c r="W46" s="0" t="n">
        <f aca="false">MIN(0.263*M46/1000*1013.25*100/EXP(17.67*D46/(D46+273.16-29.65)), 100)</f>
        <v>100</v>
      </c>
      <c r="X46" s="0" t="n">
        <f aca="false">(198.58*(1/(2/15*ACOS(-TAN(3.1416/180*$L$1)*TAN(3.1416/180*23.45*SIN((2*3.1416/365*(C46+284)))))/3.1416*180))^2+5.0551/(2/15*ACOS(-TAN(3.1416/180*$L$1)*TAN(3.1416/180*23.45*SIN((2*3.1416/365*(C46+284)))))/3.1416*180)+1.49)*G46*2.02</f>
        <v>978.942237555942</v>
      </c>
      <c r="Y46" s="424" t="n">
        <f aca="false">H46</f>
        <v>0</v>
      </c>
      <c r="Z46" s="424" t="n">
        <f aca="false">I46</f>
        <v>1</v>
      </c>
    </row>
    <row r="47" customFormat="false" ht="15.75" hidden="false" customHeight="false" outlineLevel="0" collapsed="false">
      <c r="B47" s="0" t="n">
        <v>1950</v>
      </c>
      <c r="C47" s="424" t="n">
        <v>46</v>
      </c>
      <c r="D47" s="0" t="n">
        <v>6.16</v>
      </c>
      <c r="E47" s="0" t="n">
        <v>13.04</v>
      </c>
      <c r="F47" s="0" t="n">
        <v>92.484215</v>
      </c>
      <c r="G47" s="0" t="n">
        <v>118</v>
      </c>
      <c r="H47" s="0" t="n">
        <v>0</v>
      </c>
      <c r="I47" s="0" t="n">
        <v>1</v>
      </c>
      <c r="M47" s="0" t="n">
        <f aca="false">F47/0.263*1000/1013.25/100*EXP(17.67*(D47+E47)/2/((D47+E47)/2+273.16-29.65))</f>
        <v>6.78352502286762</v>
      </c>
      <c r="R47" s="424" t="n">
        <f aca="false">B47</f>
        <v>1950</v>
      </c>
      <c r="S47" s="424" t="n">
        <f aca="false">C47</f>
        <v>46</v>
      </c>
      <c r="T47" s="424" t="n">
        <f aca="false">D47</f>
        <v>6.16</v>
      </c>
      <c r="U47" s="424" t="n">
        <f aca="false">E47</f>
        <v>13.04</v>
      </c>
      <c r="V47" s="0" t="n">
        <f aca="false">MIN(0.263*M47/1000*1013.25*100/EXP(17.67*E47/(E47+273.16-29.65)), 100)</f>
        <v>73.632961472111</v>
      </c>
      <c r="W47" s="0" t="n">
        <f aca="false">MIN(0.263*M47/1000*1013.25*100/EXP(17.67*D47/(D47+273.16-29.65)), 100)</f>
        <v>100</v>
      </c>
      <c r="X47" s="0" t="n">
        <f aca="false">(198.58*(1/(2/15*ACOS(-TAN(3.1416/180*$L$1)*TAN(3.1416/180*23.45*SIN((2*3.1416/365*(C47+284)))))/3.1416*180))^2+5.0551/(2/15*ACOS(-TAN(3.1416/180*$L$1)*TAN(3.1416/180*23.45*SIN((2*3.1416/365*(C47+284)))))/3.1416*180)+1.49)*G47*2.02</f>
        <v>934.093921889621</v>
      </c>
      <c r="Y47" s="424" t="n">
        <f aca="false">H47</f>
        <v>0</v>
      </c>
      <c r="Z47" s="424" t="n">
        <f aca="false">I47</f>
        <v>1</v>
      </c>
    </row>
    <row r="48" customFormat="false" ht="15.75" hidden="false" customHeight="false" outlineLevel="0" collapsed="false">
      <c r="B48" s="0" t="n">
        <v>1950</v>
      </c>
      <c r="C48" s="424" t="n">
        <v>47</v>
      </c>
      <c r="D48" s="0" t="n">
        <v>2.72</v>
      </c>
      <c r="E48" s="0" t="n">
        <v>18.05</v>
      </c>
      <c r="F48" s="0" t="n">
        <v>81.990005</v>
      </c>
      <c r="G48" s="0" t="n">
        <v>82</v>
      </c>
      <c r="H48" s="0" t="n">
        <v>0</v>
      </c>
      <c r="I48" s="0" t="n">
        <v>1</v>
      </c>
      <c r="M48" s="0" t="n">
        <f aca="false">F48/0.263*1000/1013.25/100*EXP(17.67*(D48+E48)/2/((D48+E48)/2+273.16-29.65))</f>
        <v>6.33833907194872</v>
      </c>
      <c r="R48" s="424" t="n">
        <f aca="false">B48</f>
        <v>1950</v>
      </c>
      <c r="S48" s="424" t="n">
        <f aca="false">C48</f>
        <v>47</v>
      </c>
      <c r="T48" s="424" t="n">
        <f aca="false">D48</f>
        <v>2.72</v>
      </c>
      <c r="U48" s="424" t="n">
        <f aca="false">E48</f>
        <v>18.05</v>
      </c>
      <c r="V48" s="0" t="n">
        <f aca="false">MIN(0.263*M48/1000*1013.25*100/EXP(17.67*E48/(E48+273.16-29.65)), 100)</f>
        <v>49.8969186908807</v>
      </c>
      <c r="W48" s="0" t="n">
        <f aca="false">MIN(0.263*M48/1000*1013.25*100/EXP(17.67*D48/(D48+273.16-29.65)), 100)</f>
        <v>100</v>
      </c>
      <c r="X48" s="0" t="n">
        <f aca="false">(198.58*(1/(2/15*ACOS(-TAN(3.1416/180*$L$1)*TAN(3.1416/180*23.45*SIN((2*3.1416/365*(C48+284)))))/3.1416*180))^2+5.0551/(2/15*ACOS(-TAN(3.1416/180*$L$1)*TAN(3.1416/180*23.45*SIN((2*3.1416/365*(C48+284)))))/3.1416*180)+1.49)*G48*2.02</f>
        <v>645.626784981331</v>
      </c>
      <c r="Y48" s="424" t="n">
        <f aca="false">H48</f>
        <v>0</v>
      </c>
      <c r="Z48" s="424" t="n">
        <f aca="false">I48</f>
        <v>1</v>
      </c>
    </row>
    <row r="49" customFormat="false" ht="15.75" hidden="false" customHeight="false" outlineLevel="0" collapsed="false">
      <c r="B49" s="0" t="n">
        <v>1950</v>
      </c>
      <c r="C49" s="424" t="n">
        <v>48</v>
      </c>
      <c r="D49" s="0" t="n">
        <v>3.3899999</v>
      </c>
      <c r="E49" s="0" t="n">
        <v>20.81</v>
      </c>
      <c r="F49" s="0" t="n">
        <v>74.46</v>
      </c>
      <c r="G49" s="0" t="n">
        <v>144</v>
      </c>
      <c r="H49" s="0" t="n">
        <v>0</v>
      </c>
      <c r="I49" s="0" t="n">
        <v>1</v>
      </c>
      <c r="M49" s="0" t="n">
        <f aca="false">F49/0.263*1000/1013.25/100*EXP(17.67*(D49+E49)/2/((D49+E49)/2+273.16-29.65))</f>
        <v>6.44940594168074</v>
      </c>
      <c r="R49" s="424" t="n">
        <f aca="false">B49</f>
        <v>1950</v>
      </c>
      <c r="S49" s="424" t="n">
        <f aca="false">C49</f>
        <v>48</v>
      </c>
      <c r="T49" s="424" t="n">
        <f aca="false">D49</f>
        <v>3.3899999</v>
      </c>
      <c r="U49" s="424" t="n">
        <f aca="false">E49</f>
        <v>20.81</v>
      </c>
      <c r="V49" s="0" t="n">
        <f aca="false">MIN(0.263*M49/1000*1013.25*100/EXP(17.67*E49/(E49+273.16-29.65)), 100)</f>
        <v>42.7579470624141</v>
      </c>
      <c r="W49" s="0" t="n">
        <f aca="false">MIN(0.263*M49/1000*1013.25*100/EXP(17.67*D49/(D49+273.16-29.65)), 100)</f>
        <v>100</v>
      </c>
      <c r="X49" s="0" t="n">
        <f aca="false">(198.58*(1/(2/15*ACOS(-TAN(3.1416/180*$L$1)*TAN(3.1416/180*23.45*SIN((2*3.1416/365*(C49+284)))))/3.1416*180))^2+5.0551/(2/15*ACOS(-TAN(3.1416/180*$L$1)*TAN(3.1416/180*23.45*SIN((2*3.1416/365*(C49+284)))))/3.1416*180)+1.49)*G49*2.02</f>
        <v>1127.69802466085</v>
      </c>
      <c r="Y49" s="424" t="n">
        <f aca="false">H49</f>
        <v>0</v>
      </c>
      <c r="Z49" s="424" t="n">
        <f aca="false">I49</f>
        <v>1</v>
      </c>
    </row>
    <row r="50" customFormat="false" ht="15.75" hidden="false" customHeight="false" outlineLevel="0" collapsed="false">
      <c r="B50" s="0" t="n">
        <v>1950</v>
      </c>
      <c r="C50" s="424" t="n">
        <v>49</v>
      </c>
      <c r="D50" s="0" t="n">
        <v>2.52</v>
      </c>
      <c r="E50" s="0" t="n">
        <v>19.34</v>
      </c>
      <c r="F50" s="0" t="n">
        <v>81.16</v>
      </c>
      <c r="G50" s="0" t="n">
        <v>133</v>
      </c>
      <c r="H50" s="0" t="n">
        <v>0</v>
      </c>
      <c r="I50" s="0" t="n">
        <v>1</v>
      </c>
      <c r="M50" s="0" t="n">
        <f aca="false">F50/0.263*1000/1013.25/100*EXP(17.67*(D50+E50)/2/((D50+E50)/2+273.16-29.65))</f>
        <v>6.50611323153887</v>
      </c>
      <c r="R50" s="424" t="n">
        <f aca="false">B50</f>
        <v>1950</v>
      </c>
      <c r="S50" s="424" t="n">
        <f aca="false">C50</f>
        <v>49</v>
      </c>
      <c r="T50" s="424" t="n">
        <f aca="false">D50</f>
        <v>2.52</v>
      </c>
      <c r="U50" s="424" t="n">
        <f aca="false">E50</f>
        <v>19.34</v>
      </c>
      <c r="V50" s="0" t="n">
        <f aca="false">MIN(0.263*M50/1000*1013.25*100/EXP(17.67*E50/(E50+273.16-29.65)), 100)</f>
        <v>47.2451201700243</v>
      </c>
      <c r="W50" s="0" t="n">
        <f aca="false">MIN(0.263*M50/1000*1013.25*100/EXP(17.67*D50/(D50+273.16-29.65)), 100)</f>
        <v>100</v>
      </c>
      <c r="X50" s="0" t="n">
        <f aca="false">(198.58*(1/(2/15*ACOS(-TAN(3.1416/180*$L$1)*TAN(3.1416/180*23.45*SIN((2*3.1416/365*(C50+284)))))/3.1416*180))^2+5.0551/(2/15*ACOS(-TAN(3.1416/180*$L$1)*TAN(3.1416/180*23.45*SIN((2*3.1416/365*(C50+284)))))/3.1416*180)+1.49)*G50*2.02</f>
        <v>1035.97430558143</v>
      </c>
      <c r="Y50" s="424" t="n">
        <f aca="false">H50</f>
        <v>0</v>
      </c>
      <c r="Z50" s="424" t="n">
        <f aca="false">I50</f>
        <v>1</v>
      </c>
    </row>
    <row r="51" customFormat="false" ht="15.75" hidden="false" customHeight="false" outlineLevel="0" collapsed="false">
      <c r="B51" s="0" t="n">
        <v>1950</v>
      </c>
      <c r="C51" s="424" t="n">
        <v>50</v>
      </c>
      <c r="D51" s="0" t="n">
        <v>2.6599998</v>
      </c>
      <c r="E51" s="0" t="n">
        <v>16.83</v>
      </c>
      <c r="F51" s="0" t="n">
        <v>92.025</v>
      </c>
      <c r="G51" s="0" t="n">
        <v>93</v>
      </c>
      <c r="H51" s="0" t="n">
        <v>0</v>
      </c>
      <c r="I51" s="0" t="n">
        <v>1</v>
      </c>
      <c r="M51" s="0" t="n">
        <f aca="false">F51/0.263*1000/1013.25/100*EXP(17.67*(D51+E51)/2/((D51+E51)/2+273.16-29.65))</f>
        <v>6.815860593601</v>
      </c>
      <c r="R51" s="424" t="n">
        <f aca="false">B51</f>
        <v>1950</v>
      </c>
      <c r="S51" s="424" t="n">
        <f aca="false">C51</f>
        <v>50</v>
      </c>
      <c r="T51" s="424" t="n">
        <f aca="false">D51</f>
        <v>2.6599998</v>
      </c>
      <c r="U51" s="424" t="n">
        <f aca="false">E51</f>
        <v>16.83</v>
      </c>
      <c r="V51" s="0" t="n">
        <f aca="false">MIN(0.263*M51/1000*1013.25*100/EXP(17.67*E51/(E51+273.16-29.65)), 100)</f>
        <v>57.9560720655208</v>
      </c>
      <c r="W51" s="0" t="n">
        <f aca="false">MIN(0.263*M51/1000*1013.25*100/EXP(17.67*D51/(D51+273.16-29.65)), 100)</f>
        <v>100</v>
      </c>
      <c r="X51" s="0" t="n">
        <f aca="false">(198.58*(1/(2/15*ACOS(-TAN(3.1416/180*$L$1)*TAN(3.1416/180*23.45*SIN((2*3.1416/365*(C51+284)))))/3.1416*180))^2+5.0551/(2/15*ACOS(-TAN(3.1416/180*$L$1)*TAN(3.1416/180*23.45*SIN((2*3.1416/365*(C51+284)))))/3.1416*180)+1.49)*G51*2.02</f>
        <v>720.530754255473</v>
      </c>
      <c r="Y51" s="424" t="n">
        <f aca="false">H51</f>
        <v>0</v>
      </c>
      <c r="Z51" s="424" t="n">
        <f aca="false">I51</f>
        <v>1</v>
      </c>
    </row>
    <row r="52" customFormat="false" ht="15.75" hidden="false" customHeight="false" outlineLevel="0" collapsed="false">
      <c r="B52" s="0" t="n">
        <v>1950</v>
      </c>
      <c r="C52" s="424" t="n">
        <v>51</v>
      </c>
      <c r="D52" s="0" t="n">
        <v>4.74</v>
      </c>
      <c r="E52" s="0" t="n">
        <v>14.54</v>
      </c>
      <c r="F52" s="0" t="n">
        <v>89.335</v>
      </c>
      <c r="G52" s="0" t="n">
        <v>43</v>
      </c>
      <c r="H52" s="0" t="n">
        <v>8.900001</v>
      </c>
      <c r="I52" s="0" t="n">
        <v>1</v>
      </c>
      <c r="M52" s="0" t="n">
        <f aca="false">F52/0.263*1000/1013.25/100*EXP(17.67*(D52+E52)/2/((D52+E52)/2+273.16-29.65))</f>
        <v>6.5701612337418</v>
      </c>
      <c r="R52" s="424" t="n">
        <f aca="false">B52</f>
        <v>1950</v>
      </c>
      <c r="S52" s="424" t="n">
        <f aca="false">C52</f>
        <v>51</v>
      </c>
      <c r="T52" s="424" t="n">
        <f aca="false">D52</f>
        <v>4.74</v>
      </c>
      <c r="U52" s="424" t="n">
        <f aca="false">E52</f>
        <v>14.54</v>
      </c>
      <c r="V52" s="0" t="n">
        <f aca="false">MIN(0.263*M52/1000*1013.25*100/EXP(17.67*E52/(E52+273.16-29.65)), 100)</f>
        <v>64.6923088066033</v>
      </c>
      <c r="W52" s="0" t="n">
        <f aca="false">MIN(0.263*M52/1000*1013.25*100/EXP(17.67*D52/(D52+273.16-29.65)), 100)</f>
        <v>100</v>
      </c>
      <c r="X52" s="0" t="n">
        <f aca="false">(198.58*(1/(2/15*ACOS(-TAN(3.1416/180*$L$1)*TAN(3.1416/180*23.45*SIN((2*3.1416/365*(C52+284)))))/3.1416*180))^2+5.0551/(2/15*ACOS(-TAN(3.1416/180*$L$1)*TAN(3.1416/180*23.45*SIN((2*3.1416/365*(C52+284)))))/3.1416*180)+1.49)*G52*2.02</f>
        <v>331.37235468349</v>
      </c>
      <c r="Y52" s="424" t="n">
        <f aca="false">H52</f>
        <v>8.900001</v>
      </c>
      <c r="Z52" s="424" t="n">
        <f aca="false">I52</f>
        <v>1</v>
      </c>
    </row>
    <row r="53" customFormat="false" ht="15.75" hidden="false" customHeight="false" outlineLevel="0" collapsed="false">
      <c r="B53" s="0" t="n">
        <v>1950</v>
      </c>
      <c r="C53" s="424" t="n">
        <v>52</v>
      </c>
      <c r="D53" s="0" t="n">
        <v>9.719999</v>
      </c>
      <c r="E53" s="0" t="n">
        <v>12.59</v>
      </c>
      <c r="F53" s="0" t="n">
        <f aca="false">F52</f>
        <v>89.335</v>
      </c>
      <c r="G53" s="0" t="n">
        <v>79</v>
      </c>
      <c r="H53" s="0" t="n">
        <v>3.1000001</v>
      </c>
      <c r="I53" s="0" t="n">
        <v>1</v>
      </c>
      <c r="M53" s="0" t="n">
        <f aca="false">F53/0.263*1000/1013.25/100*EXP(17.67*(D53+E53)/2/((D53+E53)/2+273.16-29.65))</f>
        <v>7.26925700212368</v>
      </c>
      <c r="R53" s="424" t="n">
        <f aca="false">B53</f>
        <v>1950</v>
      </c>
      <c r="S53" s="424" t="n">
        <f aca="false">C53</f>
        <v>52</v>
      </c>
      <c r="T53" s="424" t="n">
        <f aca="false">D53</f>
        <v>9.719999</v>
      </c>
      <c r="U53" s="424" t="n">
        <f aca="false">E53</f>
        <v>12.59</v>
      </c>
      <c r="V53" s="0" t="n">
        <f aca="false">MIN(0.263*M53/1000*1013.25*100/EXP(17.67*E53/(E53+273.16-29.65)), 100)</f>
        <v>81.2653930293737</v>
      </c>
      <c r="W53" s="0" t="n">
        <f aca="false">MIN(0.263*M53/1000*1013.25*100/EXP(17.67*D53/(D53+273.16-29.65)), 100)</f>
        <v>98.3113442982152</v>
      </c>
      <c r="X53" s="0" t="n">
        <f aca="false">(198.58*(1/(2/15*ACOS(-TAN(3.1416/180*$L$1)*TAN(3.1416/180*23.45*SIN((2*3.1416/365*(C53+284)))))/3.1416*180))^2+5.0551/(2/15*ACOS(-TAN(3.1416/180*$L$1)*TAN(3.1416/180*23.45*SIN((2*3.1416/365*(C53+284)))))/3.1416*180)+1.49)*G53*2.02</f>
        <v>605.563827383762</v>
      </c>
      <c r="Y53" s="424" t="n">
        <f aca="false">H53</f>
        <v>3.1000001</v>
      </c>
      <c r="Z53" s="424" t="n">
        <f aca="false">I53</f>
        <v>1</v>
      </c>
    </row>
    <row r="54" customFormat="false" ht="15.75" hidden="false" customHeight="false" outlineLevel="0" collapsed="false">
      <c r="B54" s="0" t="n">
        <v>1950</v>
      </c>
      <c r="C54" s="424" t="n">
        <v>53</v>
      </c>
      <c r="D54" s="0" t="n">
        <v>7.24</v>
      </c>
      <c r="E54" s="0" t="n">
        <v>14.679999</v>
      </c>
      <c r="F54" s="0" t="n">
        <v>84.04</v>
      </c>
      <c r="G54" s="0" t="n">
        <v>77</v>
      </c>
      <c r="H54" s="0" t="n">
        <v>0</v>
      </c>
      <c r="I54" s="0" t="n">
        <v>1</v>
      </c>
      <c r="M54" s="0" t="n">
        <f aca="false">F54/0.263*1000/1013.25/100*EXP(17.67*(D54+E54)/2/((D54+E54)/2+273.16-29.65))</f>
        <v>6.75043013732734</v>
      </c>
      <c r="R54" s="424" t="n">
        <f aca="false">B54</f>
        <v>1950</v>
      </c>
      <c r="S54" s="424" t="n">
        <f aca="false">C54</f>
        <v>53</v>
      </c>
      <c r="T54" s="424" t="n">
        <f aca="false">D54</f>
        <v>7.24</v>
      </c>
      <c r="U54" s="424" t="n">
        <f aca="false">E54</f>
        <v>14.679999</v>
      </c>
      <c r="V54" s="0" t="n">
        <f aca="false">MIN(0.263*M54/1000*1013.25*100/EXP(17.67*E54/(E54+273.16-29.65)), 100)</f>
        <v>65.8690570788122</v>
      </c>
      <c r="W54" s="0" t="n">
        <f aca="false">MIN(0.263*M54/1000*1013.25*100/EXP(17.67*D54/(D54+273.16-29.65)), 100)</f>
        <v>100</v>
      </c>
      <c r="X54" s="0" t="n">
        <f aca="false">(198.58*(1/(2/15*ACOS(-TAN(3.1416/180*$L$1)*TAN(3.1416/180*23.45*SIN((2*3.1416/365*(C54+284)))))/3.1416*180))^2+5.0551/(2/15*ACOS(-TAN(3.1416/180*$L$1)*TAN(3.1416/180*23.45*SIN((2*3.1416/365*(C54+284)))))/3.1416*180)+1.49)*G54*2.02</f>
        <v>587.105385865869</v>
      </c>
      <c r="Y54" s="424" t="n">
        <f aca="false">H54</f>
        <v>0</v>
      </c>
      <c r="Z54" s="424" t="n">
        <f aca="false">I54</f>
        <v>1</v>
      </c>
    </row>
    <row r="55" customFormat="false" ht="15.75" hidden="false" customHeight="false" outlineLevel="0" collapsed="false">
      <c r="B55" s="0" t="n">
        <v>1950</v>
      </c>
      <c r="C55" s="424" t="n">
        <v>54</v>
      </c>
      <c r="D55" s="0" t="n">
        <v>4.48</v>
      </c>
      <c r="E55" s="0" t="n">
        <v>14.009999</v>
      </c>
      <c r="F55" s="0" t="n">
        <v>88.484215</v>
      </c>
      <c r="G55" s="0" t="n">
        <v>79</v>
      </c>
      <c r="H55" s="0" t="n">
        <v>2</v>
      </c>
      <c r="I55" s="0" t="n">
        <v>1</v>
      </c>
      <c r="M55" s="0" t="n">
        <f aca="false">F55/0.263*1000/1013.25/100*EXP(17.67*(D55+E55)/2/((D55+E55)/2+273.16-29.65))</f>
        <v>6.33700609696424</v>
      </c>
      <c r="R55" s="424" t="n">
        <f aca="false">B55</f>
        <v>1950</v>
      </c>
      <c r="S55" s="424" t="n">
        <f aca="false">C55</f>
        <v>54</v>
      </c>
      <c r="T55" s="424" t="n">
        <f aca="false">D55</f>
        <v>4.48</v>
      </c>
      <c r="U55" s="424" t="n">
        <f aca="false">E55</f>
        <v>14.009999</v>
      </c>
      <c r="V55" s="0" t="n">
        <f aca="false">MIN(0.263*M55/1000*1013.25*100/EXP(17.67*E55/(E55+273.16-29.65)), 100)</f>
        <v>64.5750326913884</v>
      </c>
      <c r="W55" s="0" t="n">
        <f aca="false">MIN(0.263*M55/1000*1013.25*100/EXP(17.67*D55/(D55+273.16-29.65)), 100)</f>
        <v>100</v>
      </c>
      <c r="X55" s="0" t="n">
        <f aca="false">(198.58*(1/(2/15*ACOS(-TAN(3.1416/180*$L$1)*TAN(3.1416/180*23.45*SIN((2*3.1416/365*(C55+284)))))/3.1416*180))^2+5.0551/(2/15*ACOS(-TAN(3.1416/180*$L$1)*TAN(3.1416/180*23.45*SIN((2*3.1416/365*(C55+284)))))/3.1416*180)+1.49)*G55*2.02</f>
        <v>599.174201362568</v>
      </c>
      <c r="Y55" s="424" t="n">
        <f aca="false">H55</f>
        <v>2</v>
      </c>
      <c r="Z55" s="424" t="n">
        <f aca="false">I55</f>
        <v>1</v>
      </c>
    </row>
    <row r="56" customFormat="false" ht="15.75" hidden="false" customHeight="false" outlineLevel="0" collapsed="false">
      <c r="B56" s="0" t="n">
        <v>1950</v>
      </c>
      <c r="C56" s="424" t="n">
        <v>55</v>
      </c>
      <c r="D56" s="0" t="n">
        <v>8.2</v>
      </c>
      <c r="E56" s="0" t="n">
        <v>16.15</v>
      </c>
      <c r="F56" s="0" t="n">
        <v>86</v>
      </c>
      <c r="G56" s="0" t="n">
        <v>126</v>
      </c>
      <c r="H56" s="0" t="n">
        <v>4.6</v>
      </c>
      <c r="I56" s="0" t="n">
        <v>1</v>
      </c>
      <c r="M56" s="0" t="n">
        <f aca="false">F56/0.263*1000/1013.25/100*EXP(17.67*(D56+E56)/2/((D56+E56)/2+273.16-29.65))</f>
        <v>7.48582350984648</v>
      </c>
      <c r="R56" s="424" t="n">
        <f aca="false">B56</f>
        <v>1950</v>
      </c>
      <c r="S56" s="424" t="n">
        <f aca="false">C56</f>
        <v>55</v>
      </c>
      <c r="T56" s="424" t="n">
        <f aca="false">D56</f>
        <v>8.2</v>
      </c>
      <c r="U56" s="424" t="n">
        <f aca="false">E56</f>
        <v>16.15</v>
      </c>
      <c r="V56" s="0" t="n">
        <f aca="false">MIN(0.263*M56/1000*1013.25*100/EXP(17.67*E56/(E56+273.16-29.65)), 100)</f>
        <v>66.4684193543039</v>
      </c>
      <c r="W56" s="0" t="n">
        <f aca="false">MIN(0.263*M56/1000*1013.25*100/EXP(17.67*D56/(D56+273.16-29.65)), 100)</f>
        <v>100</v>
      </c>
      <c r="X56" s="0" t="n">
        <f aca="false">(198.58*(1/(2/15*ACOS(-TAN(3.1416/180*$L$1)*TAN(3.1416/180*23.45*SIN((2*3.1416/365*(C56+284)))))/3.1416*180))^2+5.0551/(2/15*ACOS(-TAN(3.1416/180*$L$1)*TAN(3.1416/180*23.45*SIN((2*3.1416/365*(C56+284)))))/3.1416*180)+1.49)*G56*2.02</f>
        <v>950.618031066261</v>
      </c>
      <c r="Y56" s="424" t="n">
        <f aca="false">H56</f>
        <v>4.6</v>
      </c>
      <c r="Z56" s="424" t="n">
        <f aca="false">I56</f>
        <v>1</v>
      </c>
    </row>
    <row r="57" customFormat="false" ht="15.75" hidden="false" customHeight="false" outlineLevel="0" collapsed="false">
      <c r="B57" s="0" t="n">
        <v>1950</v>
      </c>
      <c r="C57" s="424" t="n">
        <v>56</v>
      </c>
      <c r="D57" s="0" t="n">
        <v>7.0499997</v>
      </c>
      <c r="E57" s="0" t="n">
        <v>11.33</v>
      </c>
      <c r="F57" s="0" t="n">
        <v>90.795006</v>
      </c>
      <c r="G57" s="0" t="n">
        <v>67</v>
      </c>
      <c r="H57" s="0" t="n">
        <v>17.2</v>
      </c>
      <c r="I57" s="0" t="n">
        <v>1</v>
      </c>
      <c r="M57" s="0" t="n">
        <f aca="false">F57/0.263*1000/1013.25/100*EXP(17.67*(D57+E57)/2/((D57+E57)/2+273.16-29.65))</f>
        <v>6.47845056111659</v>
      </c>
      <c r="R57" s="424" t="n">
        <f aca="false">B57</f>
        <v>1950</v>
      </c>
      <c r="S57" s="424" t="n">
        <f aca="false">C57</f>
        <v>56</v>
      </c>
      <c r="T57" s="424" t="n">
        <f aca="false">D57</f>
        <v>7.0499997</v>
      </c>
      <c r="U57" s="424" t="n">
        <f aca="false">E57</f>
        <v>11.33</v>
      </c>
      <c r="V57" s="0" t="n">
        <f aca="false">MIN(0.263*M57/1000*1013.25*100/EXP(17.67*E57/(E57+273.16-29.65)), 100)</f>
        <v>78.6980219517882</v>
      </c>
      <c r="W57" s="0" t="n">
        <f aca="false">MIN(0.263*M57/1000*1013.25*100/EXP(17.67*D57/(D57+273.16-29.65)), 100)</f>
        <v>100</v>
      </c>
      <c r="X57" s="0" t="n">
        <f aca="false">(198.58*(1/(2/15*ACOS(-TAN(3.1416/180*$L$1)*TAN(3.1416/180*23.45*SIN((2*3.1416/365*(C57+284)))))/3.1416*180))^2+5.0551/(2/15*ACOS(-TAN(3.1416/180*$L$1)*TAN(3.1416/180*23.45*SIN((2*3.1416/365*(C57+284)))))/3.1416*180)+1.49)*G57*2.02</f>
        <v>502.839300787137</v>
      </c>
      <c r="Y57" s="424" t="n">
        <f aca="false">H57</f>
        <v>17.2</v>
      </c>
      <c r="Z57" s="424" t="n">
        <f aca="false">I57</f>
        <v>1</v>
      </c>
    </row>
    <row r="58" customFormat="false" ht="15.75" hidden="false" customHeight="false" outlineLevel="0" collapsed="false">
      <c r="B58" s="0" t="n">
        <v>1950</v>
      </c>
      <c r="C58" s="424" t="n">
        <v>57</v>
      </c>
      <c r="D58" s="0" t="n">
        <v>4.16</v>
      </c>
      <c r="E58" s="0" t="n">
        <v>7.43</v>
      </c>
      <c r="F58" s="0" t="n">
        <v>85.445</v>
      </c>
      <c r="G58" s="0" t="n">
        <v>107</v>
      </c>
      <c r="H58" s="0" t="n">
        <v>0</v>
      </c>
      <c r="I58" s="0" t="n">
        <v>1</v>
      </c>
      <c r="M58" s="0" t="n">
        <f aca="false">F58/0.263*1000/1013.25/100*EXP(17.67*(D58+E58)/2/((D58+E58)/2+273.16-29.65))</f>
        <v>4.83496265294184</v>
      </c>
      <c r="R58" s="424" t="n">
        <f aca="false">B58</f>
        <v>1950</v>
      </c>
      <c r="S58" s="424" t="n">
        <f aca="false">C58</f>
        <v>57</v>
      </c>
      <c r="T58" s="424" t="n">
        <f aca="false">D58</f>
        <v>4.16</v>
      </c>
      <c r="U58" s="424" t="n">
        <f aca="false">E58</f>
        <v>7.43</v>
      </c>
      <c r="V58" s="0" t="n">
        <f aca="false">MIN(0.263*M58/1000*1013.25*100/EXP(17.67*E58/(E58+273.16-29.65)), 100)</f>
        <v>76.3570302535175</v>
      </c>
      <c r="W58" s="0" t="n">
        <f aca="false">MIN(0.263*M58/1000*1013.25*100/EXP(17.67*D58/(D58+273.16-29.65)), 100)</f>
        <v>95.7566810432948</v>
      </c>
      <c r="X58" s="0" t="n">
        <f aca="false">(198.58*(1/(2/15*ACOS(-TAN(3.1416/180*$L$1)*TAN(3.1416/180*23.45*SIN((2*3.1416/365*(C58+284)))))/3.1416*180))^2+5.0551/(2/15*ACOS(-TAN(3.1416/180*$L$1)*TAN(3.1416/180*23.45*SIN((2*3.1416/365*(C58+284)))))/3.1416*180)+1.49)*G58*2.02</f>
        <v>798.853405759592</v>
      </c>
      <c r="Y58" s="424" t="n">
        <f aca="false">H58</f>
        <v>0</v>
      </c>
      <c r="Z58" s="424" t="n">
        <f aca="false">I58</f>
        <v>1</v>
      </c>
    </row>
    <row r="59" customFormat="false" ht="15.75" hidden="false" customHeight="false" outlineLevel="0" collapsed="false">
      <c r="B59" s="0" t="n">
        <v>1950</v>
      </c>
      <c r="C59" s="424" t="n">
        <v>58</v>
      </c>
      <c r="D59" s="0" t="n">
        <v>-2.75</v>
      </c>
      <c r="E59" s="0" t="n">
        <v>4.3199997</v>
      </c>
      <c r="F59" s="0" t="n">
        <v>89.89</v>
      </c>
      <c r="G59" s="0" t="n">
        <v>113</v>
      </c>
      <c r="H59" s="0" t="n">
        <v>0</v>
      </c>
      <c r="I59" s="0" t="n">
        <v>1</v>
      </c>
      <c r="M59" s="0" t="n">
        <f aca="false">F59/0.263*1000/1013.25/100*EXP(17.67*(D59+E59)/2/((D59+E59)/2+273.16-29.65))</f>
        <v>3.57024518406067</v>
      </c>
      <c r="R59" s="424" t="n">
        <f aca="false">B59</f>
        <v>1950</v>
      </c>
      <c r="S59" s="424" t="n">
        <f aca="false">C59</f>
        <v>58</v>
      </c>
      <c r="T59" s="424" t="n">
        <f aca="false">D59</f>
        <v>-2.75</v>
      </c>
      <c r="U59" s="424" t="n">
        <f aca="false">E59</f>
        <v>4.3199997</v>
      </c>
      <c r="V59" s="0" t="n">
        <f aca="false">MIN(0.263*M59/1000*1013.25*100/EXP(17.67*E59/(E59+273.16-29.65)), 100)</f>
        <v>69.9202343131582</v>
      </c>
      <c r="W59" s="0" t="n">
        <f aca="false">MIN(0.263*M59/1000*1013.25*100/EXP(17.67*D59/(D59+273.16-29.65)), 100)</f>
        <v>100</v>
      </c>
      <c r="X59" s="0" t="n">
        <f aca="false">(198.58*(1/(2/15*ACOS(-TAN(3.1416/180*$L$1)*TAN(3.1416/180*23.45*SIN((2*3.1416/365*(C59+284)))))/3.1416*180))^2+5.0551/(2/15*ACOS(-TAN(3.1416/180*$L$1)*TAN(3.1416/180*23.45*SIN((2*3.1416/365*(C59+284)))))/3.1416*180)+1.49)*G59*2.02</f>
        <v>839.269021029289</v>
      </c>
      <c r="Y59" s="424" t="n">
        <f aca="false">H59</f>
        <v>0</v>
      </c>
      <c r="Z59" s="424" t="n">
        <f aca="false">I59</f>
        <v>1</v>
      </c>
    </row>
    <row r="60" customFormat="false" ht="15.75" hidden="false" customHeight="false" outlineLevel="0" collapsed="false">
      <c r="B60" s="0" t="n">
        <v>1950</v>
      </c>
      <c r="C60" s="424" t="n">
        <v>59</v>
      </c>
      <c r="D60" s="0" t="n">
        <v>-2.75</v>
      </c>
      <c r="E60" s="0" t="n">
        <v>3.85</v>
      </c>
      <c r="F60" s="0" t="n">
        <v>79.36</v>
      </c>
      <c r="G60" s="0" t="n">
        <v>125</v>
      </c>
      <c r="H60" s="0" t="n">
        <v>0</v>
      </c>
      <c r="I60" s="0" t="n">
        <v>1</v>
      </c>
      <c r="M60" s="0" t="n">
        <f aca="false">F60/0.263*1000/1013.25/100*EXP(17.67*(D60+E60)/2/((D60+E60)/2+273.16-29.65))</f>
        <v>3.09900986927545</v>
      </c>
      <c r="R60" s="424" t="n">
        <f aca="false">B60</f>
        <v>1950</v>
      </c>
      <c r="S60" s="424" t="n">
        <f aca="false">C60</f>
        <v>59</v>
      </c>
      <c r="T60" s="424" t="n">
        <f aca="false">D60</f>
        <v>-2.75</v>
      </c>
      <c r="U60" s="424" t="n">
        <f aca="false">E60</f>
        <v>3.85</v>
      </c>
      <c r="V60" s="0" t="n">
        <f aca="false">MIN(0.263*M60/1000*1013.25*100/EXP(17.67*E60/(E60+273.16-29.65)), 100)</f>
        <v>62.7270236743168</v>
      </c>
      <c r="W60" s="0" t="n">
        <f aca="false">MIN(0.263*M60/1000*1013.25*100/EXP(17.67*D60/(D60+273.16-29.65)), 100)</f>
        <v>100</v>
      </c>
      <c r="X60" s="0" t="n">
        <f aca="false">(198.58*(1/(2/15*ACOS(-TAN(3.1416/180*$L$1)*TAN(3.1416/180*23.45*SIN((2*3.1416/365*(C60+284)))))/3.1416*180))^2+5.0551/(2/15*ACOS(-TAN(3.1416/180*$L$1)*TAN(3.1416/180*23.45*SIN((2*3.1416/365*(C60+284)))))/3.1416*180)+1.49)*G60*2.02</f>
        <v>923.598545124731</v>
      </c>
      <c r="Y60" s="424" t="n">
        <f aca="false">H60</f>
        <v>0</v>
      </c>
      <c r="Z60" s="424" t="n">
        <f aca="false">I60</f>
        <v>1</v>
      </c>
    </row>
    <row r="61" customFormat="false" ht="15.75" hidden="false" customHeight="false" outlineLevel="0" collapsed="false">
      <c r="B61" s="0" t="n">
        <v>1950</v>
      </c>
      <c r="C61" s="424" t="n">
        <v>60</v>
      </c>
      <c r="D61" s="0" t="n">
        <v>-3.8999999</v>
      </c>
      <c r="E61" s="0" t="n">
        <v>6.6</v>
      </c>
      <c r="F61" s="0" t="n">
        <v>71.73</v>
      </c>
      <c r="G61" s="0" t="n">
        <v>170</v>
      </c>
      <c r="H61" s="0" t="n">
        <v>0</v>
      </c>
      <c r="I61" s="0" t="n">
        <v>1</v>
      </c>
      <c r="M61" s="0" t="n">
        <f aca="false">F61/0.263*1000/1013.25/100*EXP(17.67*(D61+E61)/2/((D61+E61)/2+273.16-29.65))</f>
        <v>2.96713880531946</v>
      </c>
      <c r="R61" s="424" t="n">
        <f aca="false">B61</f>
        <v>1950</v>
      </c>
      <c r="S61" s="424" t="n">
        <f aca="false">C61</f>
        <v>60</v>
      </c>
      <c r="T61" s="424" t="n">
        <f aca="false">D61</f>
        <v>-3.8999999</v>
      </c>
      <c r="U61" s="424" t="n">
        <f aca="false">E61</f>
        <v>6.6</v>
      </c>
      <c r="V61" s="0" t="n">
        <f aca="false">MIN(0.263*M61/1000*1013.25*100/EXP(17.67*E61/(E61+273.16-29.65)), 100)</f>
        <v>49.6027965116827</v>
      </c>
      <c r="W61" s="0" t="n">
        <f aca="false">MIN(0.263*M61/1000*1013.25*100/EXP(17.67*D61/(D61+273.16-29.65)), 100)</f>
        <v>100</v>
      </c>
      <c r="X61" s="0" t="n">
        <f aca="false">(198.58*(1/(2/15*ACOS(-TAN(3.1416/180*$L$1)*TAN(3.1416/180*23.45*SIN((2*3.1416/365*(C61+284)))))/3.1416*180))^2+5.0551/(2/15*ACOS(-TAN(3.1416/180*$L$1)*TAN(3.1416/180*23.45*SIN((2*3.1416/365*(C61+284)))))/3.1416*180)+1.49)*G61*2.02</f>
        <v>1249.63777773496</v>
      </c>
      <c r="Y61" s="424" t="n">
        <f aca="false">H61</f>
        <v>0</v>
      </c>
      <c r="Z61" s="424" t="n">
        <f aca="false">I61</f>
        <v>1</v>
      </c>
    </row>
    <row r="62" customFormat="false" ht="15.75" hidden="false" customHeight="false" outlineLevel="0" collapsed="false">
      <c r="B62" s="0" t="n">
        <v>1950</v>
      </c>
      <c r="C62" s="424" t="n">
        <v>61</v>
      </c>
      <c r="D62" s="0" t="n">
        <v>-4.19</v>
      </c>
      <c r="E62" s="0" t="n">
        <v>8.139999</v>
      </c>
      <c r="F62" s="0" t="n">
        <v>81.175</v>
      </c>
      <c r="G62" s="0" t="n">
        <v>171</v>
      </c>
      <c r="H62" s="0" t="n">
        <v>0</v>
      </c>
      <c r="I62" s="0" t="n">
        <v>1</v>
      </c>
      <c r="M62" s="0" t="n">
        <f aca="false">F62/0.263*1000/1013.25/100*EXP(17.67*(D62+E62)/2/((D62+E62)/2+273.16-29.65))</f>
        <v>3.51147358341836</v>
      </c>
      <c r="R62" s="424" t="n">
        <f aca="false">B62</f>
        <v>1950</v>
      </c>
      <c r="S62" s="424" t="n">
        <f aca="false">C62</f>
        <v>61</v>
      </c>
      <c r="T62" s="424" t="n">
        <f aca="false">D62</f>
        <v>-4.19</v>
      </c>
      <c r="U62" s="424" t="n">
        <f aca="false">E62</f>
        <v>8.139999</v>
      </c>
      <c r="V62" s="0" t="n">
        <f aca="false">MIN(0.263*M62/1000*1013.25*100/EXP(17.67*E62/(E62+273.16-29.65)), 100)</f>
        <v>52.8366396283685</v>
      </c>
      <c r="W62" s="0" t="n">
        <f aca="false">MIN(0.263*M62/1000*1013.25*100/EXP(17.67*D62/(D62+273.16-29.65)), 100)</f>
        <v>100</v>
      </c>
      <c r="X62" s="0" t="n">
        <f aca="false">(198.58*(1/(2/15*ACOS(-TAN(3.1416/180*$L$1)*TAN(3.1416/180*23.45*SIN((2*3.1416/365*(C62+284)))))/3.1416*180))^2+5.0551/(2/15*ACOS(-TAN(3.1416/180*$L$1)*TAN(3.1416/180*23.45*SIN((2*3.1416/365*(C62+284)))))/3.1416*180)+1.49)*G62*2.02</f>
        <v>1250.5622081039</v>
      </c>
      <c r="Y62" s="424" t="n">
        <f aca="false">H62</f>
        <v>0</v>
      </c>
      <c r="Z62" s="424" t="n">
        <f aca="false">I62</f>
        <v>1</v>
      </c>
    </row>
    <row r="63" customFormat="false" ht="15.75" hidden="false" customHeight="false" outlineLevel="0" collapsed="false">
      <c r="B63" s="0" t="n">
        <v>1950</v>
      </c>
      <c r="C63" s="424" t="n">
        <v>62</v>
      </c>
      <c r="D63" s="0" t="n">
        <v>-4.75</v>
      </c>
      <c r="E63" s="0" t="n">
        <v>10</v>
      </c>
      <c r="F63" s="0" t="n">
        <v>72.03</v>
      </c>
      <c r="G63" s="0" t="n">
        <v>130</v>
      </c>
      <c r="H63" s="0" t="n">
        <v>0</v>
      </c>
      <c r="I63" s="0" t="n">
        <v>1</v>
      </c>
      <c r="M63" s="0" t="n">
        <f aca="false">F63/0.263*1000/1013.25/100*EXP(17.67*(D63+E63)/2/((D63+E63)/2+273.16-29.65))</f>
        <v>3.26349656208312</v>
      </c>
      <c r="R63" s="424" t="n">
        <f aca="false">B63</f>
        <v>1950</v>
      </c>
      <c r="S63" s="424" t="n">
        <f aca="false">C63</f>
        <v>62</v>
      </c>
      <c r="T63" s="424" t="n">
        <f aca="false">D63</f>
        <v>-4.75</v>
      </c>
      <c r="U63" s="424" t="n">
        <f aca="false">E63</f>
        <v>10</v>
      </c>
      <c r="V63" s="0" t="n">
        <f aca="false">MIN(0.263*M63/1000*1013.25*100/EXP(17.67*E63/(E63+273.16-29.65)), 100)</f>
        <v>43.3157879726709</v>
      </c>
      <c r="W63" s="0" t="n">
        <f aca="false">MIN(0.263*M63/1000*1013.25*100/EXP(17.67*D63/(D63+273.16-29.65)), 100)</f>
        <v>100</v>
      </c>
      <c r="X63" s="0" t="n">
        <f aca="false">(198.58*(1/(2/15*ACOS(-TAN(3.1416/180*$L$1)*TAN(3.1416/180*23.45*SIN((2*3.1416/365*(C63+284)))))/3.1416*180))^2+5.0551/(2/15*ACOS(-TAN(3.1416/180*$L$1)*TAN(3.1416/180*23.45*SIN((2*3.1416/365*(C63+284)))))/3.1416*180)+1.49)*G63*2.02</f>
        <v>945.886213972785</v>
      </c>
      <c r="Y63" s="424" t="n">
        <f aca="false">H63</f>
        <v>0</v>
      </c>
      <c r="Z63" s="424" t="n">
        <f aca="false">I63</f>
        <v>1</v>
      </c>
    </row>
    <row r="64" customFormat="false" ht="15.75" hidden="false" customHeight="false" outlineLevel="0" collapsed="false">
      <c r="B64" s="0" t="n">
        <v>1950</v>
      </c>
      <c r="C64" s="424" t="n">
        <v>63</v>
      </c>
      <c r="D64" s="0" t="n">
        <v>-0.34</v>
      </c>
      <c r="E64" s="0" t="n">
        <v>16.09</v>
      </c>
      <c r="F64" s="0" t="n">
        <v>70.985</v>
      </c>
      <c r="G64" s="0" t="n">
        <v>167</v>
      </c>
      <c r="H64" s="0" t="n">
        <v>0</v>
      </c>
      <c r="I64" s="0" t="n">
        <v>1</v>
      </c>
      <c r="M64" s="0" t="n">
        <f aca="false">F64/0.263*1000/1013.25/100*EXP(17.67*(D64+E64)/2/((D64+E64)/2+273.16-29.65))</f>
        <v>4.63332641677298</v>
      </c>
      <c r="R64" s="424" t="n">
        <f aca="false">B64</f>
        <v>1950</v>
      </c>
      <c r="S64" s="424" t="n">
        <f aca="false">C64</f>
        <v>63</v>
      </c>
      <c r="T64" s="424" t="n">
        <f aca="false">D64</f>
        <v>-0.34</v>
      </c>
      <c r="U64" s="424" t="n">
        <f aca="false">E64</f>
        <v>16.09</v>
      </c>
      <c r="V64" s="0" t="n">
        <f aca="false">MIN(0.263*M64/1000*1013.25*100/EXP(17.67*E64/(E64+273.16-29.65)), 100)</f>
        <v>41.2982831516376</v>
      </c>
      <c r="W64" s="0" t="n">
        <f aca="false">MIN(0.263*M64/1000*1013.25*100/EXP(17.67*D64/(D64+273.16-29.65)), 100)</f>
        <v>100</v>
      </c>
      <c r="X64" s="0" t="n">
        <f aca="false">(198.58*(1/(2/15*ACOS(-TAN(3.1416/180*$L$1)*TAN(3.1416/180*23.45*SIN((2*3.1416/365*(C64+284)))))/3.1416*180))^2+5.0551/(2/15*ACOS(-TAN(3.1416/180*$L$1)*TAN(3.1416/180*23.45*SIN((2*3.1416/365*(C64+284)))))/3.1416*180)+1.49)*G64*2.02</f>
        <v>1208.95782434507</v>
      </c>
      <c r="Y64" s="424" t="n">
        <f aca="false">H64</f>
        <v>0</v>
      </c>
      <c r="Z64" s="424" t="n">
        <f aca="false">I64</f>
        <v>1</v>
      </c>
    </row>
    <row r="65" customFormat="false" ht="15.75" hidden="false" customHeight="false" outlineLevel="0" collapsed="false">
      <c r="B65" s="0" t="n">
        <v>1950</v>
      </c>
      <c r="C65" s="424" t="n">
        <v>64</v>
      </c>
      <c r="D65" s="0" t="n">
        <v>3</v>
      </c>
      <c r="E65" s="0" t="n">
        <v>14.9</v>
      </c>
      <c r="F65" s="0" t="n">
        <v>77.48</v>
      </c>
      <c r="G65" s="0" t="n">
        <v>141</v>
      </c>
      <c r="H65" s="0" t="n">
        <v>0</v>
      </c>
      <c r="I65" s="0" t="n">
        <v>1</v>
      </c>
      <c r="M65" s="0" t="n">
        <f aca="false">F65/0.263*1000/1013.25/100*EXP(17.67*(D65+E65)/2/((D65+E65)/2+273.16-29.65))</f>
        <v>5.43962388818016</v>
      </c>
      <c r="R65" s="424" t="n">
        <f aca="false">B65</f>
        <v>1950</v>
      </c>
      <c r="S65" s="424" t="n">
        <f aca="false">C65</f>
        <v>64</v>
      </c>
      <c r="T65" s="424" t="n">
        <f aca="false">D65</f>
        <v>3</v>
      </c>
      <c r="U65" s="424" t="n">
        <f aca="false">E65</f>
        <v>14.9</v>
      </c>
      <c r="V65" s="0" t="n">
        <f aca="false">MIN(0.263*M65/1000*1013.25*100/EXP(17.67*E65/(E65+273.16-29.65)), 100)</f>
        <v>52.3307533613262</v>
      </c>
      <c r="W65" s="0" t="n">
        <f aca="false">MIN(0.263*M65/1000*1013.25*100/EXP(17.67*D65/(D65+273.16-29.65)), 100)</f>
        <v>100</v>
      </c>
      <c r="X65" s="0" t="n">
        <f aca="false">(198.58*(1/(2/15*ACOS(-TAN(3.1416/180*$L$1)*TAN(3.1416/180*23.45*SIN((2*3.1416/365*(C65+284)))))/3.1416*180))^2+5.0551/(2/15*ACOS(-TAN(3.1416/180*$L$1)*TAN(3.1416/180*23.45*SIN((2*3.1416/365*(C65+284)))))/3.1416*180)+1.49)*G65*2.02</f>
        <v>1015.60791714441</v>
      </c>
      <c r="Y65" s="424" t="n">
        <f aca="false">H65</f>
        <v>0</v>
      </c>
      <c r="Z65" s="424" t="n">
        <f aca="false">I65</f>
        <v>1</v>
      </c>
    </row>
    <row r="66" customFormat="false" ht="15.75" hidden="false" customHeight="false" outlineLevel="0" collapsed="false">
      <c r="B66" s="0" t="n">
        <v>1950</v>
      </c>
      <c r="C66" s="424" t="n">
        <v>65</v>
      </c>
      <c r="D66" s="0" t="n">
        <v>2.81</v>
      </c>
      <c r="E66" s="0" t="n">
        <v>17.96</v>
      </c>
      <c r="F66" s="0" t="n">
        <v>75.04</v>
      </c>
      <c r="G66" s="0" t="n">
        <v>173</v>
      </c>
      <c r="H66" s="0" t="n">
        <v>0</v>
      </c>
      <c r="I66" s="0" t="n">
        <v>1</v>
      </c>
      <c r="M66" s="0" t="n">
        <f aca="false">F66/0.263*1000/1013.25/100*EXP(17.67*(D66+E66)/2/((D66+E66)/2+273.16-29.65))</f>
        <v>5.80106031166886</v>
      </c>
      <c r="R66" s="424" t="n">
        <f aca="false">B66</f>
        <v>1950</v>
      </c>
      <c r="S66" s="424" t="n">
        <f aca="false">C66</f>
        <v>65</v>
      </c>
      <c r="T66" s="424" t="n">
        <f aca="false">D66</f>
        <v>2.81</v>
      </c>
      <c r="U66" s="424" t="n">
        <f aca="false">E66</f>
        <v>17.96</v>
      </c>
      <c r="V66" s="0" t="n">
        <f aca="false">MIN(0.263*M66/1000*1013.25*100/EXP(17.67*E66/(E66+273.16-29.65)), 100)</f>
        <v>45.9266534583363</v>
      </c>
      <c r="W66" s="0" t="n">
        <f aca="false">MIN(0.263*M66/1000*1013.25*100/EXP(17.67*D66/(D66+273.16-29.65)), 100)</f>
        <v>100</v>
      </c>
      <c r="X66" s="0" t="n">
        <f aca="false">(198.58*(1/(2/15*ACOS(-TAN(3.1416/180*$L$1)*TAN(3.1416/180*23.45*SIN((2*3.1416/365*(C66+284)))))/3.1416*180))^2+5.0551/(2/15*ACOS(-TAN(3.1416/180*$L$1)*TAN(3.1416/180*23.45*SIN((2*3.1416/365*(C66+284)))))/3.1416*180)+1.49)*G66*2.02</f>
        <v>1239.87769756605</v>
      </c>
      <c r="Y66" s="424" t="n">
        <f aca="false">H66</f>
        <v>0</v>
      </c>
      <c r="Z66" s="424" t="n">
        <f aca="false">I66</f>
        <v>1</v>
      </c>
    </row>
    <row r="67" customFormat="false" ht="15.75" hidden="false" customHeight="false" outlineLevel="0" collapsed="false">
      <c r="B67" s="0" t="n">
        <v>1950</v>
      </c>
      <c r="C67" s="424" t="n">
        <v>66</v>
      </c>
      <c r="D67" s="0" t="n">
        <v>2.86</v>
      </c>
      <c r="E67" s="0" t="n">
        <v>21.16</v>
      </c>
      <c r="F67" s="0" t="n">
        <v>64.44</v>
      </c>
      <c r="G67" s="0" t="n">
        <v>199</v>
      </c>
      <c r="H67" s="0" t="n">
        <v>0</v>
      </c>
      <c r="I67" s="0" t="n">
        <v>1</v>
      </c>
      <c r="M67" s="0" t="n">
        <f aca="false">F67/0.263*1000/1013.25/100*EXP(17.67*(D67+E67)/2/((D67+E67)/2+273.16-29.65))</f>
        <v>5.54852073686975</v>
      </c>
      <c r="R67" s="424" t="n">
        <f aca="false">B67</f>
        <v>1950</v>
      </c>
      <c r="S67" s="424" t="n">
        <f aca="false">C67</f>
        <v>66</v>
      </c>
      <c r="T67" s="424" t="n">
        <f aca="false">D67</f>
        <v>2.86</v>
      </c>
      <c r="U67" s="424" t="n">
        <f aca="false">E67</f>
        <v>21.16</v>
      </c>
      <c r="V67" s="0" t="n">
        <f aca="false">MIN(0.263*M67/1000*1013.25*100/EXP(17.67*E67/(E67+273.16-29.65)), 100)</f>
        <v>36.0018833533314</v>
      </c>
      <c r="W67" s="0" t="n">
        <f aca="false">MIN(0.263*M67/1000*1013.25*100/EXP(17.67*D67/(D67+273.16-29.65)), 100)</f>
        <v>100</v>
      </c>
      <c r="X67" s="0" t="n">
        <f aca="false">(198.58*(1/(2/15*ACOS(-TAN(3.1416/180*$L$1)*TAN(3.1416/180*23.45*SIN((2*3.1416/365*(C67+284)))))/3.1416*180))^2+5.0551/(2/15*ACOS(-TAN(3.1416/180*$L$1)*TAN(3.1416/180*23.45*SIN((2*3.1416/365*(C67+284)))))/3.1416*180)+1.49)*G67*2.02</f>
        <v>1419.14057145762</v>
      </c>
      <c r="Y67" s="424" t="n">
        <f aca="false">H67</f>
        <v>0</v>
      </c>
      <c r="Z67" s="424" t="n">
        <f aca="false">I67</f>
        <v>1</v>
      </c>
    </row>
    <row r="68" customFormat="false" ht="15.75" hidden="false" customHeight="false" outlineLevel="0" collapsed="false">
      <c r="B68" s="0" t="n">
        <v>1950</v>
      </c>
      <c r="C68" s="424" t="n">
        <v>67</v>
      </c>
      <c r="D68" s="0" t="n">
        <v>1.93</v>
      </c>
      <c r="E68" s="0" t="n">
        <v>20.93</v>
      </c>
      <c r="F68" s="0" t="n">
        <v>69.51</v>
      </c>
      <c r="G68" s="0" t="n">
        <v>194</v>
      </c>
      <c r="H68" s="0" t="n">
        <v>0</v>
      </c>
      <c r="I68" s="0" t="n">
        <v>1</v>
      </c>
      <c r="M68" s="0" t="n">
        <f aca="false">F68/0.263*1000/1013.25/100*EXP(17.67*(D68+E68)/2/((D68+E68)/2+273.16-29.65))</f>
        <v>5.7601117201745</v>
      </c>
      <c r="R68" s="424" t="n">
        <f aca="false">B68</f>
        <v>1950</v>
      </c>
      <c r="S68" s="424" t="n">
        <f aca="false">C68</f>
        <v>67</v>
      </c>
      <c r="T68" s="424" t="n">
        <f aca="false">D68</f>
        <v>1.93</v>
      </c>
      <c r="U68" s="424" t="n">
        <f aca="false">E68</f>
        <v>20.93</v>
      </c>
      <c r="V68" s="0" t="n">
        <f aca="false">MIN(0.263*M68/1000*1013.25*100/EXP(17.67*E68/(E68+273.16-29.65)), 100)</f>
        <v>37.9070367698596</v>
      </c>
      <c r="W68" s="0" t="n">
        <f aca="false">MIN(0.263*M68/1000*1013.25*100/EXP(17.67*D68/(D68+273.16-29.65)), 100)</f>
        <v>100</v>
      </c>
      <c r="X68" s="0" t="n">
        <f aca="false">(198.58*(1/(2/15*ACOS(-TAN(3.1416/180*$L$1)*TAN(3.1416/180*23.45*SIN((2*3.1416/365*(C68+284)))))/3.1416*180))^2+5.0551/(2/15*ACOS(-TAN(3.1416/180*$L$1)*TAN(3.1416/180*23.45*SIN((2*3.1416/365*(C68+284)))))/3.1416*180)+1.49)*G68*2.02</f>
        <v>1376.66343689888</v>
      </c>
      <c r="Y68" s="424" t="n">
        <f aca="false">H68</f>
        <v>0</v>
      </c>
      <c r="Z68" s="424" t="n">
        <f aca="false">I68</f>
        <v>1</v>
      </c>
    </row>
    <row r="69" customFormat="false" ht="15.75" hidden="false" customHeight="false" outlineLevel="0" collapsed="false">
      <c r="B69" s="0" t="n">
        <v>1950</v>
      </c>
      <c r="C69" s="424" t="n">
        <v>68</v>
      </c>
      <c r="D69" s="0" t="n">
        <v>1.39</v>
      </c>
      <c r="E69" s="0" t="n">
        <v>19.89</v>
      </c>
      <c r="F69" s="0" t="n">
        <v>72.18</v>
      </c>
      <c r="G69" s="0" t="n">
        <v>195</v>
      </c>
      <c r="H69" s="0" t="n">
        <v>0</v>
      </c>
      <c r="I69" s="0" t="n">
        <v>1</v>
      </c>
      <c r="M69" s="0" t="n">
        <f aca="false">F69/0.263*1000/1013.25/100*EXP(17.67*(D69+E69)/2/((D69+E69)/2+273.16-29.65))</f>
        <v>5.67565704854489</v>
      </c>
      <c r="R69" s="424" t="n">
        <f aca="false">B69</f>
        <v>1950</v>
      </c>
      <c r="S69" s="424" t="n">
        <f aca="false">C69</f>
        <v>68</v>
      </c>
      <c r="T69" s="424" t="n">
        <f aca="false">D69</f>
        <v>1.39</v>
      </c>
      <c r="U69" s="424" t="n">
        <f aca="false">E69</f>
        <v>19.89</v>
      </c>
      <c r="V69" s="0" t="n">
        <f aca="false">MIN(0.263*M69/1000*1013.25*100/EXP(17.67*E69/(E69+273.16-29.65)), 100)</f>
        <v>39.8296609098993</v>
      </c>
      <c r="W69" s="0" t="n">
        <f aca="false">MIN(0.263*M69/1000*1013.25*100/EXP(17.67*D69/(D69+273.16-29.65)), 100)</f>
        <v>100</v>
      </c>
      <c r="X69" s="0" t="n">
        <f aca="false">(198.58*(1/(2/15*ACOS(-TAN(3.1416/180*$L$1)*TAN(3.1416/180*23.45*SIN((2*3.1416/365*(C69+284)))))/3.1416*180))^2+5.0551/(2/15*ACOS(-TAN(3.1416/180*$L$1)*TAN(3.1416/180*23.45*SIN((2*3.1416/365*(C69+284)))))/3.1416*180)+1.49)*G69*2.02</f>
        <v>1376.98357374024</v>
      </c>
      <c r="Y69" s="424" t="n">
        <f aca="false">H69</f>
        <v>0</v>
      </c>
      <c r="Z69" s="424" t="n">
        <f aca="false">I69</f>
        <v>1</v>
      </c>
    </row>
    <row r="70" customFormat="false" ht="15.75" hidden="false" customHeight="false" outlineLevel="0" collapsed="false">
      <c r="B70" s="0" t="n">
        <v>1950</v>
      </c>
      <c r="C70" s="424" t="n">
        <v>69</v>
      </c>
      <c r="D70" s="0" t="n">
        <v>4.17</v>
      </c>
      <c r="E70" s="0" t="n">
        <v>17.64</v>
      </c>
      <c r="F70" s="0" t="n">
        <v>71.79</v>
      </c>
      <c r="G70" s="0" t="n">
        <v>166</v>
      </c>
      <c r="H70" s="0" t="n">
        <v>0</v>
      </c>
      <c r="I70" s="0" t="n">
        <v>1</v>
      </c>
      <c r="M70" s="0" t="n">
        <f aca="false">F70/0.263*1000/1013.25/100*EXP(17.67*(D70+E70)/2/((D70+E70)/2+273.16-29.65))</f>
        <v>5.74542082541022</v>
      </c>
      <c r="R70" s="424" t="n">
        <f aca="false">B70</f>
        <v>1950</v>
      </c>
      <c r="S70" s="424" t="n">
        <f aca="false">C70</f>
        <v>69</v>
      </c>
      <c r="T70" s="424" t="n">
        <f aca="false">D70</f>
        <v>4.17</v>
      </c>
      <c r="U70" s="424" t="n">
        <f aca="false">E70</f>
        <v>17.64</v>
      </c>
      <c r="V70" s="0" t="n">
        <f aca="false">MIN(0.263*M70/1000*1013.25*100/EXP(17.67*E70/(E70+273.16-29.65)), 100)</f>
        <v>46.4126830996929</v>
      </c>
      <c r="W70" s="0" t="n">
        <f aca="false">MIN(0.263*M70/1000*1013.25*100/EXP(17.67*D70/(D70+273.16-29.65)), 100)</f>
        <v>100</v>
      </c>
      <c r="X70" s="0" t="n">
        <f aca="false">(198.58*(1/(2/15*ACOS(-TAN(3.1416/180*$L$1)*TAN(3.1416/180*23.45*SIN((2*3.1416/365*(C70+284)))))/3.1416*180))^2+5.0551/(2/15*ACOS(-TAN(3.1416/180*$L$1)*TAN(3.1416/180*23.45*SIN((2*3.1416/365*(C70+284)))))/3.1416*180)+1.49)*G70*2.02</f>
        <v>1166.50065316487</v>
      </c>
      <c r="Y70" s="424" t="n">
        <f aca="false">H70</f>
        <v>0</v>
      </c>
      <c r="Z70" s="424" t="n">
        <f aca="false">I70</f>
        <v>1</v>
      </c>
    </row>
    <row r="71" customFormat="false" ht="15.75" hidden="false" customHeight="false" outlineLevel="0" collapsed="false">
      <c r="B71" s="0" t="n">
        <v>1950</v>
      </c>
      <c r="C71" s="424" t="n">
        <v>70</v>
      </c>
      <c r="D71" s="0" t="n">
        <v>0.39999998</v>
      </c>
      <c r="E71" s="0" t="n">
        <v>12.46</v>
      </c>
      <c r="F71" s="0" t="n">
        <v>78.155</v>
      </c>
      <c r="G71" s="0" t="n">
        <v>170</v>
      </c>
      <c r="H71" s="0" t="n">
        <v>0</v>
      </c>
      <c r="I71" s="0" t="n">
        <v>1</v>
      </c>
      <c r="M71" s="0" t="n">
        <f aca="false">F71/0.263*1000/1013.25/100*EXP(17.67*(D71+E71)/2/((D71+E71)/2+273.16-29.65))</f>
        <v>4.62068798037654</v>
      </c>
      <c r="R71" s="424" t="n">
        <f aca="false">B71</f>
        <v>1950</v>
      </c>
      <c r="S71" s="424" t="n">
        <f aca="false">C71</f>
        <v>70</v>
      </c>
      <c r="T71" s="424" t="n">
        <f aca="false">D71</f>
        <v>0.39999998</v>
      </c>
      <c r="U71" s="424" t="n">
        <f aca="false">E71</f>
        <v>12.46</v>
      </c>
      <c r="V71" s="0" t="n">
        <f aca="false">MIN(0.263*M71/1000*1013.25*100/EXP(17.67*E71/(E71+273.16-29.65)), 100)</f>
        <v>52.0988411209869</v>
      </c>
      <c r="W71" s="0" t="n">
        <f aca="false">MIN(0.263*M71/1000*1013.25*100/EXP(17.67*D71/(D71+273.16-29.65)), 100)</f>
        <v>100</v>
      </c>
      <c r="X71" s="0" t="n">
        <f aca="false">(198.58*(1/(2/15*ACOS(-TAN(3.1416/180*$L$1)*TAN(3.1416/180*23.45*SIN((2*3.1416/365*(C71+284)))))/3.1416*180))^2+5.0551/(2/15*ACOS(-TAN(3.1416/180*$L$1)*TAN(3.1416/180*23.45*SIN((2*3.1416/365*(C71+284)))))/3.1416*180)+1.49)*G71*2.02</f>
        <v>1188.84013854953</v>
      </c>
      <c r="Y71" s="424" t="n">
        <f aca="false">H71</f>
        <v>0</v>
      </c>
      <c r="Z71" s="424" t="n">
        <f aca="false">I71</f>
        <v>1</v>
      </c>
    </row>
    <row r="72" customFormat="false" ht="15.75" hidden="false" customHeight="false" outlineLevel="0" collapsed="false">
      <c r="B72" s="0" t="n">
        <v>1950</v>
      </c>
      <c r="C72" s="424" t="n">
        <v>71</v>
      </c>
      <c r="D72" s="0" t="n">
        <v>-1.17</v>
      </c>
      <c r="E72" s="0" t="n">
        <v>11.08</v>
      </c>
      <c r="F72" s="0" t="n">
        <v>76.495</v>
      </c>
      <c r="G72" s="0" t="n">
        <v>126</v>
      </c>
      <c r="H72" s="0" t="n">
        <v>0</v>
      </c>
      <c r="I72" s="0" t="n">
        <v>1</v>
      </c>
      <c r="M72" s="0" t="n">
        <f aca="false">F72/0.263*1000/1013.25/100*EXP(17.67*(D72+E72)/2/((D72+E72)/2+273.16-29.65))</f>
        <v>4.08318158724478</v>
      </c>
      <c r="R72" s="424" t="n">
        <f aca="false">B72</f>
        <v>1950</v>
      </c>
      <c r="S72" s="424" t="n">
        <f aca="false">C72</f>
        <v>71</v>
      </c>
      <c r="T72" s="424" t="n">
        <f aca="false">D72</f>
        <v>-1.17</v>
      </c>
      <c r="U72" s="424" t="n">
        <f aca="false">E72</f>
        <v>11.08</v>
      </c>
      <c r="V72" s="0" t="n">
        <f aca="false">MIN(0.263*M72/1000*1013.25*100/EXP(17.67*E72/(E72+273.16-29.65)), 100)</f>
        <v>50.4303477401093</v>
      </c>
      <c r="W72" s="0" t="n">
        <f aca="false">MIN(0.263*M72/1000*1013.25*100/EXP(17.67*D72/(D72+273.16-29.65)), 100)</f>
        <v>100</v>
      </c>
      <c r="X72" s="0" t="n">
        <f aca="false">(198.58*(1/(2/15*ACOS(-TAN(3.1416/180*$L$1)*TAN(3.1416/180*23.45*SIN((2*3.1416/365*(C72+284)))))/3.1416*180))^2+5.0551/(2/15*ACOS(-TAN(3.1416/180*$L$1)*TAN(3.1416/180*23.45*SIN((2*3.1416/365*(C72+284)))))/3.1416*180)+1.49)*G72*2.02</f>
        <v>876.915679855485</v>
      </c>
      <c r="Y72" s="424" t="n">
        <f aca="false">H72</f>
        <v>0</v>
      </c>
      <c r="Z72" s="424" t="n">
        <f aca="false">I72</f>
        <v>1</v>
      </c>
    </row>
    <row r="73" customFormat="false" ht="15.75" hidden="false" customHeight="false" outlineLevel="0" collapsed="false">
      <c r="B73" s="0" t="n">
        <v>1950</v>
      </c>
      <c r="C73" s="424" t="n">
        <v>72</v>
      </c>
      <c r="D73" s="0" t="n">
        <v>-0.95</v>
      </c>
      <c r="E73" s="0" t="n">
        <v>12.55</v>
      </c>
      <c r="F73" s="0" t="n">
        <v>83.515</v>
      </c>
      <c r="G73" s="0" t="n">
        <v>146</v>
      </c>
      <c r="H73" s="0" t="n">
        <v>0</v>
      </c>
      <c r="I73" s="0" t="n">
        <v>1</v>
      </c>
      <c r="M73" s="0" t="n">
        <f aca="false">F73/0.263*1000/1013.25/100*EXP(17.67*(D73+E73)/2/((D73+E73)/2+273.16-29.65))</f>
        <v>4.72738836638647</v>
      </c>
      <c r="R73" s="424" t="n">
        <f aca="false">B73</f>
        <v>1950</v>
      </c>
      <c r="S73" s="424" t="n">
        <f aca="false">C73</f>
        <v>72</v>
      </c>
      <c r="T73" s="424" t="n">
        <f aca="false">D73</f>
        <v>-0.95</v>
      </c>
      <c r="U73" s="424" t="n">
        <f aca="false">E73</f>
        <v>12.55</v>
      </c>
      <c r="V73" s="0" t="n">
        <f aca="false">MIN(0.263*M73/1000*1013.25*100/EXP(17.67*E73/(E73+273.16-29.65)), 100)</f>
        <v>52.9879045297232</v>
      </c>
      <c r="W73" s="0" t="n">
        <f aca="false">MIN(0.263*M73/1000*1013.25*100/EXP(17.67*D73/(D73+273.16-29.65)), 100)</f>
        <v>100</v>
      </c>
      <c r="X73" s="0" t="n">
        <f aca="false">(198.58*(1/(2/15*ACOS(-TAN(3.1416/180*$L$1)*TAN(3.1416/180*23.45*SIN((2*3.1416/365*(C73+284)))))/3.1416*180))^2+5.0551/(2/15*ACOS(-TAN(3.1416/180*$L$1)*TAN(3.1416/180*23.45*SIN((2*3.1416/365*(C73+284)))))/3.1416*180)+1.49)*G73*2.02</f>
        <v>1011.27254471865</v>
      </c>
      <c r="Y73" s="424" t="n">
        <f aca="false">H73</f>
        <v>0</v>
      </c>
      <c r="Z73" s="424" t="n">
        <f aca="false">I73</f>
        <v>1</v>
      </c>
    </row>
    <row r="74" customFormat="false" ht="15.75" hidden="false" customHeight="false" outlineLevel="0" collapsed="false">
      <c r="B74" s="0" t="n">
        <v>1950</v>
      </c>
      <c r="C74" s="424" t="n">
        <v>73</v>
      </c>
      <c r="D74" s="0" t="n">
        <v>-0.049999997</v>
      </c>
      <c r="E74" s="0" t="n">
        <v>16.779999</v>
      </c>
      <c r="F74" s="0" t="n">
        <v>74.81</v>
      </c>
      <c r="G74" s="0" t="n">
        <v>137</v>
      </c>
      <c r="H74" s="0" t="n">
        <v>0</v>
      </c>
      <c r="I74" s="0" t="n">
        <v>1</v>
      </c>
      <c r="M74" s="0" t="n">
        <f aca="false">F74/0.263*1000/1013.25/100*EXP(17.67*(D74+E74)/2/((D74+E74)/2+273.16-29.65))</f>
        <v>5.0483251228816</v>
      </c>
      <c r="R74" s="424" t="n">
        <f aca="false">B74</f>
        <v>1950</v>
      </c>
      <c r="S74" s="424" t="n">
        <f aca="false">C74</f>
        <v>73</v>
      </c>
      <c r="T74" s="424" t="n">
        <f aca="false">D74</f>
        <v>-0.049999997</v>
      </c>
      <c r="U74" s="424" t="n">
        <f aca="false">E74</f>
        <v>16.779999</v>
      </c>
      <c r="V74" s="0" t="n">
        <f aca="false">MIN(0.263*M74/1000*1013.25*100/EXP(17.67*E74/(E74+273.16-29.65)), 100)</f>
        <v>43.0630131335132</v>
      </c>
      <c r="W74" s="0" t="n">
        <f aca="false">MIN(0.263*M74/1000*1013.25*100/EXP(17.67*D74/(D74+273.16-29.65)), 100)</f>
        <v>100</v>
      </c>
      <c r="X74" s="0" t="n">
        <f aca="false">(198.58*(1/(2/15*ACOS(-TAN(3.1416/180*$L$1)*TAN(3.1416/180*23.45*SIN((2*3.1416/365*(C74+284)))))/3.1416*180))^2+5.0551/(2/15*ACOS(-TAN(3.1416/180*$L$1)*TAN(3.1416/180*23.45*SIN((2*3.1416/365*(C74+284)))))/3.1416*180)+1.49)*G74*2.02</f>
        <v>944.451165466587</v>
      </c>
      <c r="Y74" s="424" t="n">
        <f aca="false">H74</f>
        <v>0</v>
      </c>
      <c r="Z74" s="424" t="n">
        <f aca="false">I74</f>
        <v>1</v>
      </c>
    </row>
    <row r="75" customFormat="false" ht="15.75" hidden="false" customHeight="false" outlineLevel="0" collapsed="false">
      <c r="B75" s="0" t="n">
        <v>1950</v>
      </c>
      <c r="C75" s="424" t="n">
        <v>74</v>
      </c>
      <c r="D75" s="0" t="n">
        <v>2.61</v>
      </c>
      <c r="E75" s="0" t="n">
        <v>19.51</v>
      </c>
      <c r="F75" s="0" t="n">
        <v>67.700005</v>
      </c>
      <c r="G75" s="0" t="n">
        <v>156</v>
      </c>
      <c r="H75" s="0" t="n">
        <v>3.6000001</v>
      </c>
      <c r="I75" s="0" t="n">
        <v>1</v>
      </c>
      <c r="M75" s="0" t="n">
        <f aca="false">F75/0.263*1000/1013.25/100*EXP(17.67*(D75+E75)/2/((D75+E75)/2+273.16-29.65))</f>
        <v>5.47417621329739</v>
      </c>
      <c r="R75" s="424" t="n">
        <f aca="false">B75</f>
        <v>1950</v>
      </c>
      <c r="S75" s="424" t="n">
        <f aca="false">C75</f>
        <v>74</v>
      </c>
      <c r="T75" s="424" t="n">
        <f aca="false">D75</f>
        <v>2.61</v>
      </c>
      <c r="U75" s="424" t="n">
        <f aca="false">E75</f>
        <v>19.51</v>
      </c>
      <c r="V75" s="0" t="n">
        <f aca="false">MIN(0.263*M75/1000*1013.25*100/EXP(17.67*E75/(E75+273.16-29.65)), 100)</f>
        <v>39.3331807756906</v>
      </c>
      <c r="W75" s="0" t="n">
        <f aca="false">MIN(0.263*M75/1000*1013.25*100/EXP(17.67*D75/(D75+273.16-29.65)), 100)</f>
        <v>100</v>
      </c>
      <c r="X75" s="0" t="n">
        <f aca="false">(198.58*(1/(2/15*ACOS(-TAN(3.1416/180*$L$1)*TAN(3.1416/180*23.45*SIN((2*3.1416/365*(C75+284)))))/3.1416*180))^2+5.0551/(2/15*ACOS(-TAN(3.1416/180*$L$1)*TAN(3.1416/180*23.45*SIN((2*3.1416/365*(C75+284)))))/3.1416*180)+1.49)*G75*2.02</f>
        <v>1070.39186896111</v>
      </c>
      <c r="Y75" s="424" t="n">
        <f aca="false">H75</f>
        <v>3.6000001</v>
      </c>
      <c r="Z75" s="424" t="n">
        <f aca="false">I75</f>
        <v>1</v>
      </c>
    </row>
    <row r="76" customFormat="false" ht="15.75" hidden="false" customHeight="false" outlineLevel="0" collapsed="false">
      <c r="B76" s="0" t="n">
        <v>1950</v>
      </c>
      <c r="C76" s="424" t="n">
        <v>75</v>
      </c>
      <c r="D76" s="0" t="n">
        <v>8.48</v>
      </c>
      <c r="E76" s="0" t="n">
        <v>18.09</v>
      </c>
      <c r="F76" s="0" t="n">
        <v>78.885</v>
      </c>
      <c r="G76" s="0" t="n">
        <v>152</v>
      </c>
      <c r="H76" s="0" t="n">
        <v>0</v>
      </c>
      <c r="I76" s="0" t="n">
        <v>1</v>
      </c>
      <c r="M76" s="0" t="n">
        <f aca="false">F76/0.263*1000/1013.25/100*EXP(17.67*(D76+E76)/2/((D76+E76)/2+273.16-29.65))</f>
        <v>7.38459971161234</v>
      </c>
      <c r="R76" s="424" t="n">
        <f aca="false">B76</f>
        <v>1950</v>
      </c>
      <c r="S76" s="424" t="n">
        <f aca="false">C76</f>
        <v>75</v>
      </c>
      <c r="T76" s="424" t="n">
        <f aca="false">D76</f>
        <v>8.48</v>
      </c>
      <c r="U76" s="424" t="n">
        <f aca="false">E76</f>
        <v>18.09</v>
      </c>
      <c r="V76" s="0" t="n">
        <f aca="false">MIN(0.263*M76/1000*1013.25*100/EXP(17.67*E76/(E76+273.16-29.65)), 100)</f>
        <v>57.9872883887244</v>
      </c>
      <c r="W76" s="0" t="n">
        <f aca="false">MIN(0.263*M76/1000*1013.25*100/EXP(17.67*D76/(D76+273.16-29.65)), 100)</f>
        <v>100</v>
      </c>
      <c r="X76" s="0" t="n">
        <f aca="false">(198.58*(1/(2/15*ACOS(-TAN(3.1416/180*$L$1)*TAN(3.1416/180*23.45*SIN((2*3.1416/365*(C76+284)))))/3.1416*180))^2+5.0551/(2/15*ACOS(-TAN(3.1416/180*$L$1)*TAN(3.1416/180*23.45*SIN((2*3.1416/365*(C76+284)))))/3.1416*180)+1.49)*G76*2.02</f>
        <v>1038.09452661825</v>
      </c>
      <c r="Y76" s="424" t="n">
        <f aca="false">H76</f>
        <v>0</v>
      </c>
      <c r="Z76" s="424" t="n">
        <f aca="false">I76</f>
        <v>1</v>
      </c>
    </row>
    <row r="77" customFormat="false" ht="15.75" hidden="false" customHeight="false" outlineLevel="0" collapsed="false">
      <c r="B77" s="0" t="n">
        <v>1950</v>
      </c>
      <c r="C77" s="424" t="n">
        <v>76</v>
      </c>
      <c r="D77" s="0" t="n">
        <v>9</v>
      </c>
      <c r="E77" s="0" t="n">
        <v>15.62</v>
      </c>
      <c r="F77" s="0" t="n">
        <v>85.315</v>
      </c>
      <c r="G77" s="0" t="n">
        <v>65</v>
      </c>
      <c r="H77" s="0" t="n">
        <v>3.7</v>
      </c>
      <c r="I77" s="0" t="n">
        <v>1</v>
      </c>
      <c r="M77" s="0" t="n">
        <f aca="false">F77/0.263*1000/1013.25/100*EXP(17.67*(D77+E77)/2/((D77+E77)/2+273.16-29.65))</f>
        <v>7.49244162807442</v>
      </c>
      <c r="R77" s="424" t="n">
        <f aca="false">B77</f>
        <v>1950</v>
      </c>
      <c r="S77" s="424" t="n">
        <f aca="false">C77</f>
        <v>76</v>
      </c>
      <c r="T77" s="424" t="n">
        <f aca="false">D77</f>
        <v>9</v>
      </c>
      <c r="U77" s="424" t="n">
        <f aca="false">E77</f>
        <v>15.62</v>
      </c>
      <c r="V77" s="0" t="n">
        <f aca="false">MIN(0.263*M77/1000*1013.25*100/EXP(17.67*E77/(E77+273.16-29.65)), 100)</f>
        <v>68.8206164660411</v>
      </c>
      <c r="W77" s="0" t="n">
        <f aca="false">MIN(0.263*M77/1000*1013.25*100/EXP(17.67*D77/(D77+273.16-29.65)), 100)</f>
        <v>100</v>
      </c>
      <c r="X77" s="0" t="n">
        <f aca="false">(198.58*(1/(2/15*ACOS(-TAN(3.1416/180*$L$1)*TAN(3.1416/180*23.45*SIN((2*3.1416/365*(C77+284)))))/3.1416*180))^2+5.0551/(2/15*ACOS(-TAN(3.1416/180*$L$1)*TAN(3.1416/180*23.45*SIN((2*3.1416/365*(C77+284)))))/3.1416*180)+1.49)*G77*2.02</f>
        <v>441.873316864626</v>
      </c>
      <c r="Y77" s="424" t="n">
        <f aca="false">H77</f>
        <v>3.7</v>
      </c>
      <c r="Z77" s="424" t="n">
        <f aca="false">I77</f>
        <v>1</v>
      </c>
    </row>
    <row r="78" customFormat="false" ht="15.75" hidden="false" customHeight="false" outlineLevel="0" collapsed="false">
      <c r="B78" s="0" t="n">
        <v>1950</v>
      </c>
      <c r="C78" s="424" t="n">
        <v>77</v>
      </c>
      <c r="D78" s="0" t="n">
        <v>5.16</v>
      </c>
      <c r="E78" s="0" t="n">
        <v>20.14</v>
      </c>
      <c r="F78" s="0" t="n">
        <v>82.065</v>
      </c>
      <c r="G78" s="0" t="n">
        <v>121</v>
      </c>
      <c r="H78" s="0" t="n">
        <v>19.5</v>
      </c>
      <c r="I78" s="0" t="n">
        <v>1</v>
      </c>
      <c r="M78" s="0" t="n">
        <f aca="false">F78/0.263*1000/1013.25/100*EXP(17.67*(D78+E78)/2/((D78+E78)/2+273.16-29.65))</f>
        <v>7.36972800009573</v>
      </c>
      <c r="R78" s="424" t="n">
        <f aca="false">B78</f>
        <v>1950</v>
      </c>
      <c r="S78" s="424" t="n">
        <f aca="false">C78</f>
        <v>77</v>
      </c>
      <c r="T78" s="424" t="n">
        <f aca="false">D78</f>
        <v>5.16</v>
      </c>
      <c r="U78" s="424" t="n">
        <f aca="false">E78</f>
        <v>20.14</v>
      </c>
      <c r="V78" s="0" t="n">
        <f aca="false">MIN(0.263*M78/1000*1013.25*100/EXP(17.67*E78/(E78+273.16-29.65)), 100)</f>
        <v>50.9230873883074</v>
      </c>
      <c r="W78" s="0" t="n">
        <f aca="false">MIN(0.263*M78/1000*1013.25*100/EXP(17.67*D78/(D78+273.16-29.65)), 100)</f>
        <v>100</v>
      </c>
      <c r="X78" s="0" t="n">
        <f aca="false">(198.58*(1/(2/15*ACOS(-TAN(3.1416/180*$L$1)*TAN(3.1416/180*23.45*SIN((2*3.1416/365*(C78+284)))))/3.1416*180))^2+5.0551/(2/15*ACOS(-TAN(3.1416/180*$L$1)*TAN(3.1416/180*23.45*SIN((2*3.1416/365*(C78+284)))))/3.1416*180)+1.49)*G78*2.02</f>
        <v>818.798488628361</v>
      </c>
      <c r="Y78" s="424" t="n">
        <f aca="false">H78</f>
        <v>19.5</v>
      </c>
      <c r="Z78" s="424" t="n">
        <f aca="false">I78</f>
        <v>1</v>
      </c>
    </row>
    <row r="79" customFormat="false" ht="15.75" hidden="false" customHeight="false" outlineLevel="0" collapsed="false">
      <c r="B79" s="0" t="n">
        <v>1950</v>
      </c>
      <c r="C79" s="424" t="n">
        <v>78</v>
      </c>
      <c r="D79" s="0" t="n">
        <v>6.0699997</v>
      </c>
      <c r="E79" s="0" t="n">
        <v>14.04</v>
      </c>
      <c r="F79" s="0" t="n">
        <v>83.075005</v>
      </c>
      <c r="G79" s="0" t="n">
        <v>143</v>
      </c>
      <c r="H79" s="0" t="n">
        <v>1.6</v>
      </c>
      <c r="I79" s="0" t="n">
        <v>1</v>
      </c>
      <c r="M79" s="0" t="n">
        <f aca="false">F79/0.263*1000/1013.25/100*EXP(17.67*(D79+E79)/2/((D79+E79)/2+273.16-29.65))</f>
        <v>6.28211948466967</v>
      </c>
      <c r="R79" s="424" t="n">
        <f aca="false">B79</f>
        <v>1950</v>
      </c>
      <c r="S79" s="424" t="n">
        <f aca="false">C79</f>
        <v>78</v>
      </c>
      <c r="T79" s="424" t="n">
        <f aca="false">D79</f>
        <v>6.0699997</v>
      </c>
      <c r="U79" s="424" t="n">
        <f aca="false">E79</f>
        <v>14.04</v>
      </c>
      <c r="V79" s="0" t="n">
        <f aca="false">MIN(0.263*M79/1000*1013.25*100/EXP(17.67*E79/(E79+273.16-29.65)), 100)</f>
        <v>63.8912553782439</v>
      </c>
      <c r="W79" s="0" t="n">
        <f aca="false">MIN(0.263*M79/1000*1013.25*100/EXP(17.67*D79/(D79+273.16-29.65)), 100)</f>
        <v>100</v>
      </c>
      <c r="X79" s="0" t="n">
        <f aca="false">(198.58*(1/(2/15*ACOS(-TAN(3.1416/180*$L$1)*TAN(3.1416/180*23.45*SIN((2*3.1416/365*(C79+284)))))/3.1416*180))^2+5.0551/(2/15*ACOS(-TAN(3.1416/180*$L$1)*TAN(3.1416/180*23.45*SIN((2*3.1416/365*(C79+284)))))/3.1416*180)+1.49)*G79*2.02</f>
        <v>963.277027884027</v>
      </c>
      <c r="Y79" s="424" t="n">
        <f aca="false">H79</f>
        <v>1.6</v>
      </c>
      <c r="Z79" s="424" t="n">
        <f aca="false">I79</f>
        <v>1</v>
      </c>
    </row>
    <row r="80" customFormat="false" ht="15.75" hidden="false" customHeight="false" outlineLevel="0" collapsed="false">
      <c r="B80" s="0" t="n">
        <v>1950</v>
      </c>
      <c r="C80" s="424" t="n">
        <v>79</v>
      </c>
      <c r="D80" s="0" t="n">
        <v>4.52</v>
      </c>
      <c r="E80" s="0" t="n">
        <v>14.15</v>
      </c>
      <c r="F80" s="0" t="n">
        <v>88.69</v>
      </c>
      <c r="G80" s="0" t="n">
        <v>94</v>
      </c>
      <c r="H80" s="0" t="n">
        <v>6.1</v>
      </c>
      <c r="I80" s="0" t="n">
        <v>1</v>
      </c>
      <c r="M80" s="0" t="n">
        <f aca="false">F80/0.263*1000/1013.25/100*EXP(17.67*(D80+E80)/2/((D80+E80)/2+273.16-29.65))</f>
        <v>6.39034977006076</v>
      </c>
      <c r="R80" s="424" t="n">
        <f aca="false">B80</f>
        <v>1950</v>
      </c>
      <c r="S80" s="424" t="n">
        <f aca="false">C80</f>
        <v>79</v>
      </c>
      <c r="T80" s="424" t="n">
        <f aca="false">D80</f>
        <v>4.52</v>
      </c>
      <c r="U80" s="424" t="n">
        <f aca="false">E80</f>
        <v>14.15</v>
      </c>
      <c r="V80" s="0" t="n">
        <f aca="false">MIN(0.263*M80/1000*1013.25*100/EXP(17.67*E80/(E80+273.16-29.65)), 100)</f>
        <v>64.5300919596681</v>
      </c>
      <c r="W80" s="0" t="n">
        <f aca="false">MIN(0.263*M80/1000*1013.25*100/EXP(17.67*D80/(D80+273.16-29.65)), 100)</f>
        <v>100</v>
      </c>
      <c r="X80" s="0" t="n">
        <f aca="false">(198.58*(1/(2/15*ACOS(-TAN(3.1416/180*$L$1)*TAN(3.1416/180*23.45*SIN((2*3.1416/365*(C80+284)))))/3.1416*180))^2+5.0551/(2/15*ACOS(-TAN(3.1416/180*$L$1)*TAN(3.1416/180*23.45*SIN((2*3.1416/365*(C80+284)))))/3.1416*180)+1.49)*G80*2.02</f>
        <v>630.351662791455</v>
      </c>
      <c r="Y80" s="424" t="n">
        <f aca="false">H80</f>
        <v>6.1</v>
      </c>
      <c r="Z80" s="424" t="n">
        <f aca="false">I80</f>
        <v>1</v>
      </c>
    </row>
    <row r="81" customFormat="false" ht="15.75" hidden="false" customHeight="false" outlineLevel="0" collapsed="false">
      <c r="B81" s="0" t="n">
        <v>1950</v>
      </c>
      <c r="C81" s="424" t="n">
        <v>80</v>
      </c>
      <c r="D81" s="0" t="n">
        <v>9.59</v>
      </c>
      <c r="E81" s="0" t="n">
        <v>14.04</v>
      </c>
      <c r="F81" s="0" t="n">
        <v>88.525</v>
      </c>
      <c r="G81" s="0" t="n">
        <v>75</v>
      </c>
      <c r="H81" s="0" t="n">
        <v>5.1</v>
      </c>
      <c r="I81" s="0" t="n">
        <v>1</v>
      </c>
      <c r="M81" s="0" t="n">
        <f aca="false">F81/0.263*1000/1013.25/100*EXP(17.67*(D81+E81)/2/((D81+E81)/2+273.16-29.65))</f>
        <v>7.52492577324618</v>
      </c>
      <c r="R81" s="424" t="n">
        <f aca="false">B81</f>
        <v>1950</v>
      </c>
      <c r="S81" s="424" t="n">
        <f aca="false">C81</f>
        <v>80</v>
      </c>
      <c r="T81" s="424" t="n">
        <f aca="false">D81</f>
        <v>9.59</v>
      </c>
      <c r="U81" s="424" t="n">
        <f aca="false">E81</f>
        <v>14.04</v>
      </c>
      <c r="V81" s="0" t="n">
        <f aca="false">MIN(0.263*M81/1000*1013.25*100/EXP(17.67*E81/(E81+273.16-29.65)), 100)</f>
        <v>76.5310108243002</v>
      </c>
      <c r="W81" s="0" t="n">
        <f aca="false">MIN(0.263*M81/1000*1013.25*100/EXP(17.67*D81/(D81+273.16-29.65)), 100)</f>
        <v>100</v>
      </c>
      <c r="X81" s="0" t="n">
        <f aca="false">(198.58*(1/(2/15*ACOS(-TAN(3.1416/180*$L$1)*TAN(3.1416/180*23.45*SIN((2*3.1416/365*(C81+284)))))/3.1416*180))^2+5.0551/(2/15*ACOS(-TAN(3.1416/180*$L$1)*TAN(3.1416/180*23.45*SIN((2*3.1416/365*(C81+284)))))/3.1416*180)+1.49)*G81*2.02</f>
        <v>500.69434132817</v>
      </c>
      <c r="Y81" s="424" t="n">
        <f aca="false">H81</f>
        <v>5.1</v>
      </c>
      <c r="Z81" s="424" t="n">
        <f aca="false">I81</f>
        <v>1</v>
      </c>
    </row>
    <row r="82" customFormat="false" ht="15.75" hidden="false" customHeight="false" outlineLevel="0" collapsed="false">
      <c r="B82" s="0" t="n">
        <v>1950</v>
      </c>
      <c r="C82" s="424" t="n">
        <v>81</v>
      </c>
      <c r="D82" s="0" t="n">
        <v>9.23</v>
      </c>
      <c r="E82" s="0" t="n">
        <v>14.099999</v>
      </c>
      <c r="F82" s="0" t="n">
        <v>94.325005</v>
      </c>
      <c r="G82" s="0" t="n">
        <v>115</v>
      </c>
      <c r="H82" s="0" t="n">
        <v>0</v>
      </c>
      <c r="I82" s="0" t="n">
        <v>1</v>
      </c>
      <c r="M82" s="0" t="n">
        <f aca="false">F82/0.263*1000/1013.25/100*EXP(17.67*(D82+E82)/2/((D82+E82)/2+273.16-29.65))</f>
        <v>7.93890928605653</v>
      </c>
      <c r="R82" s="424" t="n">
        <f aca="false">B82</f>
        <v>1950</v>
      </c>
      <c r="S82" s="424" t="n">
        <f aca="false">C82</f>
        <v>81</v>
      </c>
      <c r="T82" s="424" t="n">
        <f aca="false">D82</f>
        <v>9.23</v>
      </c>
      <c r="U82" s="424" t="n">
        <f aca="false">E82</f>
        <v>14.099999</v>
      </c>
      <c r="V82" s="0" t="n">
        <f aca="false">MIN(0.263*M82/1000*1013.25*100/EXP(17.67*E82/(E82+273.16-29.65)), 100)</f>
        <v>80.4277987816699</v>
      </c>
      <c r="W82" s="0" t="n">
        <f aca="false">MIN(0.263*M82/1000*1013.25*100/EXP(17.67*D82/(D82+273.16-29.65)), 100)</f>
        <v>100</v>
      </c>
      <c r="X82" s="0" t="n">
        <f aca="false">(198.58*(1/(2/15*ACOS(-TAN(3.1416/180*$L$1)*TAN(3.1416/180*23.45*SIN((2*3.1416/365*(C82+284)))))/3.1416*180))^2+5.0551/(2/15*ACOS(-TAN(3.1416/180*$L$1)*TAN(3.1416/180*23.45*SIN((2*3.1416/365*(C82+284)))))/3.1416*180)+1.49)*G82*2.02</f>
        <v>764.332308445119</v>
      </c>
      <c r="Y82" s="424" t="n">
        <f aca="false">H82</f>
        <v>0</v>
      </c>
      <c r="Z82" s="424" t="n">
        <f aca="false">I82</f>
        <v>1</v>
      </c>
    </row>
    <row r="83" customFormat="false" ht="15.75" hidden="false" customHeight="false" outlineLevel="0" collapsed="false">
      <c r="B83" s="0" t="n">
        <v>1950</v>
      </c>
      <c r="C83" s="424" t="n">
        <v>82</v>
      </c>
      <c r="D83" s="0" t="n">
        <v>10.559999</v>
      </c>
      <c r="E83" s="0" t="n">
        <v>19.359999</v>
      </c>
      <c r="F83" s="0" t="n">
        <v>84.8</v>
      </c>
      <c r="G83" s="0" t="n">
        <v>117</v>
      </c>
      <c r="H83" s="0" t="n">
        <v>0</v>
      </c>
      <c r="I83" s="0" t="n">
        <v>1</v>
      </c>
      <c r="M83" s="0" t="n">
        <f aca="false">F83/0.263*1000/1013.25/100*EXP(17.67*(D83+E83)/2/((D83+E83)/2+273.16-29.65))</f>
        <v>8.84884108193379</v>
      </c>
      <c r="R83" s="424" t="n">
        <f aca="false">B83</f>
        <v>1950</v>
      </c>
      <c r="S83" s="424" t="n">
        <f aca="false">C83</f>
        <v>82</v>
      </c>
      <c r="T83" s="424" t="n">
        <f aca="false">D83</f>
        <v>10.559999</v>
      </c>
      <c r="U83" s="424" t="n">
        <f aca="false">E83</f>
        <v>19.359999</v>
      </c>
      <c r="V83" s="0" t="n">
        <f aca="false">MIN(0.263*M83/1000*1013.25*100/EXP(17.67*E83/(E83+273.16-29.65)), 100)</f>
        <v>64.1772141661411</v>
      </c>
      <c r="W83" s="0" t="n">
        <f aca="false">MIN(0.263*M83/1000*1013.25*100/EXP(17.67*D83/(D83+273.16-29.65)), 100)</f>
        <v>100</v>
      </c>
      <c r="X83" s="0" t="n">
        <f aca="false">(198.58*(1/(2/15*ACOS(-TAN(3.1416/180*$L$1)*TAN(3.1416/180*23.45*SIN((2*3.1416/365*(C83+284)))))/3.1416*180))^2+5.0551/(2/15*ACOS(-TAN(3.1416/180*$L$1)*TAN(3.1416/180*23.45*SIN((2*3.1416/365*(C83+284)))))/3.1416*180)+1.49)*G83*2.02</f>
        <v>774.211958854901</v>
      </c>
      <c r="Y83" s="424" t="n">
        <f aca="false">H83</f>
        <v>0</v>
      </c>
      <c r="Z83" s="424" t="n">
        <f aca="false">I83</f>
        <v>1</v>
      </c>
    </row>
    <row r="84" customFormat="false" ht="15.75" hidden="false" customHeight="false" outlineLevel="0" collapsed="false">
      <c r="B84" s="0" t="n">
        <v>1950</v>
      </c>
      <c r="C84" s="424" t="n">
        <v>83</v>
      </c>
      <c r="D84" s="0" t="n">
        <v>9.41</v>
      </c>
      <c r="E84" s="0" t="n">
        <v>15.809999</v>
      </c>
      <c r="F84" s="0" t="n">
        <v>90.97</v>
      </c>
      <c r="G84" s="0" t="n">
        <v>165</v>
      </c>
      <c r="H84" s="0" t="n">
        <v>0</v>
      </c>
      <c r="I84" s="0" t="n">
        <v>1</v>
      </c>
      <c r="M84" s="0" t="n">
        <f aca="false">F84/0.263*1000/1013.25/100*EXP(17.67*(D84+E84)/2/((D84+E84)/2+273.16-29.65))</f>
        <v>8.14802501251916</v>
      </c>
      <c r="R84" s="424" t="n">
        <f aca="false">B84</f>
        <v>1950</v>
      </c>
      <c r="S84" s="424" t="n">
        <f aca="false">C84</f>
        <v>83</v>
      </c>
      <c r="T84" s="424" t="n">
        <f aca="false">D84</f>
        <v>9.41</v>
      </c>
      <c r="U84" s="424" t="n">
        <f aca="false">E84</f>
        <v>15.809999</v>
      </c>
      <c r="V84" s="0" t="n">
        <f aca="false">MIN(0.263*M84/1000*1013.25*100/EXP(17.67*E84/(E84+273.16-29.65)), 100)</f>
        <v>73.937349667601</v>
      </c>
      <c r="W84" s="0" t="n">
        <f aca="false">MIN(0.263*M84/1000*1013.25*100/EXP(17.67*D84/(D84+273.16-29.65)), 100)</f>
        <v>100</v>
      </c>
      <c r="X84" s="0" t="n">
        <f aca="false">(198.58*(1/(2/15*ACOS(-TAN(3.1416/180*$L$1)*TAN(3.1416/180*23.45*SIN((2*3.1416/365*(C84+284)))))/3.1416*180))^2+5.0551/(2/15*ACOS(-TAN(3.1416/180*$L$1)*TAN(3.1416/180*23.45*SIN((2*3.1416/365*(C84+284)))))/3.1416*180)+1.49)*G84*2.02</f>
        <v>1087.0871389823</v>
      </c>
      <c r="Y84" s="424" t="n">
        <f aca="false">H84</f>
        <v>0</v>
      </c>
      <c r="Z84" s="424" t="n">
        <f aca="false">I84</f>
        <v>1</v>
      </c>
    </row>
    <row r="85" customFormat="false" ht="15.75" hidden="false" customHeight="false" outlineLevel="0" collapsed="false">
      <c r="B85" s="0" t="n">
        <v>1950</v>
      </c>
      <c r="C85" s="424" t="n">
        <v>84</v>
      </c>
      <c r="D85" s="0" t="n">
        <v>5.27</v>
      </c>
      <c r="E85" s="0" t="n">
        <v>18.67</v>
      </c>
      <c r="F85" s="0" t="n">
        <v>84.78</v>
      </c>
      <c r="G85" s="0" t="n">
        <v>191</v>
      </c>
      <c r="H85" s="0" t="n">
        <v>0</v>
      </c>
      <c r="I85" s="0" t="n">
        <v>1</v>
      </c>
      <c r="M85" s="0" t="n">
        <f aca="false">F85/0.263*1000/1013.25/100*EXP(17.67*(D85+E85)/2/((D85+E85)/2+273.16-29.65))</f>
        <v>7.28064853796924</v>
      </c>
      <c r="R85" s="424" t="n">
        <f aca="false">B85</f>
        <v>1950</v>
      </c>
      <c r="S85" s="424" t="n">
        <f aca="false">C85</f>
        <v>84</v>
      </c>
      <c r="T85" s="424" t="n">
        <f aca="false">D85</f>
        <v>5.27</v>
      </c>
      <c r="U85" s="424" t="n">
        <f aca="false">E85</f>
        <v>18.67</v>
      </c>
      <c r="V85" s="0" t="n">
        <f aca="false">MIN(0.263*M85/1000*1013.25*100/EXP(17.67*E85/(E85+273.16-29.65)), 100)</f>
        <v>55.1281368873127</v>
      </c>
      <c r="W85" s="0" t="n">
        <f aca="false">MIN(0.263*M85/1000*1013.25*100/EXP(17.67*D85/(D85+273.16-29.65)), 100)</f>
        <v>100</v>
      </c>
      <c r="X85" s="0" t="n">
        <f aca="false">(198.58*(1/(2/15*ACOS(-TAN(3.1416/180*$L$1)*TAN(3.1416/180*23.45*SIN((2*3.1416/365*(C85+284)))))/3.1416*180))^2+5.0551/(2/15*ACOS(-TAN(3.1416/180*$L$1)*TAN(3.1416/180*23.45*SIN((2*3.1416/365*(C85+284)))))/3.1416*180)+1.49)*G85*2.02</f>
        <v>1252.95946998078</v>
      </c>
      <c r="Y85" s="424" t="n">
        <f aca="false">H85</f>
        <v>0</v>
      </c>
      <c r="Z85" s="424" t="n">
        <f aca="false">I85</f>
        <v>1</v>
      </c>
    </row>
    <row r="86" customFormat="false" ht="15.75" hidden="false" customHeight="false" outlineLevel="0" collapsed="false">
      <c r="B86" s="0" t="n">
        <v>1950</v>
      </c>
      <c r="C86" s="424" t="n">
        <v>85</v>
      </c>
      <c r="D86" s="0" t="n">
        <v>5.2599998</v>
      </c>
      <c r="E86" s="0" t="n">
        <v>20.75</v>
      </c>
      <c r="F86" s="0" t="n">
        <v>66.12</v>
      </c>
      <c r="G86" s="0" t="n">
        <v>188</v>
      </c>
      <c r="H86" s="0" t="n">
        <v>0</v>
      </c>
      <c r="I86" s="0" t="n">
        <v>1</v>
      </c>
      <c r="M86" s="0" t="n">
        <f aca="false">F86/0.263*1000/1013.25/100*EXP(17.67*(D86+E86)/2/((D86+E86)/2+273.16-29.65))</f>
        <v>6.07746064677268</v>
      </c>
      <c r="R86" s="424" t="n">
        <f aca="false">B86</f>
        <v>1950</v>
      </c>
      <c r="S86" s="424" t="n">
        <f aca="false">C86</f>
        <v>85</v>
      </c>
      <c r="T86" s="424" t="n">
        <f aca="false">D86</f>
        <v>5.2599998</v>
      </c>
      <c r="U86" s="424" t="n">
        <f aca="false">E86</f>
        <v>20.75</v>
      </c>
      <c r="V86" s="0" t="n">
        <f aca="false">MIN(0.263*M86/1000*1013.25*100/EXP(17.67*E86/(E86+273.16-29.65)), 100)</f>
        <v>40.4412416389127</v>
      </c>
      <c r="W86" s="0" t="n">
        <f aca="false">MIN(0.263*M86/1000*1013.25*100/EXP(17.67*D86/(D86+273.16-29.65)), 100)</f>
        <v>100</v>
      </c>
      <c r="X86" s="0" t="n">
        <f aca="false">(198.58*(1/(2/15*ACOS(-TAN(3.1416/180*$L$1)*TAN(3.1416/180*23.45*SIN((2*3.1416/365*(C86+284)))))/3.1416*180))^2+5.0551/(2/15*ACOS(-TAN(3.1416/180*$L$1)*TAN(3.1416/180*23.45*SIN((2*3.1416/365*(C86+284)))))/3.1416*180)+1.49)*G86*2.02</f>
        <v>1228.00931781502</v>
      </c>
      <c r="Y86" s="424" t="n">
        <f aca="false">H86</f>
        <v>0</v>
      </c>
      <c r="Z86" s="424" t="n">
        <f aca="false">I86</f>
        <v>1</v>
      </c>
    </row>
    <row r="87" customFormat="false" ht="15.75" hidden="false" customHeight="false" outlineLevel="0" collapsed="false">
      <c r="B87" s="0" t="n">
        <v>1950</v>
      </c>
      <c r="C87" s="424" t="n">
        <v>86</v>
      </c>
      <c r="D87" s="0" t="n">
        <v>5.22</v>
      </c>
      <c r="E87" s="0" t="n">
        <v>18.91</v>
      </c>
      <c r="F87" s="0" t="n">
        <v>68.845</v>
      </c>
      <c r="G87" s="0" t="n">
        <v>135</v>
      </c>
      <c r="H87" s="0" t="n">
        <v>0</v>
      </c>
      <c r="I87" s="0" t="n">
        <v>1</v>
      </c>
      <c r="M87" s="0" t="n">
        <f aca="false">F87/0.263*1000/1013.25/100*EXP(17.67*(D87+E87)/2/((D87+E87)/2+273.16-29.65))</f>
        <v>5.94932800159803</v>
      </c>
      <c r="R87" s="424" t="n">
        <f aca="false">B87</f>
        <v>1950</v>
      </c>
      <c r="S87" s="424" t="n">
        <f aca="false">C87</f>
        <v>86</v>
      </c>
      <c r="T87" s="424" t="n">
        <f aca="false">D87</f>
        <v>5.22</v>
      </c>
      <c r="U87" s="424" t="n">
        <f aca="false">E87</f>
        <v>18.91</v>
      </c>
      <c r="V87" s="0" t="n">
        <f aca="false">MIN(0.263*M87/1000*1013.25*100/EXP(17.67*E87/(E87+273.16-29.65)), 100)</f>
        <v>44.3764534661618</v>
      </c>
      <c r="W87" s="0" t="n">
        <f aca="false">MIN(0.263*M87/1000*1013.25*100/EXP(17.67*D87/(D87+273.16-29.65)), 100)</f>
        <v>100</v>
      </c>
      <c r="X87" s="0" t="n">
        <f aca="false">(198.58*(1/(2/15*ACOS(-TAN(3.1416/180*$L$1)*TAN(3.1416/180*23.45*SIN((2*3.1416/365*(C87+284)))))/3.1416*180))^2+5.0551/(2/15*ACOS(-TAN(3.1416/180*$L$1)*TAN(3.1416/180*23.45*SIN((2*3.1416/365*(C87+284)))))/3.1416*180)+1.49)*G87*2.02</f>
        <v>878.08128626844</v>
      </c>
      <c r="Y87" s="424" t="n">
        <f aca="false">H87</f>
        <v>0</v>
      </c>
      <c r="Z87" s="424" t="n">
        <f aca="false">I87</f>
        <v>1</v>
      </c>
    </row>
    <row r="88" customFormat="false" ht="15.75" hidden="false" customHeight="false" outlineLevel="0" collapsed="false">
      <c r="B88" s="0" t="n">
        <v>1950</v>
      </c>
      <c r="C88" s="424" t="n">
        <v>87</v>
      </c>
      <c r="D88" s="0" t="n">
        <v>3.9299998</v>
      </c>
      <c r="E88" s="0" t="n">
        <v>18.14</v>
      </c>
      <c r="F88" s="0" t="n">
        <v>74.16</v>
      </c>
      <c r="G88" s="0" t="n">
        <v>232</v>
      </c>
      <c r="H88" s="0" t="n">
        <v>0</v>
      </c>
      <c r="I88" s="0" t="n">
        <v>1</v>
      </c>
      <c r="M88" s="0" t="n">
        <f aca="false">F88/0.263*1000/1013.25/100*EXP(17.67*(D88+E88)/2/((D88+E88)/2+273.16-29.65))</f>
        <v>5.98658067587189</v>
      </c>
      <c r="R88" s="424" t="n">
        <f aca="false">B88</f>
        <v>1950</v>
      </c>
      <c r="S88" s="424" t="n">
        <f aca="false">C88</f>
        <v>87</v>
      </c>
      <c r="T88" s="424" t="n">
        <f aca="false">D88</f>
        <v>3.9299998</v>
      </c>
      <c r="U88" s="424" t="n">
        <f aca="false">E88</f>
        <v>18.14</v>
      </c>
      <c r="V88" s="0" t="n">
        <f aca="false">MIN(0.263*M88/1000*1013.25*100/EXP(17.67*E88/(E88+273.16-29.65)), 100)</f>
        <v>46.861871540305</v>
      </c>
      <c r="W88" s="0" t="n">
        <f aca="false">MIN(0.263*M88/1000*1013.25*100/EXP(17.67*D88/(D88+273.16-29.65)), 100)</f>
        <v>100</v>
      </c>
      <c r="X88" s="0" t="n">
        <f aca="false">(198.58*(1/(2/15*ACOS(-TAN(3.1416/180*$L$1)*TAN(3.1416/180*23.45*SIN((2*3.1416/365*(C88+284)))))/3.1416*180))^2+5.0551/(2/15*ACOS(-TAN(3.1416/180*$L$1)*TAN(3.1416/180*23.45*SIN((2*3.1416/365*(C88+284)))))/3.1416*180)+1.49)*G88*2.02</f>
        <v>1502.66829943186</v>
      </c>
      <c r="Y88" s="424" t="n">
        <f aca="false">H88</f>
        <v>0</v>
      </c>
      <c r="Z88" s="424" t="n">
        <f aca="false">I88</f>
        <v>1</v>
      </c>
    </row>
    <row r="89" customFormat="false" ht="15.75" hidden="false" customHeight="false" outlineLevel="0" collapsed="false">
      <c r="B89" s="0" t="n">
        <v>1950</v>
      </c>
      <c r="C89" s="424" t="n">
        <v>88</v>
      </c>
      <c r="D89" s="0" t="n">
        <v>5.46</v>
      </c>
      <c r="E89" s="0" t="n">
        <v>13.53</v>
      </c>
      <c r="F89" s="0" t="n">
        <v>83.615005</v>
      </c>
      <c r="G89" s="0" t="n">
        <v>213</v>
      </c>
      <c r="H89" s="0" t="n">
        <v>0</v>
      </c>
      <c r="I89" s="0" t="n">
        <v>1</v>
      </c>
      <c r="M89" s="0" t="n">
        <f aca="false">F89/0.263*1000/1013.25/100*EXP(17.67*(D89+E89)/2/((D89+E89)/2+273.16-29.65))</f>
        <v>6.08987022944854</v>
      </c>
      <c r="R89" s="424" t="n">
        <f aca="false">B89</f>
        <v>1950</v>
      </c>
      <c r="S89" s="424" t="n">
        <f aca="false">C89</f>
        <v>88</v>
      </c>
      <c r="T89" s="424" t="n">
        <f aca="false">D89</f>
        <v>5.46</v>
      </c>
      <c r="U89" s="424" t="n">
        <f aca="false">E89</f>
        <v>13.53</v>
      </c>
      <c r="V89" s="0" t="n">
        <f aca="false">MIN(0.263*M89/1000*1013.25*100/EXP(17.67*E89/(E89+273.16-29.65)), 100)</f>
        <v>64.0234968968591</v>
      </c>
      <c r="W89" s="0" t="n">
        <f aca="false">MIN(0.263*M89/1000*1013.25*100/EXP(17.67*D89/(D89+273.16-29.65)), 100)</f>
        <v>100</v>
      </c>
      <c r="X89" s="0" t="n">
        <f aca="false">(198.58*(1/(2/15*ACOS(-TAN(3.1416/180*$L$1)*TAN(3.1416/180*23.45*SIN((2*3.1416/365*(C89+284)))))/3.1416*180))^2+5.0551/(2/15*ACOS(-TAN(3.1416/180*$L$1)*TAN(3.1416/180*23.45*SIN((2*3.1416/365*(C89+284)))))/3.1416*180)+1.49)*G89*2.02</f>
        <v>1373.87125105044</v>
      </c>
      <c r="Y89" s="424" t="n">
        <f aca="false">H89</f>
        <v>0</v>
      </c>
      <c r="Z89" s="424" t="n">
        <f aca="false">I89</f>
        <v>1</v>
      </c>
    </row>
    <row r="90" customFormat="false" ht="15.75" hidden="false" customHeight="false" outlineLevel="0" collapsed="false">
      <c r="B90" s="0" t="n">
        <v>1950</v>
      </c>
      <c r="C90" s="424" t="n">
        <v>89</v>
      </c>
      <c r="D90" s="0" t="n">
        <v>2.9399998</v>
      </c>
      <c r="E90" s="0" t="n">
        <v>10.19</v>
      </c>
      <c r="F90" s="0" t="n">
        <v>68.6</v>
      </c>
      <c r="G90" s="0" t="n">
        <v>185</v>
      </c>
      <c r="H90" s="0" t="n">
        <v>0</v>
      </c>
      <c r="I90" s="0" t="n">
        <v>1</v>
      </c>
      <c r="M90" s="0" t="n">
        <f aca="false">F90/0.263*1000/1013.25/100*EXP(17.67*(D90+E90)/2/((D90+E90)/2+273.16-29.65))</f>
        <v>4.09364446132827</v>
      </c>
      <c r="R90" s="424" t="n">
        <f aca="false">B90</f>
        <v>1950</v>
      </c>
      <c r="S90" s="424" t="n">
        <f aca="false">C90</f>
        <v>89</v>
      </c>
      <c r="T90" s="424" t="n">
        <f aca="false">D90</f>
        <v>2.9399998</v>
      </c>
      <c r="U90" s="424" t="n">
        <f aca="false">E90</f>
        <v>10.19</v>
      </c>
      <c r="V90" s="0" t="n">
        <f aca="false">MIN(0.263*M90/1000*1013.25*100/EXP(17.67*E90/(E90+273.16-29.65)), 100)</f>
        <v>53.6478985814519</v>
      </c>
      <c r="W90" s="0" t="n">
        <f aca="false">MIN(0.263*M90/1000*1013.25*100/EXP(17.67*D90/(D90+273.16-29.65)), 100)</f>
        <v>88.3560899909851</v>
      </c>
      <c r="X90" s="0" t="n">
        <f aca="false">(198.58*(1/(2/15*ACOS(-TAN(3.1416/180*$L$1)*TAN(3.1416/180*23.45*SIN((2*3.1416/365*(C90+284)))))/3.1416*180))^2+5.0551/(2/15*ACOS(-TAN(3.1416/180*$L$1)*TAN(3.1416/180*23.45*SIN((2*3.1416/365*(C90+284)))))/3.1416*180)+1.49)*G90*2.02</f>
        <v>1188.35614403722</v>
      </c>
      <c r="Y90" s="424" t="n">
        <f aca="false">H90</f>
        <v>0</v>
      </c>
      <c r="Z90" s="424" t="n">
        <f aca="false">I90</f>
        <v>1</v>
      </c>
    </row>
    <row r="91" customFormat="false" ht="15.75" hidden="false" customHeight="false" outlineLevel="0" collapsed="false">
      <c r="B91" s="0" t="n">
        <v>1950</v>
      </c>
      <c r="C91" s="424" t="n">
        <v>90</v>
      </c>
      <c r="D91" s="0" t="n">
        <v>4.3399997</v>
      </c>
      <c r="E91" s="0" t="n">
        <v>12.28</v>
      </c>
      <c r="F91" s="0" t="n">
        <v>67.67</v>
      </c>
      <c r="G91" s="0" t="n">
        <v>151</v>
      </c>
      <c r="H91" s="0" t="n">
        <v>0</v>
      </c>
      <c r="I91" s="0" t="n">
        <v>1</v>
      </c>
      <c r="M91" s="0" t="n">
        <f aca="false">F91/0.263*1000/1013.25/100*EXP(17.67*(D91+E91)/2/((D91+E91)/2+273.16-29.65))</f>
        <v>4.54949757689772</v>
      </c>
      <c r="R91" s="424" t="n">
        <f aca="false">B91</f>
        <v>1950</v>
      </c>
      <c r="S91" s="424" t="n">
        <f aca="false">C91</f>
        <v>90</v>
      </c>
      <c r="T91" s="424" t="n">
        <f aca="false">D91</f>
        <v>4.3399997</v>
      </c>
      <c r="U91" s="424" t="n">
        <f aca="false">E91</f>
        <v>12.28</v>
      </c>
      <c r="V91" s="0" t="n">
        <f aca="false">MIN(0.263*M91/1000*1013.25*100/EXP(17.67*E91/(E91+273.16-29.65)), 100)</f>
        <v>51.9065529509071</v>
      </c>
      <c r="W91" s="0" t="n">
        <f aca="false">MIN(0.263*M91/1000*1013.25*100/EXP(17.67*D91/(D91+273.16-29.65)), 100)</f>
        <v>88.9733250694824</v>
      </c>
      <c r="X91" s="0" t="n">
        <f aca="false">(198.58*(1/(2/15*ACOS(-TAN(3.1416/180*$L$1)*TAN(3.1416/180*23.45*SIN((2*3.1416/365*(C91+284)))))/3.1416*180))^2+5.0551/(2/15*ACOS(-TAN(3.1416/180*$L$1)*TAN(3.1416/180*23.45*SIN((2*3.1416/365*(C91+284)))))/3.1416*180)+1.49)*G91*2.02</f>
        <v>966.00084432979</v>
      </c>
      <c r="Y91" s="424" t="n">
        <f aca="false">H91</f>
        <v>0</v>
      </c>
      <c r="Z91" s="424" t="n">
        <f aca="false">I91</f>
        <v>1</v>
      </c>
    </row>
    <row r="92" customFormat="false" ht="15.75" hidden="false" customHeight="false" outlineLevel="0" collapsed="false">
      <c r="B92" s="0" t="n">
        <v>1950</v>
      </c>
      <c r="C92" s="424" t="n">
        <v>91</v>
      </c>
      <c r="D92" s="0" t="n">
        <v>5.66</v>
      </c>
      <c r="E92" s="0" t="n">
        <v>12.889999</v>
      </c>
      <c r="F92" s="0" t="n">
        <v>78.945</v>
      </c>
      <c r="G92" s="0" t="n">
        <v>75</v>
      </c>
      <c r="H92" s="0" t="n">
        <v>0</v>
      </c>
      <c r="I92" s="0" t="n">
        <v>1</v>
      </c>
      <c r="M92" s="0" t="n">
        <f aca="false">F92/0.263*1000/1013.25/100*EXP(17.67*(D92+E92)/2/((D92+E92)/2+273.16-29.65))</f>
        <v>5.66526686570885</v>
      </c>
      <c r="R92" s="424" t="n">
        <f aca="false">B92</f>
        <v>1950</v>
      </c>
      <c r="S92" s="424" t="n">
        <f aca="false">C92</f>
        <v>91</v>
      </c>
      <c r="T92" s="424" t="n">
        <f aca="false">D92</f>
        <v>5.66</v>
      </c>
      <c r="U92" s="424" t="n">
        <f aca="false">E92</f>
        <v>12.889999</v>
      </c>
      <c r="V92" s="0" t="n">
        <f aca="false">MIN(0.263*M92/1000*1013.25*100/EXP(17.67*E92/(E92+273.16-29.65)), 100)</f>
        <v>62.1009874246707</v>
      </c>
      <c r="W92" s="0" t="n">
        <f aca="false">MIN(0.263*M92/1000*1013.25*100/EXP(17.67*D92/(D92+273.16-29.65)), 100)</f>
        <v>100</v>
      </c>
      <c r="X92" s="0" t="n">
        <f aca="false">(198.58*(1/(2/15*ACOS(-TAN(3.1416/180*$L$1)*TAN(3.1416/180*23.45*SIN((2*3.1416/365*(C92+284)))))/3.1416*180))^2+5.0551/(2/15*ACOS(-TAN(3.1416/180*$L$1)*TAN(3.1416/180*23.45*SIN((2*3.1416/365*(C92+284)))))/3.1416*180)+1.49)*G92*2.02</f>
        <v>477.864491506918</v>
      </c>
      <c r="Y92" s="424" t="n">
        <f aca="false">H92</f>
        <v>0</v>
      </c>
      <c r="Z92" s="424" t="n">
        <f aca="false">I92</f>
        <v>1</v>
      </c>
    </row>
    <row r="93" customFormat="false" ht="15.75" hidden="false" customHeight="false" outlineLevel="0" collapsed="false">
      <c r="B93" s="0" t="n">
        <v>1950</v>
      </c>
      <c r="C93" s="424" t="n">
        <v>92</v>
      </c>
      <c r="D93" s="0" t="n">
        <v>8.53</v>
      </c>
      <c r="E93" s="0" t="n">
        <v>13.69</v>
      </c>
      <c r="F93" s="0" t="n">
        <v>88.86</v>
      </c>
      <c r="G93" s="0" t="n">
        <v>158</v>
      </c>
      <c r="H93" s="0" t="n">
        <v>8.7</v>
      </c>
      <c r="I93" s="0" t="n">
        <v>1</v>
      </c>
      <c r="M93" s="0" t="n">
        <f aca="false">F93/0.263*1000/1013.25/100*EXP(17.67*(D93+E93)/2/((D93+E93)/2+273.16-29.65))</f>
        <v>7.20904703486324</v>
      </c>
      <c r="R93" s="424" t="n">
        <f aca="false">B93</f>
        <v>1950</v>
      </c>
      <c r="S93" s="424" t="n">
        <f aca="false">C93</f>
        <v>92</v>
      </c>
      <c r="T93" s="424" t="n">
        <f aca="false">D93</f>
        <v>8.53</v>
      </c>
      <c r="U93" s="424" t="n">
        <f aca="false">E93</f>
        <v>13.69</v>
      </c>
      <c r="V93" s="0" t="n">
        <f aca="false">MIN(0.263*M93/1000*1013.25*100/EXP(17.67*E93/(E93+273.16-29.65)), 100)</f>
        <v>75.0043816502868</v>
      </c>
      <c r="W93" s="0" t="n">
        <f aca="false">MIN(0.263*M93/1000*1013.25*100/EXP(17.67*D93/(D93+273.16-29.65)), 100)</f>
        <v>100</v>
      </c>
      <c r="X93" s="0" t="n">
        <f aca="false">(198.58*(1/(2/15*ACOS(-TAN(3.1416/180*$L$1)*TAN(3.1416/180*23.45*SIN((2*3.1416/365*(C93+284)))))/3.1416*180))^2+5.0551/(2/15*ACOS(-TAN(3.1416/180*$L$1)*TAN(3.1416/180*23.45*SIN((2*3.1416/365*(C93+284)))))/3.1416*180)+1.49)*G93*2.02</f>
        <v>1002.67650848638</v>
      </c>
      <c r="Y93" s="424" t="n">
        <f aca="false">H93</f>
        <v>8.7</v>
      </c>
      <c r="Z93" s="424" t="n">
        <f aca="false">I93</f>
        <v>1</v>
      </c>
    </row>
    <row r="94" customFormat="false" ht="15.75" hidden="false" customHeight="false" outlineLevel="0" collapsed="false">
      <c r="B94" s="0" t="n">
        <v>1950</v>
      </c>
      <c r="C94" s="424" t="n">
        <v>93</v>
      </c>
      <c r="D94" s="0" t="n">
        <v>6.08</v>
      </c>
      <c r="E94" s="0" t="n">
        <v>12.28</v>
      </c>
      <c r="F94" s="0" t="n">
        <v>81.005005</v>
      </c>
      <c r="G94" s="0" t="n">
        <v>124</v>
      </c>
      <c r="H94" s="0" t="n">
        <v>1.4</v>
      </c>
      <c r="I94" s="0" t="n">
        <v>1</v>
      </c>
      <c r="M94" s="0" t="n">
        <f aca="false">F94/0.263*1000/1013.25/100*EXP(17.67*(D94+E94)/2/((D94+E94)/2+273.16-29.65))</f>
        <v>5.77601613283323</v>
      </c>
      <c r="R94" s="424" t="n">
        <f aca="false">B94</f>
        <v>1950</v>
      </c>
      <c r="S94" s="424" t="n">
        <f aca="false">C94</f>
        <v>93</v>
      </c>
      <c r="T94" s="424" t="n">
        <f aca="false">D94</f>
        <v>6.08</v>
      </c>
      <c r="U94" s="424" t="n">
        <f aca="false">E94</f>
        <v>12.28</v>
      </c>
      <c r="V94" s="0" t="n">
        <f aca="false">MIN(0.263*M94/1000*1013.25*100/EXP(17.67*E94/(E94+273.16-29.65)), 100)</f>
        <v>65.9002630898515</v>
      </c>
      <c r="W94" s="0" t="n">
        <f aca="false">MIN(0.263*M94/1000*1013.25*100/EXP(17.67*D94/(D94+273.16-29.65)), 100)</f>
        <v>100</v>
      </c>
      <c r="X94" s="0" t="n">
        <f aca="false">(198.58*(1/(2/15*ACOS(-TAN(3.1416/180*$L$1)*TAN(3.1416/180*23.45*SIN((2*3.1416/365*(C94+284)))))/3.1416*180))^2+5.0551/(2/15*ACOS(-TAN(3.1416/180*$L$1)*TAN(3.1416/180*23.45*SIN((2*3.1416/365*(C94+284)))))/3.1416*180)+1.49)*G94*2.02</f>
        <v>783.796029987656</v>
      </c>
      <c r="Y94" s="424" t="n">
        <f aca="false">H94</f>
        <v>1.4</v>
      </c>
      <c r="Z94" s="424" t="n">
        <f aca="false">I94</f>
        <v>1</v>
      </c>
    </row>
    <row r="95" customFormat="false" ht="15.75" hidden="false" customHeight="false" outlineLevel="0" collapsed="false">
      <c r="B95" s="0" t="n">
        <v>1950</v>
      </c>
      <c r="C95" s="424" t="n">
        <v>94</v>
      </c>
      <c r="D95" s="0" t="n">
        <v>4.54</v>
      </c>
      <c r="E95" s="0" t="n">
        <v>12.48</v>
      </c>
      <c r="F95" s="0" t="n">
        <v>87.845</v>
      </c>
      <c r="G95" s="0" t="n">
        <v>170</v>
      </c>
      <c r="H95" s="0" t="n">
        <v>0</v>
      </c>
      <c r="I95" s="0" t="n">
        <v>1</v>
      </c>
      <c r="M95" s="0" t="n">
        <f aca="false">F95/0.263*1000/1013.25/100*EXP(17.67*(D95+E95)/2/((D95+E95)/2+273.16-29.65))</f>
        <v>5.9865046619676</v>
      </c>
      <c r="R95" s="424" t="n">
        <f aca="false">B95</f>
        <v>1950</v>
      </c>
      <c r="S95" s="424" t="n">
        <f aca="false">C95</f>
        <v>94</v>
      </c>
      <c r="T95" s="424" t="n">
        <f aca="false">D95</f>
        <v>4.54</v>
      </c>
      <c r="U95" s="424" t="n">
        <f aca="false">E95</f>
        <v>12.48</v>
      </c>
      <c r="V95" s="0" t="n">
        <f aca="false">MIN(0.263*M95/1000*1013.25*100/EXP(17.67*E95/(E95+273.16-29.65)), 100)</f>
        <v>67.4100076527643</v>
      </c>
      <c r="W95" s="0" t="n">
        <f aca="false">MIN(0.263*M95/1000*1013.25*100/EXP(17.67*D95/(D95+273.16-29.65)), 100)</f>
        <v>100</v>
      </c>
      <c r="X95" s="0" t="n">
        <f aca="false">(198.58*(1/(2/15*ACOS(-TAN(3.1416/180*$L$1)*TAN(3.1416/180*23.45*SIN((2*3.1416/365*(C95+284)))))/3.1416*180))^2+5.0551/(2/15*ACOS(-TAN(3.1416/180*$L$1)*TAN(3.1416/180*23.45*SIN((2*3.1416/365*(C95+284)))))/3.1416*180)+1.49)*G95*2.02</f>
        <v>1070.34880769788</v>
      </c>
      <c r="Y95" s="424" t="n">
        <f aca="false">H95</f>
        <v>0</v>
      </c>
      <c r="Z95" s="424" t="n">
        <f aca="false">I95</f>
        <v>1</v>
      </c>
    </row>
    <row r="96" customFormat="false" ht="15.75" hidden="false" customHeight="false" outlineLevel="0" collapsed="false">
      <c r="B96" s="0" t="n">
        <v>1950</v>
      </c>
      <c r="C96" s="424" t="n">
        <v>95</v>
      </c>
      <c r="D96" s="0" t="n">
        <v>6.8599997</v>
      </c>
      <c r="E96" s="0" t="n">
        <v>15.08</v>
      </c>
      <c r="F96" s="0" t="n">
        <v>81.935005</v>
      </c>
      <c r="G96" s="0" t="n">
        <v>238</v>
      </c>
      <c r="H96" s="0" t="n">
        <v>0</v>
      </c>
      <c r="I96" s="0" t="n">
        <v>1</v>
      </c>
      <c r="M96" s="0" t="n">
        <f aca="false">F96/0.263*1000/1013.25/100*EXP(17.67*(D96+E96)/2/((D96+E96)/2+273.16-29.65))</f>
        <v>6.58572308080936</v>
      </c>
      <c r="R96" s="424" t="n">
        <f aca="false">B96</f>
        <v>1950</v>
      </c>
      <c r="S96" s="424" t="n">
        <f aca="false">C96</f>
        <v>95</v>
      </c>
      <c r="T96" s="424" t="n">
        <f aca="false">D96</f>
        <v>6.8599997</v>
      </c>
      <c r="U96" s="424" t="n">
        <f aca="false">E96</f>
        <v>15.08</v>
      </c>
      <c r="V96" s="0" t="n">
        <f aca="false">MIN(0.263*M96/1000*1013.25*100/EXP(17.67*E96/(E96+273.16-29.65)), 100)</f>
        <v>62.6264593598093</v>
      </c>
      <c r="W96" s="0" t="n">
        <f aca="false">MIN(0.263*M96/1000*1013.25*100/EXP(17.67*D96/(D96+273.16-29.65)), 100)</f>
        <v>100</v>
      </c>
      <c r="X96" s="0" t="n">
        <f aca="false">(198.58*(1/(2/15*ACOS(-TAN(3.1416/180*$L$1)*TAN(3.1416/180*23.45*SIN((2*3.1416/365*(C96+284)))))/3.1416*180))^2+5.0551/(2/15*ACOS(-TAN(3.1416/180*$L$1)*TAN(3.1416/180*23.45*SIN((2*3.1416/365*(C96+284)))))/3.1416*180)+1.49)*G96*2.02</f>
        <v>1492.67706255624</v>
      </c>
      <c r="Y96" s="424" t="n">
        <f aca="false">H96</f>
        <v>0</v>
      </c>
      <c r="Z96" s="424" t="n">
        <f aca="false">I96</f>
        <v>1</v>
      </c>
    </row>
    <row r="97" customFormat="false" ht="15.75" hidden="false" customHeight="false" outlineLevel="0" collapsed="false">
      <c r="B97" s="0" t="n">
        <v>1950</v>
      </c>
      <c r="C97" s="424" t="n">
        <v>96</v>
      </c>
      <c r="D97" s="0" t="n">
        <v>2.52</v>
      </c>
      <c r="E97" s="0" t="n">
        <v>20.08</v>
      </c>
      <c r="F97" s="0" t="n">
        <v>70.28</v>
      </c>
      <c r="G97" s="0" t="n">
        <v>233</v>
      </c>
      <c r="H97" s="0" t="n">
        <v>0</v>
      </c>
      <c r="I97" s="0" t="n">
        <v>1</v>
      </c>
      <c r="M97" s="0" t="n">
        <f aca="false">F97/0.263*1000/1013.25/100*EXP(17.67*(D97+E97)/2/((D97+E97)/2+273.16-29.65))</f>
        <v>5.77398643176559</v>
      </c>
      <c r="R97" s="424" t="n">
        <f aca="false">B97</f>
        <v>1950</v>
      </c>
      <c r="S97" s="424" t="n">
        <f aca="false">C97</f>
        <v>96</v>
      </c>
      <c r="T97" s="424" t="n">
        <f aca="false">D97</f>
        <v>2.52</v>
      </c>
      <c r="U97" s="424" t="n">
        <f aca="false">E97</f>
        <v>20.08</v>
      </c>
      <c r="V97" s="0" t="n">
        <f aca="false">MIN(0.263*M97/1000*1013.25*100/EXP(17.67*E97/(E97+273.16-29.65)), 100)</f>
        <v>40.0453772645175</v>
      </c>
      <c r="W97" s="0" t="n">
        <f aca="false">MIN(0.263*M97/1000*1013.25*100/EXP(17.67*D97/(D97+273.16-29.65)), 100)</f>
        <v>100</v>
      </c>
      <c r="X97" s="0" t="n">
        <f aca="false">(198.58*(1/(2/15*ACOS(-TAN(3.1416/180*$L$1)*TAN(3.1416/180*23.45*SIN((2*3.1416/365*(C97+284)))))/3.1416*180))^2+5.0551/(2/15*ACOS(-TAN(3.1416/180*$L$1)*TAN(3.1416/180*23.45*SIN((2*3.1416/365*(C97+284)))))/3.1416*180)+1.49)*G97*2.02</f>
        <v>1455.70986125979</v>
      </c>
      <c r="Y97" s="424" t="n">
        <f aca="false">H97</f>
        <v>0</v>
      </c>
      <c r="Z97" s="424" t="n">
        <f aca="false">I97</f>
        <v>1</v>
      </c>
    </row>
    <row r="98" customFormat="false" ht="15.75" hidden="false" customHeight="false" outlineLevel="0" collapsed="false">
      <c r="B98" s="0" t="n">
        <v>1950</v>
      </c>
      <c r="C98" s="424" t="n">
        <v>97</v>
      </c>
      <c r="D98" s="0" t="n">
        <v>6.6099997</v>
      </c>
      <c r="E98" s="0" t="n">
        <v>23.89</v>
      </c>
      <c r="F98" s="0" t="n">
        <v>65.545</v>
      </c>
      <c r="G98" s="0" t="n">
        <v>260</v>
      </c>
      <c r="H98" s="0" t="n">
        <v>0</v>
      </c>
      <c r="I98" s="0" t="n">
        <v>1</v>
      </c>
      <c r="M98" s="0" t="n">
        <f aca="false">F98/0.263*1000/1013.25/100*EXP(17.67*(D98+E98)/2/((D98+E98)/2+273.16-29.65))</f>
        <v>6.96839577993719</v>
      </c>
      <c r="R98" s="424" t="n">
        <f aca="false">B98</f>
        <v>1950</v>
      </c>
      <c r="S98" s="424" t="n">
        <f aca="false">C98</f>
        <v>97</v>
      </c>
      <c r="T98" s="424" t="n">
        <f aca="false">D98</f>
        <v>6.6099997</v>
      </c>
      <c r="U98" s="424" t="n">
        <f aca="false">E98</f>
        <v>23.89</v>
      </c>
      <c r="V98" s="0" t="n">
        <f aca="false">MIN(0.263*M98/1000*1013.25*100/EXP(17.67*E98/(E98+273.16-29.65)), 100)</f>
        <v>38.2998959777485</v>
      </c>
      <c r="W98" s="0" t="n">
        <f aca="false">MIN(0.263*M98/1000*1013.25*100/EXP(17.67*D98/(D98+273.16-29.65)), 100)</f>
        <v>100</v>
      </c>
      <c r="X98" s="0" t="n">
        <f aca="false">(198.58*(1/(2/15*ACOS(-TAN(3.1416/180*$L$1)*TAN(3.1416/180*23.45*SIN((2*3.1416/365*(C98+284)))))/3.1416*180))^2+5.0551/(2/15*ACOS(-TAN(3.1416/180*$L$1)*TAN(3.1416/180*23.45*SIN((2*3.1416/365*(C98+284)))))/3.1416*180)+1.49)*G98*2.02</f>
        <v>1618.22835231708</v>
      </c>
      <c r="Y98" s="424" t="n">
        <f aca="false">H98</f>
        <v>0</v>
      </c>
      <c r="Z98" s="424" t="n">
        <f aca="false">I98</f>
        <v>1</v>
      </c>
    </row>
    <row r="99" customFormat="false" ht="15.75" hidden="false" customHeight="false" outlineLevel="0" collapsed="false">
      <c r="B99" s="0" t="n">
        <v>1950</v>
      </c>
      <c r="C99" s="424" t="n">
        <v>98</v>
      </c>
      <c r="D99" s="0" t="n">
        <v>7.8999996</v>
      </c>
      <c r="E99" s="0" t="n">
        <v>20.72</v>
      </c>
      <c r="F99" s="0" t="n">
        <v>81.54</v>
      </c>
      <c r="G99" s="0" t="n">
        <v>239</v>
      </c>
      <c r="H99" s="0" t="n">
        <v>0</v>
      </c>
      <c r="I99" s="0" t="n">
        <v>1</v>
      </c>
      <c r="M99" s="0" t="n">
        <f aca="false">F99/0.263*1000/1013.25/100*EXP(17.67*(D99+E99)/2/((D99+E99)/2+273.16-29.65))</f>
        <v>8.15894286365456</v>
      </c>
      <c r="R99" s="424" t="n">
        <f aca="false">B99</f>
        <v>1950</v>
      </c>
      <c r="S99" s="424" t="n">
        <f aca="false">C99</f>
        <v>98</v>
      </c>
      <c r="T99" s="424" t="n">
        <f aca="false">D99</f>
        <v>7.8999996</v>
      </c>
      <c r="U99" s="424" t="n">
        <f aca="false">E99</f>
        <v>20.72</v>
      </c>
      <c r="V99" s="0" t="n">
        <f aca="false">MIN(0.263*M99/1000*1013.25*100/EXP(17.67*E99/(E99+273.16-29.65)), 100)</f>
        <v>54.3925084233905</v>
      </c>
      <c r="W99" s="0" t="n">
        <f aca="false">MIN(0.263*M99/1000*1013.25*100/EXP(17.67*D99/(D99+273.16-29.65)), 100)</f>
        <v>100</v>
      </c>
      <c r="X99" s="0" t="n">
        <f aca="false">(198.58*(1/(2/15*ACOS(-TAN(3.1416/180*$L$1)*TAN(3.1416/180*23.45*SIN((2*3.1416/365*(C99+284)))))/3.1416*180))^2+5.0551/(2/15*ACOS(-TAN(3.1416/180*$L$1)*TAN(3.1416/180*23.45*SIN((2*3.1416/365*(C99+284)))))/3.1416*180)+1.49)*G99*2.02</f>
        <v>1481.93623195685</v>
      </c>
      <c r="Y99" s="424" t="n">
        <f aca="false">H99</f>
        <v>0</v>
      </c>
      <c r="Z99" s="424" t="n">
        <f aca="false">I99</f>
        <v>1</v>
      </c>
    </row>
    <row r="100" customFormat="false" ht="15.75" hidden="false" customHeight="false" outlineLevel="0" collapsed="false">
      <c r="B100" s="0" t="n">
        <v>1950</v>
      </c>
      <c r="C100" s="424" t="n">
        <v>99</v>
      </c>
      <c r="D100" s="0" t="n">
        <v>7.5299997</v>
      </c>
      <c r="E100" s="0" t="n">
        <v>15.219999</v>
      </c>
      <c r="F100" s="0" t="n">
        <v>90.73158</v>
      </c>
      <c r="G100" s="0" t="n">
        <v>140</v>
      </c>
      <c r="H100" s="0" t="n">
        <v>0</v>
      </c>
      <c r="I100" s="0" t="n">
        <v>1</v>
      </c>
      <c r="M100" s="0" t="n">
        <f aca="false">F100/0.263*1000/1013.25/100*EXP(17.67*(D100+E100)/2/((D100+E100)/2+273.16-29.65))</f>
        <v>7.49135530100029</v>
      </c>
      <c r="R100" s="424" t="n">
        <f aca="false">B100</f>
        <v>1950</v>
      </c>
      <c r="S100" s="424" t="n">
        <f aca="false">C100</f>
        <v>99</v>
      </c>
      <c r="T100" s="424" t="n">
        <f aca="false">D100</f>
        <v>7.5299997</v>
      </c>
      <c r="U100" s="424" t="n">
        <f aca="false">E100</f>
        <v>15.219999</v>
      </c>
      <c r="V100" s="0" t="n">
        <f aca="false">MIN(0.263*M100/1000*1013.25*100/EXP(17.67*E100/(E100+273.16-29.65)), 100)</f>
        <v>70.599974329737</v>
      </c>
      <c r="W100" s="0" t="n">
        <f aca="false">MIN(0.263*M100/1000*1013.25*100/EXP(17.67*D100/(D100+273.16-29.65)), 100)</f>
        <v>100</v>
      </c>
      <c r="X100" s="0" t="n">
        <f aca="false">(198.58*(1/(2/15*ACOS(-TAN(3.1416/180*$L$1)*TAN(3.1416/180*23.45*SIN((2*3.1416/365*(C100+284)))))/3.1416*180))^2+5.0551/(2/15*ACOS(-TAN(3.1416/180*$L$1)*TAN(3.1416/180*23.45*SIN((2*3.1416/365*(C100+284)))))/3.1416*180)+1.49)*G100*2.02</f>
        <v>864.853325201178</v>
      </c>
      <c r="Y100" s="424" t="n">
        <f aca="false">H100</f>
        <v>0</v>
      </c>
      <c r="Z100" s="424" t="n">
        <f aca="false">I100</f>
        <v>1</v>
      </c>
    </row>
    <row r="101" customFormat="false" ht="15.75" hidden="false" customHeight="false" outlineLevel="0" collapsed="false">
      <c r="B101" s="0" t="n">
        <v>1950</v>
      </c>
      <c r="C101" s="424" t="n">
        <v>100</v>
      </c>
      <c r="D101" s="0" t="n">
        <v>5.23</v>
      </c>
      <c r="E101" s="0" t="n">
        <v>13.639999</v>
      </c>
      <c r="F101" s="0" t="n">
        <v>79.265</v>
      </c>
      <c r="G101" s="0" t="n">
        <v>153</v>
      </c>
      <c r="H101" s="0" t="n">
        <v>0</v>
      </c>
      <c r="I101" s="0" t="n">
        <v>1</v>
      </c>
      <c r="M101" s="0" t="n">
        <f aca="false">F101/0.263*1000/1013.25/100*EXP(17.67*(D101+E101)/2/((D101+E101)/2+273.16-29.65))</f>
        <v>5.74980702460412</v>
      </c>
      <c r="R101" s="424" t="n">
        <f aca="false">B101</f>
        <v>1950</v>
      </c>
      <c r="S101" s="424" t="n">
        <f aca="false">C101</f>
        <v>100</v>
      </c>
      <c r="T101" s="424" t="n">
        <f aca="false">D101</f>
        <v>5.23</v>
      </c>
      <c r="U101" s="424" t="n">
        <f aca="false">E101</f>
        <v>13.639999</v>
      </c>
      <c r="V101" s="0" t="n">
        <f aca="false">MIN(0.263*M101/1000*1013.25*100/EXP(17.67*E101/(E101+273.16-29.65)), 100)</f>
        <v>60.0170678545628</v>
      </c>
      <c r="W101" s="0" t="n">
        <f aca="false">MIN(0.263*M101/1000*1013.25*100/EXP(17.67*D101/(D101+273.16-29.65)), 100)</f>
        <v>100</v>
      </c>
      <c r="X101" s="0" t="n">
        <f aca="false">(198.58*(1/(2/15*ACOS(-TAN(3.1416/180*$L$1)*TAN(3.1416/180*23.45*SIN((2*3.1416/365*(C101+284)))))/3.1416*180))^2+5.0551/(2/15*ACOS(-TAN(3.1416/180*$L$1)*TAN(3.1416/180*23.45*SIN((2*3.1416/365*(C101+284)))))/3.1416*180)+1.49)*G101*2.02</f>
        <v>941.686544318161</v>
      </c>
      <c r="Y101" s="424" t="n">
        <f aca="false">H101</f>
        <v>0</v>
      </c>
      <c r="Z101" s="424" t="n">
        <f aca="false">I101</f>
        <v>1</v>
      </c>
    </row>
    <row r="102" customFormat="false" ht="15.75" hidden="false" customHeight="false" outlineLevel="0" collapsed="false">
      <c r="B102" s="0" t="n">
        <v>1950</v>
      </c>
      <c r="C102" s="424" t="n">
        <v>101</v>
      </c>
      <c r="D102" s="0" t="n">
        <v>9.82</v>
      </c>
      <c r="E102" s="0" t="n">
        <v>13.549999</v>
      </c>
      <c r="F102" s="0" t="n">
        <v>85.450005</v>
      </c>
      <c r="G102" s="0" t="n">
        <v>192</v>
      </c>
      <c r="H102" s="0" t="n">
        <v>1.7</v>
      </c>
      <c r="I102" s="0" t="n">
        <v>1</v>
      </c>
      <c r="M102" s="0" t="n">
        <f aca="false">F102/0.263*1000/1013.25/100*EXP(17.67*(D102+E102)/2/((D102+E102)/2+273.16-29.65))</f>
        <v>7.20145121582224</v>
      </c>
      <c r="R102" s="424" t="n">
        <f aca="false">B102</f>
        <v>1950</v>
      </c>
      <c r="S102" s="424" t="n">
        <f aca="false">C102</f>
        <v>101</v>
      </c>
      <c r="T102" s="424" t="n">
        <f aca="false">D102</f>
        <v>9.82</v>
      </c>
      <c r="U102" s="424" t="n">
        <f aca="false">E102</f>
        <v>13.549999</v>
      </c>
      <c r="V102" s="0" t="n">
        <f aca="false">MIN(0.263*M102/1000*1013.25*100/EXP(17.67*E102/(E102+273.16-29.65)), 100)</f>
        <v>75.6111379450695</v>
      </c>
      <c r="W102" s="0" t="n">
        <f aca="false">MIN(0.263*M102/1000*1013.25*100/EXP(17.67*D102/(D102+273.16-29.65)), 100)</f>
        <v>96.7432417369752</v>
      </c>
      <c r="X102" s="0" t="n">
        <f aca="false">(198.58*(1/(2/15*ACOS(-TAN(3.1416/180*$L$1)*TAN(3.1416/180*23.45*SIN((2*3.1416/365*(C102+284)))))/3.1416*180))^2+5.0551/(2/15*ACOS(-TAN(3.1416/180*$L$1)*TAN(3.1416/180*23.45*SIN((2*3.1416/365*(C102+284)))))/3.1416*180)+1.49)*G102*2.02</f>
        <v>1177.42818214669</v>
      </c>
      <c r="Y102" s="424" t="n">
        <f aca="false">H102</f>
        <v>1.7</v>
      </c>
      <c r="Z102" s="424" t="n">
        <f aca="false">I102</f>
        <v>1</v>
      </c>
    </row>
    <row r="103" customFormat="false" ht="15.75" hidden="false" customHeight="false" outlineLevel="0" collapsed="false">
      <c r="B103" s="0" t="n">
        <v>1950</v>
      </c>
      <c r="C103" s="424" t="n">
        <v>102</v>
      </c>
      <c r="D103" s="0" t="n">
        <v>9.87</v>
      </c>
      <c r="E103" s="0" t="n">
        <v>13.73</v>
      </c>
      <c r="F103" s="0" t="n">
        <v>92.600006</v>
      </c>
      <c r="G103" s="0" t="n">
        <v>137</v>
      </c>
      <c r="H103" s="0" t="n">
        <v>8.400001</v>
      </c>
      <c r="I103" s="0" t="n">
        <v>1</v>
      </c>
      <c r="M103" s="0" t="n">
        <f aca="false">F103/0.263*1000/1013.25/100*EXP(17.67*(D103+E103)/2/((D103+E103)/2+273.16-29.65))</f>
        <v>7.86352551768756</v>
      </c>
      <c r="R103" s="424" t="n">
        <f aca="false">B103</f>
        <v>1950</v>
      </c>
      <c r="S103" s="424" t="n">
        <f aca="false">C103</f>
        <v>102</v>
      </c>
      <c r="T103" s="424" t="n">
        <f aca="false">D103</f>
        <v>9.87</v>
      </c>
      <c r="U103" s="424" t="n">
        <f aca="false">E103</f>
        <v>13.73</v>
      </c>
      <c r="V103" s="0" t="n">
        <f aca="false">MIN(0.263*M103/1000*1013.25*100/EXP(17.67*E103/(E103+273.16-29.65)), 100)</f>
        <v>81.6011559983464</v>
      </c>
      <c r="W103" s="0" t="n">
        <f aca="false">MIN(0.263*M103/1000*1013.25*100/EXP(17.67*D103/(D103+273.16-29.65)), 100)</f>
        <v>100</v>
      </c>
      <c r="X103" s="0" t="n">
        <f aca="false">(198.58*(1/(2/15*ACOS(-TAN(3.1416/180*$L$1)*TAN(3.1416/180*23.45*SIN((2*3.1416/365*(C103+284)))))/3.1416*180))^2+5.0551/(2/15*ACOS(-TAN(3.1416/180*$L$1)*TAN(3.1416/180*23.45*SIN((2*3.1416/365*(C103+284)))))/3.1416*180)+1.49)*G103*2.02</f>
        <v>837.124083455458</v>
      </c>
      <c r="Y103" s="424" t="n">
        <f aca="false">H103</f>
        <v>8.400001</v>
      </c>
      <c r="Z103" s="424" t="n">
        <f aca="false">I103</f>
        <v>1</v>
      </c>
    </row>
    <row r="104" customFormat="false" ht="15.75" hidden="false" customHeight="false" outlineLevel="0" collapsed="false">
      <c r="B104" s="0" t="n">
        <v>1950</v>
      </c>
      <c r="C104" s="424" t="n">
        <v>103</v>
      </c>
      <c r="D104" s="0" t="n">
        <v>4.46</v>
      </c>
      <c r="E104" s="0" t="n">
        <v>13.19</v>
      </c>
      <c r="F104" s="0" t="n">
        <v>79.810005</v>
      </c>
      <c r="G104" s="0" t="n">
        <v>190</v>
      </c>
      <c r="H104" s="0" t="n">
        <v>0</v>
      </c>
      <c r="I104" s="0" t="n">
        <v>1</v>
      </c>
      <c r="M104" s="0" t="n">
        <f aca="false">F104/0.263*1000/1013.25/100*EXP(17.67*(D104+E104)/2/((D104+E104)/2+273.16-29.65))</f>
        <v>5.55609777184822</v>
      </c>
      <c r="R104" s="424" t="n">
        <f aca="false">B104</f>
        <v>1950</v>
      </c>
      <c r="S104" s="424" t="n">
        <f aca="false">C104</f>
        <v>103</v>
      </c>
      <c r="T104" s="424" t="n">
        <f aca="false">D104</f>
        <v>4.46</v>
      </c>
      <c r="U104" s="424" t="n">
        <f aca="false">E104</f>
        <v>13.19</v>
      </c>
      <c r="V104" s="0" t="n">
        <f aca="false">MIN(0.263*M104/1000*1013.25*100/EXP(17.67*E104/(E104+273.16-29.65)), 100)</f>
        <v>59.7214615781793</v>
      </c>
      <c r="W104" s="0" t="n">
        <f aca="false">MIN(0.263*M104/1000*1013.25*100/EXP(17.67*D104/(D104+273.16-29.65)), 100)</f>
        <v>100</v>
      </c>
      <c r="X104" s="0" t="n">
        <f aca="false">(198.58*(1/(2/15*ACOS(-TAN(3.1416/180*$L$1)*TAN(3.1416/180*23.45*SIN((2*3.1416/365*(C104+284)))))/3.1416*180))^2+5.0551/(2/15*ACOS(-TAN(3.1416/180*$L$1)*TAN(3.1416/180*23.45*SIN((2*3.1416/365*(C104+284)))))/3.1416*180)+1.49)*G104*2.02</f>
        <v>1156.8493457959</v>
      </c>
      <c r="Y104" s="424" t="n">
        <f aca="false">H104</f>
        <v>0</v>
      </c>
      <c r="Z104" s="424" t="n">
        <f aca="false">I104</f>
        <v>1</v>
      </c>
    </row>
    <row r="105" customFormat="false" ht="15.75" hidden="false" customHeight="false" outlineLevel="0" collapsed="false">
      <c r="B105" s="0" t="n">
        <v>1950</v>
      </c>
      <c r="C105" s="424" t="n">
        <v>104</v>
      </c>
      <c r="D105" s="0" t="n">
        <v>0.22</v>
      </c>
      <c r="E105" s="0" t="n">
        <v>12.65</v>
      </c>
      <c r="F105" s="0" t="n">
        <v>81.33</v>
      </c>
      <c r="G105" s="0" t="n">
        <v>165</v>
      </c>
      <c r="H105" s="0" t="n">
        <v>2.5</v>
      </c>
      <c r="I105" s="0" t="n">
        <v>1</v>
      </c>
      <c r="M105" s="0" t="n">
        <f aca="false">F105/0.263*1000/1013.25/100*EXP(17.67*(D105+E105)/2/((D105+E105)/2+273.16-29.65))</f>
        <v>4.81005688361486</v>
      </c>
      <c r="R105" s="424" t="n">
        <f aca="false">B105</f>
        <v>1950</v>
      </c>
      <c r="S105" s="424" t="n">
        <f aca="false">C105</f>
        <v>104</v>
      </c>
      <c r="T105" s="424" t="n">
        <f aca="false">D105</f>
        <v>0.22</v>
      </c>
      <c r="U105" s="424" t="n">
        <f aca="false">E105</f>
        <v>12.65</v>
      </c>
      <c r="V105" s="0" t="n">
        <f aca="false">MIN(0.263*M105/1000*1013.25*100/EXP(17.67*E105/(E105+273.16-29.65)), 100)</f>
        <v>53.5619928101452</v>
      </c>
      <c r="W105" s="0" t="n">
        <f aca="false">MIN(0.263*M105/1000*1013.25*100/EXP(17.67*D105/(D105+273.16-29.65)), 100)</f>
        <v>100</v>
      </c>
      <c r="X105" s="0" t="n">
        <f aca="false">(198.58*(1/(2/15*ACOS(-TAN(3.1416/180*$L$1)*TAN(3.1416/180*23.45*SIN((2*3.1416/365*(C105+284)))))/3.1416*180))^2+5.0551/(2/15*ACOS(-TAN(3.1416/180*$L$1)*TAN(3.1416/180*23.45*SIN((2*3.1416/365*(C105+284)))))/3.1416*180)+1.49)*G105*2.02</f>
        <v>1001.10356021711</v>
      </c>
      <c r="Y105" s="424" t="n">
        <f aca="false">H105</f>
        <v>2.5</v>
      </c>
      <c r="Z105" s="424" t="n">
        <f aca="false">I105</f>
        <v>1</v>
      </c>
    </row>
    <row r="106" customFormat="false" ht="15.75" hidden="false" customHeight="false" outlineLevel="0" collapsed="false">
      <c r="B106" s="0" t="n">
        <v>1950</v>
      </c>
      <c r="C106" s="424" t="n">
        <v>105</v>
      </c>
      <c r="D106" s="0" t="n">
        <v>2.06</v>
      </c>
      <c r="E106" s="0" t="n">
        <v>11.87</v>
      </c>
      <c r="F106" s="0" t="n">
        <v>83.92</v>
      </c>
      <c r="G106" s="0" t="n">
        <v>215</v>
      </c>
      <c r="H106" s="0" t="n">
        <v>2.2</v>
      </c>
      <c r="I106" s="0" t="n">
        <v>1</v>
      </c>
      <c r="M106" s="0" t="n">
        <f aca="false">F106/0.263*1000/1013.25/100*EXP(17.67*(D106+E106)/2/((D106+E106)/2+273.16-29.65))</f>
        <v>5.14736363661042</v>
      </c>
      <c r="R106" s="424" t="n">
        <f aca="false">B106</f>
        <v>1950</v>
      </c>
      <c r="S106" s="424" t="n">
        <f aca="false">C106</f>
        <v>105</v>
      </c>
      <c r="T106" s="424" t="n">
        <f aca="false">D106</f>
        <v>2.06</v>
      </c>
      <c r="U106" s="424" t="n">
        <f aca="false">E106</f>
        <v>11.87</v>
      </c>
      <c r="V106" s="0" t="n">
        <f aca="false">MIN(0.263*M106/1000*1013.25*100/EXP(17.67*E106/(E106+273.16-29.65)), 100)</f>
        <v>60.3354190331262</v>
      </c>
      <c r="W106" s="0" t="n">
        <f aca="false">MIN(0.263*M106/1000*1013.25*100/EXP(17.67*D106/(D106+273.16-29.65)), 100)</f>
        <v>100</v>
      </c>
      <c r="X106" s="0" t="n">
        <f aca="false">(198.58*(1/(2/15*ACOS(-TAN(3.1416/180*$L$1)*TAN(3.1416/180*23.45*SIN((2*3.1416/365*(C106+284)))))/3.1416*180))^2+5.0551/(2/15*ACOS(-TAN(3.1416/180*$L$1)*TAN(3.1416/180*23.45*SIN((2*3.1416/365*(C106+284)))))/3.1416*180)+1.49)*G106*2.02</f>
        <v>1299.9401637597</v>
      </c>
      <c r="Y106" s="424" t="n">
        <f aca="false">H106</f>
        <v>2.2</v>
      </c>
      <c r="Z106" s="424" t="n">
        <f aca="false">I106</f>
        <v>1</v>
      </c>
    </row>
    <row r="107" customFormat="false" ht="15.75" hidden="false" customHeight="false" outlineLevel="0" collapsed="false">
      <c r="B107" s="0" t="n">
        <v>1950</v>
      </c>
      <c r="C107" s="424" t="n">
        <v>106</v>
      </c>
      <c r="D107" s="0" t="n">
        <v>1.06</v>
      </c>
      <c r="E107" s="0" t="n">
        <v>13.78</v>
      </c>
      <c r="F107" s="0" t="n">
        <v>81.01</v>
      </c>
      <c r="G107" s="0" t="n">
        <v>251</v>
      </c>
      <c r="H107" s="0" t="n">
        <v>0</v>
      </c>
      <c r="I107" s="0" t="n">
        <v>1</v>
      </c>
      <c r="M107" s="0" t="n">
        <f aca="false">F107/0.263*1000/1013.25/100*EXP(17.67*(D107+E107)/2/((D107+E107)/2+273.16-29.65))</f>
        <v>5.12608685131609</v>
      </c>
      <c r="R107" s="424" t="n">
        <f aca="false">B107</f>
        <v>1950</v>
      </c>
      <c r="S107" s="424" t="n">
        <f aca="false">C107</f>
        <v>106</v>
      </c>
      <c r="T107" s="424" t="n">
        <f aca="false">D107</f>
        <v>1.06</v>
      </c>
      <c r="U107" s="424" t="n">
        <f aca="false">E107</f>
        <v>13.78</v>
      </c>
      <c r="V107" s="0" t="n">
        <f aca="false">MIN(0.263*M107/1000*1013.25*100/EXP(17.67*E107/(E107+273.16-29.65)), 100)</f>
        <v>53.0216524248527</v>
      </c>
      <c r="W107" s="0" t="n">
        <f aca="false">MIN(0.263*M107/1000*1013.25*100/EXP(17.67*D107/(D107+273.16-29.65)), 100)</f>
        <v>100</v>
      </c>
      <c r="X107" s="0" t="n">
        <f aca="false">(198.58*(1/(2/15*ACOS(-TAN(3.1416/180*$L$1)*TAN(3.1416/180*23.45*SIN((2*3.1416/365*(C107+284)))))/3.1416*180))^2+5.0551/(2/15*ACOS(-TAN(3.1416/180*$L$1)*TAN(3.1416/180*23.45*SIN((2*3.1416/365*(C107+284)))))/3.1416*180)+1.49)*G107*2.02</f>
        <v>1512.39945359834</v>
      </c>
      <c r="Y107" s="424" t="n">
        <f aca="false">H107</f>
        <v>0</v>
      </c>
      <c r="Z107" s="424" t="n">
        <f aca="false">I107</f>
        <v>1</v>
      </c>
    </row>
    <row r="108" customFormat="false" ht="15.75" hidden="false" customHeight="false" outlineLevel="0" collapsed="false">
      <c r="B108" s="0" t="n">
        <v>1950</v>
      </c>
      <c r="C108" s="424" t="n">
        <v>107</v>
      </c>
      <c r="D108" s="0" t="n">
        <v>1.0799999</v>
      </c>
      <c r="E108" s="0" t="n">
        <v>14.42</v>
      </c>
      <c r="F108" s="0" t="n">
        <v>81.310005</v>
      </c>
      <c r="G108" s="0" t="n">
        <v>179</v>
      </c>
      <c r="H108" s="0" t="n">
        <v>15.5</v>
      </c>
      <c r="I108" s="0" t="n">
        <v>1</v>
      </c>
      <c r="M108" s="0" t="n">
        <f aca="false">F108/0.263*1000/1013.25/100*EXP(17.67*(D108+E108)/2/((D108+E108)/2+273.16-29.65))</f>
        <v>5.26225807393701</v>
      </c>
      <c r="R108" s="424" t="n">
        <f aca="false">B108</f>
        <v>1950</v>
      </c>
      <c r="S108" s="424" t="n">
        <f aca="false">C108</f>
        <v>107</v>
      </c>
      <c r="T108" s="424" t="n">
        <f aca="false">D108</f>
        <v>1.0799999</v>
      </c>
      <c r="U108" s="424" t="n">
        <f aca="false">E108</f>
        <v>14.42</v>
      </c>
      <c r="V108" s="0" t="n">
        <f aca="false">MIN(0.263*M108/1000*1013.25*100/EXP(17.67*E108/(E108+273.16-29.65)), 100)</f>
        <v>52.2177147080865</v>
      </c>
      <c r="W108" s="0" t="n">
        <f aca="false">MIN(0.263*M108/1000*1013.25*100/EXP(17.67*D108/(D108+273.16-29.65)), 100)</f>
        <v>100</v>
      </c>
      <c r="X108" s="0" t="n">
        <f aca="false">(198.58*(1/(2/15*ACOS(-TAN(3.1416/180*$L$1)*TAN(3.1416/180*23.45*SIN((2*3.1416/365*(C108+284)))))/3.1416*180))^2+5.0551/(2/15*ACOS(-TAN(3.1416/180*$L$1)*TAN(3.1416/180*23.45*SIN((2*3.1416/365*(C108+284)))))/3.1416*180)+1.49)*G108*2.02</f>
        <v>1074.90930845416</v>
      </c>
      <c r="Y108" s="424" t="n">
        <f aca="false">H108</f>
        <v>15.5</v>
      </c>
      <c r="Z108" s="424" t="n">
        <f aca="false">I108</f>
        <v>1</v>
      </c>
    </row>
    <row r="109" customFormat="false" ht="15.75" hidden="false" customHeight="false" outlineLevel="0" collapsed="false">
      <c r="B109" s="0" t="n">
        <v>1950</v>
      </c>
      <c r="C109" s="424" t="n">
        <v>108</v>
      </c>
      <c r="D109" s="0" t="n">
        <v>8.98</v>
      </c>
      <c r="E109" s="0" t="n">
        <v>14.03</v>
      </c>
      <c r="F109" s="0" t="n">
        <v>79.765</v>
      </c>
      <c r="G109" s="0" t="n">
        <v>47</v>
      </c>
      <c r="H109" s="0" t="n">
        <v>5.6</v>
      </c>
      <c r="I109" s="0" t="n">
        <v>1</v>
      </c>
      <c r="M109" s="0" t="n">
        <f aca="false">F109/0.263*1000/1013.25/100*EXP(17.67*(D109+E109)/2/((D109+E109)/2+273.16-29.65))</f>
        <v>6.64280833782976</v>
      </c>
      <c r="R109" s="424" t="n">
        <f aca="false">B109</f>
        <v>1950</v>
      </c>
      <c r="S109" s="424" t="n">
        <f aca="false">C109</f>
        <v>108</v>
      </c>
      <c r="T109" s="424" t="n">
        <f aca="false">D109</f>
        <v>8.98</v>
      </c>
      <c r="U109" s="424" t="n">
        <f aca="false">E109</f>
        <v>14.03</v>
      </c>
      <c r="V109" s="0" t="n">
        <f aca="false">MIN(0.263*M109/1000*1013.25*100/EXP(17.67*E109/(E109+273.16-29.65)), 100)</f>
        <v>67.6034220416825</v>
      </c>
      <c r="W109" s="0" t="n">
        <f aca="false">MIN(0.263*M109/1000*1013.25*100/EXP(17.67*D109/(D109+273.16-29.65)), 100)</f>
        <v>94.4263036800698</v>
      </c>
      <c r="X109" s="0" t="n">
        <f aca="false">(198.58*(1/(2/15*ACOS(-TAN(3.1416/180*$L$1)*TAN(3.1416/180*23.45*SIN((2*3.1416/365*(C109+284)))))/3.1416*180))^2+5.0551/(2/15*ACOS(-TAN(3.1416/180*$L$1)*TAN(3.1416/180*23.45*SIN((2*3.1416/365*(C109+284)))))/3.1416*180)+1.49)*G109*2.02</f>
        <v>281.294239168856</v>
      </c>
      <c r="Y109" s="424" t="n">
        <f aca="false">H109</f>
        <v>5.6</v>
      </c>
      <c r="Z109" s="424" t="n">
        <f aca="false">I109</f>
        <v>1</v>
      </c>
    </row>
    <row r="110" customFormat="false" ht="15.75" hidden="false" customHeight="false" outlineLevel="0" collapsed="false">
      <c r="B110" s="0" t="n">
        <v>1950</v>
      </c>
      <c r="C110" s="424" t="n">
        <v>109</v>
      </c>
      <c r="D110" s="0" t="n">
        <v>6.27</v>
      </c>
      <c r="E110" s="0" t="n">
        <v>13.549999</v>
      </c>
      <c r="F110" s="0" t="n">
        <v>86.275</v>
      </c>
      <c r="G110" s="0" t="n">
        <v>151</v>
      </c>
      <c r="H110" s="0" t="n">
        <v>8.6</v>
      </c>
      <c r="I110" s="0" t="n">
        <v>1</v>
      </c>
      <c r="M110" s="0" t="n">
        <f aca="false">F110/0.263*1000/1013.25/100*EXP(17.67*(D110+E110)/2/((D110+E110)/2+273.16-29.65))</f>
        <v>6.46106406251062</v>
      </c>
      <c r="R110" s="424" t="n">
        <f aca="false">B110</f>
        <v>1950</v>
      </c>
      <c r="S110" s="424" t="n">
        <f aca="false">C110</f>
        <v>109</v>
      </c>
      <c r="T110" s="424" t="n">
        <f aca="false">D110</f>
        <v>6.27</v>
      </c>
      <c r="U110" s="424" t="n">
        <f aca="false">E110</f>
        <v>13.549999</v>
      </c>
      <c r="V110" s="0" t="n">
        <f aca="false">MIN(0.263*M110/1000*1013.25*100/EXP(17.67*E110/(E110+273.16-29.65)), 100)</f>
        <v>67.8374943412906</v>
      </c>
      <c r="W110" s="0" t="n">
        <f aca="false">MIN(0.263*M110/1000*1013.25*100/EXP(17.67*D110/(D110+273.16-29.65)), 100)</f>
        <v>100</v>
      </c>
      <c r="X110" s="0" t="n">
        <f aca="false">(198.58*(1/(2/15*ACOS(-TAN(3.1416/180*$L$1)*TAN(3.1416/180*23.45*SIN((2*3.1416/365*(C110+284)))))/3.1416*180))^2+5.0551/(2/15*ACOS(-TAN(3.1416/180*$L$1)*TAN(3.1416/180*23.45*SIN((2*3.1416/365*(C110+284)))))/3.1416*180)+1.49)*G110*2.02</f>
        <v>900.746064148831</v>
      </c>
      <c r="Y110" s="424" t="n">
        <f aca="false">H110</f>
        <v>8.6</v>
      </c>
      <c r="Z110" s="424" t="n">
        <f aca="false">I110</f>
        <v>1</v>
      </c>
    </row>
    <row r="111" customFormat="false" ht="15.75" hidden="false" customHeight="false" outlineLevel="0" collapsed="false">
      <c r="B111" s="0" t="n">
        <v>1950</v>
      </c>
      <c r="C111" s="424" t="n">
        <v>110</v>
      </c>
      <c r="D111" s="0" t="n">
        <v>3.99</v>
      </c>
      <c r="E111" s="0" t="n">
        <v>15.059999</v>
      </c>
      <c r="F111" s="0" t="n">
        <v>83.565</v>
      </c>
      <c r="G111" s="0" t="n">
        <v>219</v>
      </c>
      <c r="H111" s="0" t="n">
        <v>0</v>
      </c>
      <c r="I111" s="0" t="n">
        <v>1</v>
      </c>
      <c r="M111" s="0" t="n">
        <f aca="false">F111/0.263*1000/1013.25/100*EXP(17.67*(D111+E111)/2/((D111+E111)/2+273.16-29.65))</f>
        <v>6.09851236528009</v>
      </c>
      <c r="R111" s="424" t="n">
        <f aca="false">B111</f>
        <v>1950</v>
      </c>
      <c r="S111" s="424" t="n">
        <f aca="false">C111</f>
        <v>110</v>
      </c>
      <c r="T111" s="424" t="n">
        <f aca="false">D111</f>
        <v>3.99</v>
      </c>
      <c r="U111" s="424" t="n">
        <f aca="false">E111</f>
        <v>15.059999</v>
      </c>
      <c r="V111" s="0" t="n">
        <f aca="false">MIN(0.263*M111/1000*1013.25*100/EXP(17.67*E111/(E111+273.16-29.65)), 100)</f>
        <v>58.068055964473</v>
      </c>
      <c r="W111" s="0" t="n">
        <f aca="false">MIN(0.263*M111/1000*1013.25*100/EXP(17.67*D111/(D111+273.16-29.65)), 100)</f>
        <v>100</v>
      </c>
      <c r="X111" s="0" t="n">
        <f aca="false">(198.58*(1/(2/15*ACOS(-TAN(3.1416/180*$L$1)*TAN(3.1416/180*23.45*SIN((2*3.1416/365*(C111+284)))))/3.1416*180))^2+5.0551/(2/15*ACOS(-TAN(3.1416/180*$L$1)*TAN(3.1416/180*23.45*SIN((2*3.1416/365*(C111+284)))))/3.1416*180)+1.49)*G111*2.02</f>
        <v>1302.11793900553</v>
      </c>
      <c r="Y111" s="424" t="n">
        <f aca="false">H111</f>
        <v>0</v>
      </c>
      <c r="Z111" s="424" t="n">
        <f aca="false">I111</f>
        <v>1</v>
      </c>
    </row>
    <row r="112" customFormat="false" ht="15.75" hidden="false" customHeight="false" outlineLevel="0" collapsed="false">
      <c r="B112" s="0" t="n">
        <v>1950</v>
      </c>
      <c r="C112" s="424" t="n">
        <v>111</v>
      </c>
      <c r="D112" s="0" t="n">
        <v>9.22</v>
      </c>
      <c r="E112" s="0" t="n">
        <v>18.41</v>
      </c>
      <c r="F112" s="0" t="n">
        <v>79</v>
      </c>
      <c r="G112" s="0" t="n">
        <v>210</v>
      </c>
      <c r="H112" s="0" t="n">
        <v>0</v>
      </c>
      <c r="I112" s="0" t="n">
        <v>1</v>
      </c>
      <c r="M112" s="0" t="n">
        <f aca="false">F112/0.263*1000/1013.25/100*EXP(17.67*(D112+E112)/2/((D112+E112)/2+273.16-29.65))</f>
        <v>7.65504354243349</v>
      </c>
      <c r="R112" s="424" t="n">
        <f aca="false">B112</f>
        <v>1950</v>
      </c>
      <c r="S112" s="424" t="n">
        <f aca="false">C112</f>
        <v>111</v>
      </c>
      <c r="T112" s="424" t="n">
        <f aca="false">D112</f>
        <v>9.22</v>
      </c>
      <c r="U112" s="424" t="n">
        <f aca="false">E112</f>
        <v>18.41</v>
      </c>
      <c r="V112" s="0" t="n">
        <f aca="false">MIN(0.263*M112/1000*1013.25*100/EXP(17.67*E112/(E112+273.16-29.65)), 100)</f>
        <v>58.9150404548377</v>
      </c>
      <c r="W112" s="0" t="n">
        <f aca="false">MIN(0.263*M112/1000*1013.25*100/EXP(17.67*D112/(D112+273.16-29.65)), 100)</f>
        <v>100</v>
      </c>
      <c r="X112" s="0" t="n">
        <f aca="false">(198.58*(1/(2/15*ACOS(-TAN(3.1416/180*$L$1)*TAN(3.1416/180*23.45*SIN((2*3.1416/365*(C112+284)))))/3.1416*180))^2+5.0551/(2/15*ACOS(-TAN(3.1416/180*$L$1)*TAN(3.1416/180*23.45*SIN((2*3.1416/365*(C112+284)))))/3.1416*180)+1.49)*G112*2.02</f>
        <v>1244.58539430312</v>
      </c>
      <c r="Y112" s="424" t="n">
        <f aca="false">H112</f>
        <v>0</v>
      </c>
      <c r="Z112" s="424" t="n">
        <f aca="false">I112</f>
        <v>1</v>
      </c>
    </row>
    <row r="113" customFormat="false" ht="15.75" hidden="false" customHeight="false" outlineLevel="0" collapsed="false">
      <c r="B113" s="0" t="n">
        <v>1950</v>
      </c>
      <c r="C113" s="424" t="n">
        <v>112</v>
      </c>
      <c r="D113" s="0" t="n">
        <v>6.15</v>
      </c>
      <c r="E113" s="0" t="n">
        <v>17.949999</v>
      </c>
      <c r="F113" s="0" t="n">
        <v>74.305</v>
      </c>
      <c r="G113" s="0" t="n">
        <v>224</v>
      </c>
      <c r="H113" s="0" t="n">
        <v>0</v>
      </c>
      <c r="I113" s="0" t="n">
        <v>1</v>
      </c>
      <c r="M113" s="0" t="n">
        <f aca="false">F113/0.263*1000/1013.25/100*EXP(17.67*(D113+E113)/2/((D113+E113)/2+273.16-29.65))</f>
        <v>6.41481852683115</v>
      </c>
      <c r="R113" s="424" t="n">
        <f aca="false">B113</f>
        <v>1950</v>
      </c>
      <c r="S113" s="424" t="n">
        <f aca="false">C113</f>
        <v>112</v>
      </c>
      <c r="T113" s="424" t="n">
        <f aca="false">D113</f>
        <v>6.15</v>
      </c>
      <c r="U113" s="424" t="n">
        <f aca="false">E113</f>
        <v>17.949999</v>
      </c>
      <c r="V113" s="0" t="n">
        <f aca="false">MIN(0.263*M113/1000*1013.25*100/EXP(17.67*E113/(E113+273.16-29.65)), 100)</f>
        <v>50.8177189342511</v>
      </c>
      <c r="W113" s="0" t="n">
        <f aca="false">MIN(0.263*M113/1000*1013.25*100/EXP(17.67*D113/(D113+273.16-29.65)), 100)</f>
        <v>100</v>
      </c>
      <c r="X113" s="0" t="n">
        <f aca="false">(198.58*(1/(2/15*ACOS(-TAN(3.1416/180*$L$1)*TAN(3.1416/180*23.45*SIN((2*3.1416/365*(C113+284)))))/3.1416*180))^2+5.0551/(2/15*ACOS(-TAN(3.1416/180*$L$1)*TAN(3.1416/180*23.45*SIN((2*3.1416/365*(C113+284)))))/3.1416*180)+1.49)*G113*2.02</f>
        <v>1323.33903418803</v>
      </c>
      <c r="Y113" s="424" t="n">
        <f aca="false">H113</f>
        <v>0</v>
      </c>
      <c r="Z113" s="424" t="n">
        <f aca="false">I113</f>
        <v>1</v>
      </c>
    </row>
    <row r="114" customFormat="false" ht="15.75" hidden="false" customHeight="false" outlineLevel="0" collapsed="false">
      <c r="B114" s="0" t="n">
        <v>1950</v>
      </c>
      <c r="C114" s="424" t="n">
        <v>113</v>
      </c>
      <c r="D114" s="0" t="n">
        <v>8.08</v>
      </c>
      <c r="E114" s="0" t="n">
        <v>13.309999</v>
      </c>
      <c r="F114" s="0" t="n">
        <v>88.03</v>
      </c>
      <c r="G114" s="0" t="n">
        <v>102</v>
      </c>
      <c r="H114" s="0" t="n">
        <v>1.9</v>
      </c>
      <c r="I114" s="0" t="n">
        <v>1</v>
      </c>
      <c r="M114" s="0" t="n">
        <f aca="false">F114/0.263*1000/1013.25/100*EXP(17.67*(D114+E114)/2/((D114+E114)/2+273.16-29.65))</f>
        <v>6.94737583510987</v>
      </c>
      <c r="R114" s="424" t="n">
        <f aca="false">B114</f>
        <v>1950</v>
      </c>
      <c r="S114" s="424" t="n">
        <f aca="false">C114</f>
        <v>113</v>
      </c>
      <c r="T114" s="424" t="n">
        <f aca="false">D114</f>
        <v>8.08</v>
      </c>
      <c r="U114" s="424" t="n">
        <f aca="false">E114</f>
        <v>13.309999</v>
      </c>
      <c r="V114" s="0" t="n">
        <f aca="false">MIN(0.263*M114/1000*1013.25*100/EXP(17.67*E114/(E114+273.16-29.65)), 100)</f>
        <v>74.0934674476789</v>
      </c>
      <c r="W114" s="0" t="n">
        <f aca="false">MIN(0.263*M114/1000*1013.25*100/EXP(17.67*D114/(D114+273.16-29.65)), 100)</f>
        <v>100</v>
      </c>
      <c r="X114" s="0" t="n">
        <f aca="false">(198.58*(1/(2/15*ACOS(-TAN(3.1416/180*$L$1)*TAN(3.1416/180*23.45*SIN((2*3.1416/365*(C114+284)))))/3.1416*180))^2+5.0551/(2/15*ACOS(-TAN(3.1416/180*$L$1)*TAN(3.1416/180*23.45*SIN((2*3.1416/365*(C114+284)))))/3.1416*180)+1.49)*G114*2.02</f>
        <v>600.702674387633</v>
      </c>
      <c r="Y114" s="424" t="n">
        <f aca="false">H114</f>
        <v>1.9</v>
      </c>
      <c r="Z114" s="424" t="n">
        <f aca="false">I114</f>
        <v>1</v>
      </c>
    </row>
    <row r="115" customFormat="false" ht="15.75" hidden="false" customHeight="false" outlineLevel="0" collapsed="false">
      <c r="B115" s="0" t="n">
        <v>1950</v>
      </c>
      <c r="C115" s="424" t="n">
        <v>114</v>
      </c>
      <c r="D115" s="0" t="n">
        <v>7.49</v>
      </c>
      <c r="E115" s="0" t="n">
        <v>11.389999</v>
      </c>
      <c r="F115" s="0" t="n">
        <v>78.215004</v>
      </c>
      <c r="G115" s="0" t="n">
        <v>92</v>
      </c>
      <c r="H115" s="0" t="n">
        <v>3</v>
      </c>
      <c r="I115" s="0" t="n">
        <v>1</v>
      </c>
      <c r="M115" s="0" t="n">
        <f aca="false">F115/0.263*1000/1013.25/100*EXP(17.67*(D115+E115)/2/((D115+E115)/2+273.16-29.65))</f>
        <v>5.6755494064139</v>
      </c>
      <c r="R115" s="424" t="n">
        <f aca="false">B115</f>
        <v>1950</v>
      </c>
      <c r="S115" s="424" t="n">
        <f aca="false">C115</f>
        <v>114</v>
      </c>
      <c r="T115" s="424" t="n">
        <f aca="false">D115</f>
        <v>7.49</v>
      </c>
      <c r="U115" s="424" t="n">
        <f aca="false">E115</f>
        <v>11.389999</v>
      </c>
      <c r="V115" s="0" t="n">
        <f aca="false">MIN(0.263*M115/1000*1013.25*100/EXP(17.67*E115/(E115+273.16-29.65)), 100)</f>
        <v>68.6711883126669</v>
      </c>
      <c r="W115" s="0" t="n">
        <f aca="false">MIN(0.263*M115/1000*1013.25*100/EXP(17.67*D115/(D115+273.16-29.65)), 100)</f>
        <v>89.265514041522</v>
      </c>
      <c r="X115" s="0" t="n">
        <f aca="false">(198.58*(1/(2/15*ACOS(-TAN(3.1416/180*$L$1)*TAN(3.1416/180*23.45*SIN((2*3.1416/365*(C115+284)))))/3.1416*180))^2+5.0551/(2/15*ACOS(-TAN(3.1416/180*$L$1)*TAN(3.1416/180*23.45*SIN((2*3.1416/365*(C115+284)))))/3.1416*180)+1.49)*G115*2.02</f>
        <v>540.13484149419</v>
      </c>
      <c r="Y115" s="424" t="n">
        <f aca="false">H115</f>
        <v>3</v>
      </c>
      <c r="Z115" s="424" t="n">
        <f aca="false">I115</f>
        <v>1</v>
      </c>
    </row>
    <row r="116" customFormat="false" ht="15.75" hidden="false" customHeight="false" outlineLevel="0" collapsed="false">
      <c r="B116" s="0" t="n">
        <v>1950</v>
      </c>
      <c r="C116" s="424" t="n">
        <v>115</v>
      </c>
      <c r="D116" s="0" t="n">
        <v>4.93</v>
      </c>
      <c r="E116" s="0" t="n">
        <v>11.33</v>
      </c>
      <c r="F116" s="0" t="n">
        <v>79.78</v>
      </c>
      <c r="G116" s="0" t="n">
        <v>223</v>
      </c>
      <c r="H116" s="0" t="n">
        <v>2.7</v>
      </c>
      <c r="I116" s="0" t="n">
        <v>1</v>
      </c>
      <c r="M116" s="0" t="n">
        <f aca="false">F116/0.263*1000/1013.25/100*EXP(17.67*(D116+E116)/2/((D116+E116)/2+273.16-29.65))</f>
        <v>5.29850298834742</v>
      </c>
      <c r="R116" s="424" t="n">
        <f aca="false">B116</f>
        <v>1950</v>
      </c>
      <c r="S116" s="424" t="n">
        <f aca="false">C116</f>
        <v>115</v>
      </c>
      <c r="T116" s="424" t="n">
        <f aca="false">D116</f>
        <v>4.93</v>
      </c>
      <c r="U116" s="424" t="n">
        <f aca="false">E116</f>
        <v>11.33</v>
      </c>
      <c r="V116" s="0" t="n">
        <f aca="false">MIN(0.263*M116/1000*1013.25*100/EXP(17.67*E116/(E116+273.16-29.65)), 100)</f>
        <v>64.3644187070422</v>
      </c>
      <c r="W116" s="0" t="n">
        <f aca="false">MIN(0.263*M116/1000*1013.25*100/EXP(17.67*D116/(D116+273.16-29.65)), 100)</f>
        <v>99.4361624922722</v>
      </c>
      <c r="X116" s="0" t="n">
        <f aca="false">(198.58*(1/(2/15*ACOS(-TAN(3.1416/180*$L$1)*TAN(3.1416/180*23.45*SIN((2*3.1416/365*(C116+284)))))/3.1416*180))^2+5.0551/(2/15*ACOS(-TAN(3.1416/180*$L$1)*TAN(3.1416/180*23.45*SIN((2*3.1416/365*(C116+284)))))/3.1416*180)+1.49)*G116*2.02</f>
        <v>1305.24782530374</v>
      </c>
      <c r="Y116" s="424" t="n">
        <f aca="false">H116</f>
        <v>2.7</v>
      </c>
      <c r="Z116" s="424" t="n">
        <f aca="false">I116</f>
        <v>1</v>
      </c>
    </row>
    <row r="117" customFormat="false" ht="15.75" hidden="false" customHeight="false" outlineLevel="0" collapsed="false">
      <c r="B117" s="0" t="n">
        <v>1950</v>
      </c>
      <c r="C117" s="424" t="n">
        <v>116</v>
      </c>
      <c r="D117" s="0" t="n">
        <v>5.71</v>
      </c>
      <c r="E117" s="0" t="n">
        <v>12.13</v>
      </c>
      <c r="F117" s="0" t="n">
        <v>75.665</v>
      </c>
      <c r="G117" s="0" t="n">
        <v>155</v>
      </c>
      <c r="H117" s="0" t="n">
        <v>3.6000001</v>
      </c>
      <c r="I117" s="0" t="n">
        <v>1</v>
      </c>
      <c r="M117" s="0" t="n">
        <f aca="false">F117/0.263*1000/1013.25/100*EXP(17.67*(D117+E117)/2/((D117+E117)/2+273.16-29.65))</f>
        <v>5.30144933588679</v>
      </c>
      <c r="R117" s="424" t="n">
        <f aca="false">B117</f>
        <v>1950</v>
      </c>
      <c r="S117" s="424" t="n">
        <f aca="false">C117</f>
        <v>116</v>
      </c>
      <c r="T117" s="424" t="n">
        <f aca="false">D117</f>
        <v>5.71</v>
      </c>
      <c r="U117" s="424" t="n">
        <f aca="false">E117</f>
        <v>12.13</v>
      </c>
      <c r="V117" s="0" t="n">
        <f aca="false">MIN(0.263*M117/1000*1013.25*100/EXP(17.67*E117/(E117+273.16-29.65)), 100)</f>
        <v>61.0857628260212</v>
      </c>
      <c r="W117" s="0" t="n">
        <f aca="false">MIN(0.263*M117/1000*1013.25*100/EXP(17.67*D117/(D117+273.16-29.65)), 100)</f>
        <v>94.2420289444584</v>
      </c>
      <c r="X117" s="0" t="n">
        <f aca="false">(198.58*(1/(2/15*ACOS(-TAN(3.1416/180*$L$1)*TAN(3.1416/180*23.45*SIN((2*3.1416/365*(C117+284)))))/3.1416*180))^2+5.0551/(2/15*ACOS(-TAN(3.1416/180*$L$1)*TAN(3.1416/180*23.45*SIN((2*3.1416/365*(C117+284)))))/3.1416*180)+1.49)*G117*2.02</f>
        <v>904.50806373718</v>
      </c>
      <c r="Y117" s="424" t="n">
        <f aca="false">H117</f>
        <v>3.6000001</v>
      </c>
      <c r="Z117" s="424" t="n">
        <f aca="false">I117</f>
        <v>1</v>
      </c>
    </row>
    <row r="118" customFormat="false" ht="15.75" hidden="false" customHeight="false" outlineLevel="0" collapsed="false">
      <c r="B118" s="0" t="n">
        <v>1950</v>
      </c>
      <c r="C118" s="424" t="n">
        <v>117</v>
      </c>
      <c r="D118" s="0" t="n">
        <v>5.23</v>
      </c>
      <c r="E118" s="0" t="n">
        <v>14.509999</v>
      </c>
      <c r="F118" s="0" t="n">
        <v>75.765</v>
      </c>
      <c r="G118" s="0" t="n">
        <v>192</v>
      </c>
      <c r="H118" s="0" t="n">
        <v>0</v>
      </c>
      <c r="I118" s="0" t="n">
        <v>1</v>
      </c>
      <c r="M118" s="0" t="n">
        <f aca="false">F118/0.263*1000/1013.25/100*EXP(17.67*(D118+E118)/2/((D118+E118)/2+273.16-29.65))</f>
        <v>5.65879058720875</v>
      </c>
      <c r="R118" s="424" t="n">
        <f aca="false">B118</f>
        <v>1950</v>
      </c>
      <c r="S118" s="424" t="n">
        <f aca="false">C118</f>
        <v>117</v>
      </c>
      <c r="T118" s="424" t="n">
        <f aca="false">D118</f>
        <v>5.23</v>
      </c>
      <c r="U118" s="424" t="n">
        <f aca="false">E118</f>
        <v>14.509999</v>
      </c>
      <c r="V118" s="0" t="n">
        <f aca="false">MIN(0.263*M118/1000*1013.25*100/EXP(17.67*E118/(E118+273.16-29.65)), 100)</f>
        <v>55.8267381904343</v>
      </c>
      <c r="W118" s="0" t="n">
        <f aca="false">MIN(0.263*M118/1000*1013.25*100/EXP(17.67*D118/(D118+273.16-29.65)), 100)</f>
        <v>100</v>
      </c>
      <c r="X118" s="0" t="n">
        <f aca="false">(198.58*(1/(2/15*ACOS(-TAN(3.1416/180*$L$1)*TAN(3.1416/180*23.45*SIN((2*3.1416/365*(C118+284)))))/3.1416*180))^2+5.0551/(2/15*ACOS(-TAN(3.1416/180*$L$1)*TAN(3.1416/180*23.45*SIN((2*3.1416/365*(C118+284)))))/3.1416*180)+1.49)*G118*2.02</f>
        <v>1117.10394919717</v>
      </c>
      <c r="Y118" s="424" t="n">
        <f aca="false">H118</f>
        <v>0</v>
      </c>
      <c r="Z118" s="424" t="n">
        <f aca="false">I118</f>
        <v>1</v>
      </c>
    </row>
    <row r="119" customFormat="false" ht="15.75" hidden="false" customHeight="false" outlineLevel="0" collapsed="false">
      <c r="B119" s="0" t="n">
        <v>1950</v>
      </c>
      <c r="C119" s="424" t="n">
        <v>118</v>
      </c>
      <c r="D119" s="0" t="n">
        <v>3.07</v>
      </c>
      <c r="E119" s="0" t="n">
        <v>15.349999</v>
      </c>
      <c r="F119" s="0" t="n">
        <v>76.065</v>
      </c>
      <c r="G119" s="0" t="n">
        <v>172</v>
      </c>
      <c r="H119" s="0" t="n">
        <v>0</v>
      </c>
      <c r="I119" s="0" t="n">
        <v>1</v>
      </c>
      <c r="M119" s="0" t="n">
        <f aca="false">F119/0.263*1000/1013.25/100*EXP(17.67*(D119+E119)/2/((D119+E119)/2+273.16-29.65))</f>
        <v>5.4347462493222</v>
      </c>
      <c r="R119" s="424" t="n">
        <f aca="false">B119</f>
        <v>1950</v>
      </c>
      <c r="S119" s="424" t="n">
        <f aca="false">C119</f>
        <v>118</v>
      </c>
      <c r="T119" s="424" t="n">
        <f aca="false">D119</f>
        <v>3.07</v>
      </c>
      <c r="U119" s="424" t="n">
        <f aca="false">E119</f>
        <v>15.349999</v>
      </c>
      <c r="V119" s="0" t="n">
        <f aca="false">MIN(0.263*M119/1000*1013.25*100/EXP(17.67*E119/(E119+273.16-29.65)), 100)</f>
        <v>50.7921080394581</v>
      </c>
      <c r="W119" s="0" t="n">
        <f aca="false">MIN(0.263*M119/1000*1013.25*100/EXP(17.67*D119/(D119+273.16-29.65)), 100)</f>
        <v>100</v>
      </c>
      <c r="X119" s="0" t="n">
        <f aca="false">(198.58*(1/(2/15*ACOS(-TAN(3.1416/180*$L$1)*TAN(3.1416/180*23.45*SIN((2*3.1416/365*(C119+284)))))/3.1416*180))^2+5.0551/(2/15*ACOS(-TAN(3.1416/180*$L$1)*TAN(3.1416/180*23.45*SIN((2*3.1416/365*(C119+284)))))/3.1416*180)+1.49)*G119*2.02</f>
        <v>997.818408539752</v>
      </c>
      <c r="Y119" s="424" t="n">
        <f aca="false">H119</f>
        <v>0</v>
      </c>
      <c r="Z119" s="424" t="n">
        <f aca="false">I119</f>
        <v>1</v>
      </c>
    </row>
    <row r="120" customFormat="false" ht="15.75" hidden="false" customHeight="false" outlineLevel="0" collapsed="false">
      <c r="B120" s="0" t="n">
        <v>1950</v>
      </c>
      <c r="C120" s="424" t="n">
        <v>119</v>
      </c>
      <c r="D120" s="0" t="n">
        <v>2.75</v>
      </c>
      <c r="E120" s="0" t="n">
        <v>20.539999</v>
      </c>
      <c r="F120" s="0" t="n">
        <v>69.755005</v>
      </c>
      <c r="G120" s="0" t="n">
        <v>176</v>
      </c>
      <c r="H120" s="0" t="n">
        <v>0</v>
      </c>
      <c r="I120" s="0" t="n">
        <v>1</v>
      </c>
      <c r="M120" s="0" t="n">
        <f aca="false">F120/0.263*1000/1013.25/100*EXP(17.67*(D120+E120)/2/((D120+E120)/2+273.16-29.65))</f>
        <v>5.86320877785907</v>
      </c>
      <c r="R120" s="424" t="n">
        <f aca="false">B120</f>
        <v>1950</v>
      </c>
      <c r="S120" s="424" t="n">
        <f aca="false">C120</f>
        <v>119</v>
      </c>
      <c r="T120" s="424" t="n">
        <f aca="false">D120</f>
        <v>2.75</v>
      </c>
      <c r="U120" s="424" t="n">
        <f aca="false">E120</f>
        <v>20.539999</v>
      </c>
      <c r="V120" s="0" t="n">
        <f aca="false">MIN(0.263*M120/1000*1013.25*100/EXP(17.67*E120/(E120+273.16-29.65)), 100)</f>
        <v>39.5240676645607</v>
      </c>
      <c r="W120" s="0" t="n">
        <f aca="false">MIN(0.263*M120/1000*1013.25*100/EXP(17.67*D120/(D120+273.16-29.65)), 100)</f>
        <v>100</v>
      </c>
      <c r="X120" s="0" t="n">
        <f aca="false">(198.58*(1/(2/15*ACOS(-TAN(3.1416/180*$L$1)*TAN(3.1416/180*23.45*SIN((2*3.1416/365*(C120+284)))))/3.1416*180))^2+5.0551/(2/15*ACOS(-TAN(3.1416/180*$L$1)*TAN(3.1416/180*23.45*SIN((2*3.1416/365*(C120+284)))))/3.1416*180)+1.49)*G120*2.02</f>
        <v>1018.08876580115</v>
      </c>
      <c r="Y120" s="424" t="n">
        <f aca="false">H120</f>
        <v>0</v>
      </c>
      <c r="Z120" s="424" t="n">
        <f aca="false">I120</f>
        <v>1</v>
      </c>
    </row>
    <row r="121" customFormat="false" ht="15.75" hidden="false" customHeight="false" outlineLevel="0" collapsed="false">
      <c r="B121" s="0" t="n">
        <v>1950</v>
      </c>
      <c r="C121" s="424" t="n">
        <v>120</v>
      </c>
      <c r="D121" s="0" t="n">
        <v>5.33</v>
      </c>
      <c r="E121" s="0" t="n">
        <v>25.49</v>
      </c>
      <c r="F121" s="0" t="n">
        <v>61.61</v>
      </c>
      <c r="G121" s="0" t="n">
        <v>314</v>
      </c>
      <c r="H121" s="0" t="n">
        <v>0</v>
      </c>
      <c r="I121" s="0" t="n">
        <v>1</v>
      </c>
      <c r="M121" s="0" t="n">
        <f aca="false">F121/0.263*1000/1013.25/100*EXP(17.67*(D121+E121)/2/((D121+E121)/2+273.16-29.65))</f>
        <v>6.617700764582</v>
      </c>
      <c r="R121" s="424" t="n">
        <f aca="false">B121</f>
        <v>1950</v>
      </c>
      <c r="S121" s="424" t="n">
        <f aca="false">C121</f>
        <v>120</v>
      </c>
      <c r="T121" s="424" t="n">
        <f aca="false">D121</f>
        <v>5.33</v>
      </c>
      <c r="U121" s="424" t="n">
        <f aca="false">E121</f>
        <v>25.49</v>
      </c>
      <c r="V121" s="0" t="n">
        <f aca="false">MIN(0.263*M121/1000*1013.25*100/EXP(17.67*E121/(E121+273.16-29.65)), 100)</f>
        <v>33.0525798219592</v>
      </c>
      <c r="W121" s="0" t="n">
        <f aca="false">MIN(0.263*M121/1000*1013.25*100/EXP(17.67*D121/(D121+273.16-29.65)), 100)</f>
        <v>100</v>
      </c>
      <c r="X121" s="0" t="n">
        <f aca="false">(198.58*(1/(2/15*ACOS(-TAN(3.1416/180*$L$1)*TAN(3.1416/180*23.45*SIN((2*3.1416/365*(C121+284)))))/3.1416*180))^2+5.0551/(2/15*ACOS(-TAN(3.1416/180*$L$1)*TAN(3.1416/180*23.45*SIN((2*3.1416/365*(C121+284)))))/3.1416*180)+1.49)*G121*2.02</f>
        <v>1811.22273466609</v>
      </c>
      <c r="Y121" s="424" t="n">
        <f aca="false">H121</f>
        <v>0</v>
      </c>
      <c r="Z121" s="424" t="n">
        <f aca="false">I121</f>
        <v>1</v>
      </c>
    </row>
    <row r="122" customFormat="false" ht="15.75" hidden="false" customHeight="false" outlineLevel="0" collapsed="false">
      <c r="B122" s="0" t="n">
        <v>1950</v>
      </c>
      <c r="C122" s="424" t="n">
        <v>121</v>
      </c>
      <c r="D122" s="0" t="n">
        <v>9.91</v>
      </c>
      <c r="E122" s="0" t="n">
        <v>21.77</v>
      </c>
      <c r="F122" s="0" t="n">
        <v>79.085</v>
      </c>
      <c r="G122" s="0" t="n">
        <v>285</v>
      </c>
      <c r="H122" s="0" t="n">
        <v>0</v>
      </c>
      <c r="I122" s="0" t="n">
        <v>1</v>
      </c>
      <c r="M122" s="0" t="n">
        <f aca="false">F122/0.263*1000/1013.25/100*EXP(17.67*(D122+E122)/2/((D122+E122)/2+273.16-29.65))</f>
        <v>8.73204933791758</v>
      </c>
      <c r="R122" s="424" t="n">
        <f aca="false">B122</f>
        <v>1950</v>
      </c>
      <c r="S122" s="424" t="n">
        <f aca="false">C122</f>
        <v>121</v>
      </c>
      <c r="T122" s="424" t="n">
        <f aca="false">D122</f>
        <v>9.91</v>
      </c>
      <c r="U122" s="424" t="n">
        <f aca="false">E122</f>
        <v>21.77</v>
      </c>
      <c r="V122" s="0" t="n">
        <f aca="false">MIN(0.263*M122/1000*1013.25*100/EXP(17.67*E122/(E122+273.16-29.65)), 100)</f>
        <v>54.5794260542365</v>
      </c>
      <c r="W122" s="0" t="n">
        <f aca="false">MIN(0.263*M122/1000*1013.25*100/EXP(17.67*D122/(D122+273.16-29.65)), 100)</f>
        <v>100</v>
      </c>
      <c r="X122" s="0" t="n">
        <f aca="false">(198.58*(1/(2/15*ACOS(-TAN(3.1416/180*$L$1)*TAN(3.1416/180*23.45*SIN((2*3.1416/365*(C122+284)))))/3.1416*180))^2+5.0551/(2/15*ACOS(-TAN(3.1416/180*$L$1)*TAN(3.1416/180*23.45*SIN((2*3.1416/365*(C122+284)))))/3.1416*180)+1.49)*G122*2.02</f>
        <v>1639.36535318631</v>
      </c>
      <c r="Y122" s="424" t="n">
        <f aca="false">H122</f>
        <v>0</v>
      </c>
      <c r="Z122" s="424" t="n">
        <f aca="false">I122</f>
        <v>1</v>
      </c>
    </row>
    <row r="123" customFormat="false" ht="15.75" hidden="false" customHeight="false" outlineLevel="0" collapsed="false">
      <c r="B123" s="0" t="n">
        <v>1950</v>
      </c>
      <c r="C123" s="424" t="n">
        <v>122</v>
      </c>
      <c r="D123" s="0" t="n">
        <v>9.23</v>
      </c>
      <c r="E123" s="0" t="n">
        <v>19.34</v>
      </c>
      <c r="F123" s="0" t="n">
        <v>79.85</v>
      </c>
      <c r="G123" s="0" t="n">
        <v>198</v>
      </c>
      <c r="H123" s="0" t="n">
        <v>0</v>
      </c>
      <c r="I123" s="0" t="n">
        <v>1</v>
      </c>
      <c r="M123" s="0" t="n">
        <f aca="false">F123/0.263*1000/1013.25/100*EXP(17.67*(D123+E123)/2/((D123+E123)/2+273.16-29.65))</f>
        <v>7.97691973383799</v>
      </c>
      <c r="R123" s="424" t="n">
        <f aca="false">B123</f>
        <v>1950</v>
      </c>
      <c r="S123" s="424" t="n">
        <f aca="false">C123</f>
        <v>122</v>
      </c>
      <c r="T123" s="424" t="n">
        <f aca="false">D123</f>
        <v>9.23</v>
      </c>
      <c r="U123" s="424" t="n">
        <f aca="false">E123</f>
        <v>19.34</v>
      </c>
      <c r="V123" s="0" t="n">
        <f aca="false">MIN(0.263*M123/1000*1013.25*100/EXP(17.67*E123/(E123+273.16-29.65)), 100)</f>
        <v>57.9256028906637</v>
      </c>
      <c r="W123" s="0" t="n">
        <f aca="false">MIN(0.263*M123/1000*1013.25*100/EXP(17.67*D123/(D123+273.16-29.65)), 100)</f>
        <v>100</v>
      </c>
      <c r="X123" s="0" t="n">
        <f aca="false">(198.58*(1/(2/15*ACOS(-TAN(3.1416/180*$L$1)*TAN(3.1416/180*23.45*SIN((2*3.1416/365*(C123+284)))))/3.1416*180))^2+5.0551/(2/15*ACOS(-TAN(3.1416/180*$L$1)*TAN(3.1416/180*23.45*SIN((2*3.1416/365*(C123+284)))))/3.1416*180)+1.49)*G123*2.02</f>
        <v>1135.80645252052</v>
      </c>
      <c r="Y123" s="424" t="n">
        <f aca="false">H123</f>
        <v>0</v>
      </c>
      <c r="Z123" s="424" t="n">
        <f aca="false">I123</f>
        <v>1</v>
      </c>
    </row>
    <row r="124" customFormat="false" ht="15.75" hidden="false" customHeight="false" outlineLevel="0" collapsed="false">
      <c r="B124" s="0" t="n">
        <v>1950</v>
      </c>
      <c r="C124" s="424" t="n">
        <v>123</v>
      </c>
      <c r="D124" s="0" t="n">
        <v>4.47</v>
      </c>
      <c r="E124" s="0" t="n">
        <v>17.73</v>
      </c>
      <c r="F124" s="0" t="n">
        <v>75.845</v>
      </c>
      <c r="G124" s="0" t="n">
        <v>233</v>
      </c>
      <c r="H124" s="0" t="n">
        <v>0</v>
      </c>
      <c r="I124" s="0" t="n">
        <v>1</v>
      </c>
      <c r="M124" s="0" t="n">
        <f aca="false">F124/0.263*1000/1013.25/100*EXP(17.67*(D124+E124)/2/((D124+E124)/2+273.16-29.65))</f>
        <v>6.14908158980293</v>
      </c>
      <c r="R124" s="424" t="n">
        <f aca="false">B124</f>
        <v>1950</v>
      </c>
      <c r="S124" s="424" t="n">
        <f aca="false">C124</f>
        <v>123</v>
      </c>
      <c r="T124" s="424" t="n">
        <f aca="false">D124</f>
        <v>4.47</v>
      </c>
      <c r="U124" s="424" t="n">
        <f aca="false">E124</f>
        <v>17.73</v>
      </c>
      <c r="V124" s="0" t="n">
        <f aca="false">MIN(0.263*M124/1000*1013.25*100/EXP(17.67*E124/(E124+273.16-29.65)), 100)</f>
        <v>49.3923735275171</v>
      </c>
      <c r="W124" s="0" t="n">
        <f aca="false">MIN(0.263*M124/1000*1013.25*100/EXP(17.67*D124/(D124+273.16-29.65)), 100)</f>
        <v>100</v>
      </c>
      <c r="X124" s="0" t="n">
        <f aca="false">(198.58*(1/(2/15*ACOS(-TAN(3.1416/180*$L$1)*TAN(3.1416/180*23.45*SIN((2*3.1416/365*(C124+284)))))/3.1416*180))^2+5.0551/(2/15*ACOS(-TAN(3.1416/180*$L$1)*TAN(3.1416/180*23.45*SIN((2*3.1416/365*(C124+284)))))/3.1416*180)+1.49)*G124*2.02</f>
        <v>1332.97808696093</v>
      </c>
      <c r="Y124" s="424" t="n">
        <f aca="false">H124</f>
        <v>0</v>
      </c>
      <c r="Z124" s="424" t="n">
        <f aca="false">I124</f>
        <v>1</v>
      </c>
    </row>
    <row r="125" customFormat="false" ht="15.75" hidden="false" customHeight="false" outlineLevel="0" collapsed="false">
      <c r="B125" s="0" t="n">
        <v>1950</v>
      </c>
      <c r="C125" s="424" t="n">
        <v>124</v>
      </c>
      <c r="D125" s="0" t="n">
        <v>5.58</v>
      </c>
      <c r="E125" s="0" t="n">
        <v>18.16</v>
      </c>
      <c r="F125" s="0" t="n">
        <v>65.845</v>
      </c>
      <c r="G125" s="0" t="n">
        <v>318</v>
      </c>
      <c r="H125" s="0" t="n">
        <v>0</v>
      </c>
      <c r="I125" s="0" t="n">
        <v>1</v>
      </c>
      <c r="M125" s="0" t="n">
        <f aca="false">F125/0.263*1000/1013.25/100*EXP(17.67*(D125+E125)/2/((D125+E125)/2+273.16-29.65))</f>
        <v>5.61739959850996</v>
      </c>
      <c r="R125" s="424" t="n">
        <f aca="false">B125</f>
        <v>1950</v>
      </c>
      <c r="S125" s="424" t="n">
        <f aca="false">C125</f>
        <v>124</v>
      </c>
      <c r="T125" s="424" t="n">
        <f aca="false">D125</f>
        <v>5.58</v>
      </c>
      <c r="U125" s="424" t="n">
        <f aca="false">E125</f>
        <v>18.16</v>
      </c>
      <c r="V125" s="0" t="n">
        <f aca="false">MIN(0.263*M125/1000*1013.25*100/EXP(17.67*E125/(E125+273.16-29.65)), 100)</f>
        <v>43.9167541072089</v>
      </c>
      <c r="W125" s="0" t="n">
        <f aca="false">MIN(0.263*M125/1000*1013.25*100/EXP(17.67*D125/(D125+273.16-29.65)), 100)</f>
        <v>100</v>
      </c>
      <c r="X125" s="0" t="n">
        <f aca="false">(198.58*(1/(2/15*ACOS(-TAN(3.1416/180*$L$1)*TAN(3.1416/180*23.45*SIN((2*3.1416/365*(C125+284)))))/3.1416*180))^2+5.0551/(2/15*ACOS(-TAN(3.1416/180*$L$1)*TAN(3.1416/180*23.45*SIN((2*3.1416/365*(C125+284)))))/3.1416*180)+1.49)*G125*2.02</f>
        <v>1814.4373975853</v>
      </c>
      <c r="Y125" s="424" t="n">
        <f aca="false">H125</f>
        <v>0</v>
      </c>
      <c r="Z125" s="424" t="n">
        <f aca="false">I125</f>
        <v>1</v>
      </c>
    </row>
    <row r="126" customFormat="false" ht="15.75" hidden="false" customHeight="false" outlineLevel="0" collapsed="false">
      <c r="B126" s="0" t="n">
        <v>1950</v>
      </c>
      <c r="C126" s="424" t="n">
        <v>125</v>
      </c>
      <c r="D126" s="0" t="n">
        <v>6.58</v>
      </c>
      <c r="E126" s="0" t="n">
        <v>19.96</v>
      </c>
      <c r="F126" s="0" t="n">
        <v>59.48</v>
      </c>
      <c r="G126" s="0" t="n">
        <v>315</v>
      </c>
      <c r="H126" s="0" t="n">
        <v>0</v>
      </c>
      <c r="I126" s="0" t="n">
        <v>1</v>
      </c>
      <c r="M126" s="0" t="n">
        <f aca="false">F126/0.263*1000/1013.25/100*EXP(17.67*(D126+E126)/2/((D126+E126)/2+273.16-29.65))</f>
        <v>5.56260726546724</v>
      </c>
      <c r="R126" s="424" t="n">
        <f aca="false">B126</f>
        <v>1950</v>
      </c>
      <c r="S126" s="424" t="n">
        <f aca="false">C126</f>
        <v>125</v>
      </c>
      <c r="T126" s="424" t="n">
        <f aca="false">D126</f>
        <v>6.58</v>
      </c>
      <c r="U126" s="424" t="n">
        <f aca="false">E126</f>
        <v>19.96</v>
      </c>
      <c r="V126" s="0" t="n">
        <f aca="false">MIN(0.263*M126/1000*1013.25*100/EXP(17.67*E126/(E126+273.16-29.65)), 100)</f>
        <v>38.8672631279158</v>
      </c>
      <c r="W126" s="0" t="n">
        <f aca="false">MIN(0.263*M126/1000*1013.25*100/EXP(17.67*D126/(D126+273.16-29.65)), 100)</f>
        <v>93.1202643908562</v>
      </c>
      <c r="X126" s="0" t="n">
        <f aca="false">(198.58*(1/(2/15*ACOS(-TAN(3.1416/180*$L$1)*TAN(3.1416/180*23.45*SIN((2*3.1416/365*(C126+284)))))/3.1416*180))^2+5.0551/(2/15*ACOS(-TAN(3.1416/180*$L$1)*TAN(3.1416/180*23.45*SIN((2*3.1416/365*(C126+284)))))/3.1416*180)+1.49)*G126*2.02</f>
        <v>1792.64036401597</v>
      </c>
      <c r="Y126" s="424" t="n">
        <f aca="false">H126</f>
        <v>0</v>
      </c>
      <c r="Z126" s="424" t="n">
        <f aca="false">I126</f>
        <v>1</v>
      </c>
    </row>
    <row r="127" customFormat="false" ht="15.75" hidden="false" customHeight="false" outlineLevel="0" collapsed="false">
      <c r="B127" s="0" t="n">
        <v>1950</v>
      </c>
      <c r="C127" s="424" t="n">
        <v>126</v>
      </c>
      <c r="D127" s="0" t="n">
        <v>6.49</v>
      </c>
      <c r="E127" s="0" t="n">
        <v>19.56</v>
      </c>
      <c r="F127" s="0" t="n">
        <v>62.510002</v>
      </c>
      <c r="G127" s="0" t="n">
        <v>325</v>
      </c>
      <c r="H127" s="0" t="n">
        <v>0</v>
      </c>
      <c r="I127" s="0" t="n">
        <v>1</v>
      </c>
      <c r="M127" s="0" t="n">
        <f aca="false">F127/0.263*1000/1013.25/100*EXP(17.67*(D127+E127)/2/((D127+E127)/2+273.16-29.65))</f>
        <v>5.75316425777432</v>
      </c>
      <c r="R127" s="424" t="n">
        <f aca="false">B127</f>
        <v>1950</v>
      </c>
      <c r="S127" s="424" t="n">
        <f aca="false">C127</f>
        <v>126</v>
      </c>
      <c r="T127" s="424" t="n">
        <f aca="false">D127</f>
        <v>6.49</v>
      </c>
      <c r="U127" s="424" t="n">
        <f aca="false">E127</f>
        <v>19.56</v>
      </c>
      <c r="V127" s="0" t="n">
        <f aca="false">MIN(0.263*M127/1000*1013.25*100/EXP(17.67*E127/(E127+273.16-29.65)), 100)</f>
        <v>41.2094401840034</v>
      </c>
      <c r="W127" s="0" t="n">
        <f aca="false">MIN(0.263*M127/1000*1013.25*100/EXP(17.67*D127/(D127+273.16-29.65)), 100)</f>
        <v>96.9086454121501</v>
      </c>
      <c r="X127" s="0" t="n">
        <f aca="false">(198.58*(1/(2/15*ACOS(-TAN(3.1416/180*$L$1)*TAN(3.1416/180*23.45*SIN((2*3.1416/365*(C127+284)))))/3.1416*180))^2+5.0551/(2/15*ACOS(-TAN(3.1416/180*$L$1)*TAN(3.1416/180*23.45*SIN((2*3.1416/365*(C127+284)))))/3.1416*180)+1.49)*G127*2.02</f>
        <v>1844.81931332797</v>
      </c>
      <c r="Y127" s="424" t="n">
        <f aca="false">H127</f>
        <v>0</v>
      </c>
      <c r="Z127" s="424" t="n">
        <f aca="false">I127</f>
        <v>1</v>
      </c>
    </row>
    <row r="128" customFormat="false" ht="15.75" hidden="false" customHeight="false" outlineLevel="0" collapsed="false">
      <c r="B128" s="0" t="n">
        <v>1950</v>
      </c>
      <c r="C128" s="424" t="n">
        <v>127</v>
      </c>
      <c r="D128" s="0" t="n">
        <v>4.99</v>
      </c>
      <c r="E128" s="0" t="n">
        <v>19.48</v>
      </c>
      <c r="F128" s="0" t="n">
        <v>65.835</v>
      </c>
      <c r="G128" s="0" t="n">
        <v>325</v>
      </c>
      <c r="H128" s="0" t="n">
        <v>0</v>
      </c>
      <c r="I128" s="0" t="n">
        <v>1</v>
      </c>
      <c r="M128" s="0" t="n">
        <f aca="false">F128/0.263*1000/1013.25/100*EXP(17.67*(D128+E128)/2/((D128+E128)/2+273.16-29.65))</f>
        <v>5.75324179046733</v>
      </c>
      <c r="R128" s="424" t="n">
        <f aca="false">B128</f>
        <v>1950</v>
      </c>
      <c r="S128" s="424" t="n">
        <f aca="false">C128</f>
        <v>127</v>
      </c>
      <c r="T128" s="424" t="n">
        <f aca="false">D128</f>
        <v>4.99</v>
      </c>
      <c r="U128" s="424" t="n">
        <f aca="false">E128</f>
        <v>19.48</v>
      </c>
      <c r="V128" s="0" t="n">
        <f aca="false">MIN(0.263*M128/1000*1013.25*100/EXP(17.67*E128/(E128+273.16-29.65)), 100)</f>
        <v>41.4155449375042</v>
      </c>
      <c r="W128" s="0" t="n">
        <f aca="false">MIN(0.263*M128/1000*1013.25*100/EXP(17.67*D128/(D128+273.16-29.65)), 100)</f>
        <v>100</v>
      </c>
      <c r="X128" s="0" t="n">
        <f aca="false">(198.58*(1/(2/15*ACOS(-TAN(3.1416/180*$L$1)*TAN(3.1416/180*23.45*SIN((2*3.1416/365*(C128+284)))))/3.1416*180))^2+5.0551/(2/15*ACOS(-TAN(3.1416/180*$L$1)*TAN(3.1416/180*23.45*SIN((2*3.1416/365*(C128+284)))))/3.1416*180)+1.49)*G128*2.02</f>
        <v>1840.1869616413</v>
      </c>
      <c r="Y128" s="424" t="n">
        <f aca="false">H128</f>
        <v>0</v>
      </c>
      <c r="Z128" s="424" t="n">
        <f aca="false">I128</f>
        <v>1</v>
      </c>
    </row>
    <row r="129" customFormat="false" ht="15.75" hidden="false" customHeight="false" outlineLevel="0" collapsed="false">
      <c r="B129" s="0" t="n">
        <v>1950</v>
      </c>
      <c r="C129" s="424" t="n">
        <v>128</v>
      </c>
      <c r="D129" s="0" t="n">
        <v>8.309999</v>
      </c>
      <c r="E129" s="0" t="n">
        <v>16.949999</v>
      </c>
      <c r="F129" s="0" t="n">
        <v>82.96</v>
      </c>
      <c r="G129" s="0" t="n">
        <v>141</v>
      </c>
      <c r="H129" s="0" t="n">
        <v>7.5</v>
      </c>
      <c r="I129" s="0" t="n">
        <v>1</v>
      </c>
      <c r="M129" s="0" t="n">
        <f aca="false">F129/0.263*1000/1013.25/100*EXP(17.67*(D129+E129)/2/((D129+E129)/2+273.16-29.65))</f>
        <v>7.44033668953563</v>
      </c>
      <c r="R129" s="424" t="n">
        <f aca="false">B129</f>
        <v>1950</v>
      </c>
      <c r="S129" s="424" t="n">
        <f aca="false">C129</f>
        <v>128</v>
      </c>
      <c r="T129" s="424" t="n">
        <f aca="false">D129</f>
        <v>8.309999</v>
      </c>
      <c r="U129" s="424" t="n">
        <f aca="false">E129</f>
        <v>16.949999</v>
      </c>
      <c r="V129" s="0" t="n">
        <f aca="false">MIN(0.263*M129/1000*1013.25*100/EXP(17.67*E129/(E129+273.16-29.65)), 100)</f>
        <v>62.7861480412527</v>
      </c>
      <c r="W129" s="0" t="n">
        <f aca="false">MIN(0.263*M129/1000*1013.25*100/EXP(17.67*D129/(D129+273.16-29.65)), 100)</f>
        <v>100</v>
      </c>
      <c r="X129" s="0" t="n">
        <f aca="false">(198.58*(1/(2/15*ACOS(-TAN(3.1416/180*$L$1)*TAN(3.1416/180*23.45*SIN((2*3.1416/365*(C129+284)))))/3.1416*180))^2+5.0551/(2/15*ACOS(-TAN(3.1416/180*$L$1)*TAN(3.1416/180*23.45*SIN((2*3.1416/365*(C129+284)))))/3.1416*180)+1.49)*G129*2.02</f>
        <v>796.390766023057</v>
      </c>
      <c r="Y129" s="424" t="n">
        <f aca="false">H129</f>
        <v>7.5</v>
      </c>
      <c r="Z129" s="424" t="n">
        <f aca="false">I129</f>
        <v>1</v>
      </c>
    </row>
    <row r="130" customFormat="false" ht="15.75" hidden="false" customHeight="false" outlineLevel="0" collapsed="false">
      <c r="B130" s="0" t="n">
        <v>1950</v>
      </c>
      <c r="C130" s="424" t="n">
        <v>129</v>
      </c>
      <c r="D130" s="0" t="n">
        <v>8.98</v>
      </c>
      <c r="E130" s="0" t="n">
        <v>17.07</v>
      </c>
      <c r="F130" s="0" t="n">
        <v>86.05</v>
      </c>
      <c r="G130" s="0" t="n">
        <v>193</v>
      </c>
      <c r="H130" s="0" t="n">
        <v>3.8</v>
      </c>
      <c r="I130" s="0" t="n">
        <v>1</v>
      </c>
      <c r="M130" s="0" t="n">
        <f aca="false">F130/0.263*1000/1013.25/100*EXP(17.67*(D130+E130)/2/((D130+E130)/2+273.16-29.65))</f>
        <v>7.91968914641021</v>
      </c>
      <c r="R130" s="424" t="n">
        <f aca="false">B130</f>
        <v>1950</v>
      </c>
      <c r="S130" s="424" t="n">
        <f aca="false">C130</f>
        <v>129</v>
      </c>
      <c r="T130" s="424" t="n">
        <f aca="false">D130</f>
        <v>8.98</v>
      </c>
      <c r="U130" s="424" t="n">
        <f aca="false">E130</f>
        <v>17.07</v>
      </c>
      <c r="V130" s="0" t="n">
        <f aca="false">MIN(0.263*M130/1000*1013.25*100/EXP(17.67*E130/(E130+273.16-29.65)), 100)</f>
        <v>66.3247136696331</v>
      </c>
      <c r="W130" s="0" t="n">
        <f aca="false">MIN(0.263*M130/1000*1013.25*100/EXP(17.67*D130/(D130+273.16-29.65)), 100)</f>
        <v>100</v>
      </c>
      <c r="X130" s="0" t="n">
        <f aca="false">(198.58*(1/(2/15*ACOS(-TAN(3.1416/180*$L$1)*TAN(3.1416/180*23.45*SIN((2*3.1416/365*(C130+284)))))/3.1416*180))^2+5.0551/(2/15*ACOS(-TAN(3.1416/180*$L$1)*TAN(3.1416/180*23.45*SIN((2*3.1416/365*(C130+284)))))/3.1416*180)+1.49)*G130*2.02</f>
        <v>1087.46047421046</v>
      </c>
      <c r="Y130" s="424" t="n">
        <f aca="false">H130</f>
        <v>3.8</v>
      </c>
      <c r="Z130" s="424" t="n">
        <f aca="false">I130</f>
        <v>1</v>
      </c>
    </row>
    <row r="131" customFormat="false" ht="15.75" hidden="false" customHeight="false" outlineLevel="0" collapsed="false">
      <c r="B131" s="0" t="n">
        <v>1950</v>
      </c>
      <c r="C131" s="424" t="n">
        <v>130</v>
      </c>
      <c r="D131" s="0" t="n">
        <v>6.49</v>
      </c>
      <c r="E131" s="0" t="n">
        <v>21.48</v>
      </c>
      <c r="F131" s="0" t="n">
        <v>75.665</v>
      </c>
      <c r="G131" s="0" t="n">
        <v>296</v>
      </c>
      <c r="H131" s="0" t="n">
        <v>0</v>
      </c>
      <c r="I131" s="0" t="n">
        <v>1</v>
      </c>
      <c r="M131" s="0" t="n">
        <f aca="false">F131/0.263*1000/1013.25/100*EXP(17.67*(D131+E131)/2/((D131+E131)/2+273.16-29.65))</f>
        <v>7.41327357601151</v>
      </c>
      <c r="R131" s="424" t="n">
        <f aca="false">B131</f>
        <v>1950</v>
      </c>
      <c r="S131" s="424" t="n">
        <f aca="false">C131</f>
        <v>130</v>
      </c>
      <c r="T131" s="424" t="n">
        <f aca="false">D131</f>
        <v>6.49</v>
      </c>
      <c r="U131" s="424" t="n">
        <f aca="false">E131</f>
        <v>21.48</v>
      </c>
      <c r="V131" s="0" t="n">
        <f aca="false">MIN(0.263*M131/1000*1013.25*100/EXP(17.67*E131/(E131+273.16-29.65)), 100)</f>
        <v>47.1663071889974</v>
      </c>
      <c r="W131" s="0" t="n">
        <f aca="false">MIN(0.263*M131/1000*1013.25*100/EXP(17.67*D131/(D131+273.16-29.65)), 100)</f>
        <v>100</v>
      </c>
      <c r="X131" s="0" t="n">
        <f aca="false">(198.58*(1/(2/15*ACOS(-TAN(3.1416/180*$L$1)*TAN(3.1416/180*23.45*SIN((2*3.1416/365*(C131+284)))))/3.1416*180))^2+5.0551/(2/15*ACOS(-TAN(3.1416/180*$L$1)*TAN(3.1416/180*23.45*SIN((2*3.1416/365*(C131+284)))))/3.1416*180)+1.49)*G131*2.02</f>
        <v>1663.86336409528</v>
      </c>
      <c r="Y131" s="424" t="n">
        <f aca="false">H131</f>
        <v>0</v>
      </c>
      <c r="Z131" s="424" t="n">
        <f aca="false">I131</f>
        <v>1</v>
      </c>
    </row>
    <row r="132" customFormat="false" ht="15.75" hidden="false" customHeight="false" outlineLevel="0" collapsed="false">
      <c r="B132" s="0" t="n">
        <v>1950</v>
      </c>
      <c r="C132" s="424" t="n">
        <v>131</v>
      </c>
      <c r="D132" s="0" t="n">
        <v>9.78</v>
      </c>
      <c r="E132" s="0" t="n">
        <v>25.119999</v>
      </c>
      <c r="F132" s="0" t="n">
        <v>65.950005</v>
      </c>
      <c r="G132" s="0" t="n">
        <v>313</v>
      </c>
      <c r="H132" s="0" t="n">
        <v>0</v>
      </c>
      <c r="I132" s="0" t="n">
        <v>1</v>
      </c>
      <c r="M132" s="0" t="n">
        <f aca="false">F132/0.263*1000/1013.25/100*EXP(17.67*(D132+E132)/2/((D132+E132)/2+273.16-29.65))</f>
        <v>8.06659240194028</v>
      </c>
      <c r="R132" s="424" t="n">
        <f aca="false">B132</f>
        <v>1950</v>
      </c>
      <c r="S132" s="424" t="n">
        <f aca="false">C132</f>
        <v>131</v>
      </c>
      <c r="T132" s="424" t="n">
        <f aca="false">D132</f>
        <v>9.78</v>
      </c>
      <c r="U132" s="424" t="n">
        <f aca="false">E132</f>
        <v>25.119999</v>
      </c>
      <c r="V132" s="0" t="n">
        <f aca="false">MIN(0.263*M132/1000*1013.25*100/EXP(17.67*E132/(E132+273.16-29.65)), 100)</f>
        <v>41.1866650390702</v>
      </c>
      <c r="W132" s="0" t="n">
        <f aca="false">MIN(0.263*M132/1000*1013.25*100/EXP(17.67*D132/(D132+273.16-29.65)), 100)</f>
        <v>100</v>
      </c>
      <c r="X132" s="0" t="n">
        <f aca="false">(198.58*(1/(2/15*ACOS(-TAN(3.1416/180*$L$1)*TAN(3.1416/180*23.45*SIN((2*3.1416/365*(C132+284)))))/3.1416*180))^2+5.0551/(2/15*ACOS(-TAN(3.1416/180*$L$1)*TAN(3.1416/180*23.45*SIN((2*3.1416/365*(C132+284)))))/3.1416*180)+1.49)*G132*2.02</f>
        <v>1755.33870078525</v>
      </c>
      <c r="Y132" s="424" t="n">
        <f aca="false">H132</f>
        <v>0</v>
      </c>
      <c r="Z132" s="424" t="n">
        <f aca="false">I132</f>
        <v>1</v>
      </c>
    </row>
    <row r="133" customFormat="false" ht="15.75" hidden="false" customHeight="false" outlineLevel="0" collapsed="false">
      <c r="B133" s="0" t="n">
        <v>1950</v>
      </c>
      <c r="C133" s="424" t="n">
        <v>132</v>
      </c>
      <c r="D133" s="0" t="n">
        <v>11.59</v>
      </c>
      <c r="E133" s="0" t="n">
        <v>25.42</v>
      </c>
      <c r="F133" s="0" t="n">
        <v>60.58</v>
      </c>
      <c r="G133" s="0" t="n">
        <v>218</v>
      </c>
      <c r="H133" s="0" t="n">
        <v>0</v>
      </c>
      <c r="I133" s="0" t="n">
        <v>1</v>
      </c>
      <c r="M133" s="0" t="n">
        <f aca="false">F133/0.263*1000/1013.25/100*EXP(17.67*(D133+E133)/2/((D133+E133)/2+273.16-29.65))</f>
        <v>7.91840253556281</v>
      </c>
      <c r="R133" s="424" t="n">
        <f aca="false">B133</f>
        <v>1950</v>
      </c>
      <c r="S133" s="424" t="n">
        <f aca="false">C133</f>
        <v>132</v>
      </c>
      <c r="T133" s="424" t="n">
        <f aca="false">D133</f>
        <v>11.59</v>
      </c>
      <c r="U133" s="424" t="n">
        <f aca="false">E133</f>
        <v>25.42</v>
      </c>
      <c r="V133" s="0" t="n">
        <f aca="false">MIN(0.263*M133/1000*1013.25*100/EXP(17.67*E133/(E133+273.16-29.65)), 100)</f>
        <v>39.7140339846784</v>
      </c>
      <c r="W133" s="0" t="n">
        <f aca="false">MIN(0.263*M133/1000*1013.25*100/EXP(17.67*D133/(D133+273.16-29.65)), 100)</f>
        <v>94.548923800251</v>
      </c>
      <c r="X133" s="0" t="n">
        <f aca="false">(198.58*(1/(2/15*ACOS(-TAN(3.1416/180*$L$1)*TAN(3.1416/180*23.45*SIN((2*3.1416/365*(C133+284)))))/3.1416*180))^2+5.0551/(2/15*ACOS(-TAN(3.1416/180*$L$1)*TAN(3.1416/180*23.45*SIN((2*3.1416/365*(C133+284)))))/3.1416*180)+1.49)*G133*2.02</f>
        <v>1219.78911176291</v>
      </c>
      <c r="Y133" s="424" t="n">
        <f aca="false">H133</f>
        <v>0</v>
      </c>
      <c r="Z133" s="424" t="n">
        <f aca="false">I133</f>
        <v>1</v>
      </c>
    </row>
    <row r="134" customFormat="false" ht="15.75" hidden="false" customHeight="false" outlineLevel="0" collapsed="false">
      <c r="B134" s="0" t="n">
        <v>1950</v>
      </c>
      <c r="C134" s="424" t="n">
        <v>133</v>
      </c>
      <c r="D134" s="0" t="n">
        <v>14.21</v>
      </c>
      <c r="E134" s="0" t="n">
        <v>20.42</v>
      </c>
      <c r="F134" s="0" t="n">
        <v>81.18</v>
      </c>
      <c r="G134" s="0" t="n">
        <v>165</v>
      </c>
      <c r="H134" s="0" t="n">
        <v>3.6000001</v>
      </c>
      <c r="I134" s="0" t="n">
        <v>1</v>
      </c>
      <c r="M134" s="0" t="n">
        <f aca="false">F134/0.263*1000/1013.25/100*EXP(17.67*(D134+E134)/2/((D134+E134)/2+273.16-29.65))</f>
        <v>9.84505111106365</v>
      </c>
      <c r="R134" s="424" t="n">
        <f aca="false">B134</f>
        <v>1950</v>
      </c>
      <c r="S134" s="424" t="n">
        <f aca="false">C134</f>
        <v>133</v>
      </c>
      <c r="T134" s="424" t="n">
        <f aca="false">D134</f>
        <v>14.21</v>
      </c>
      <c r="U134" s="424" t="n">
        <f aca="false">E134</f>
        <v>20.42</v>
      </c>
      <c r="V134" s="0" t="n">
        <f aca="false">MIN(0.263*M134/1000*1013.25*100/EXP(17.67*E134/(E134+273.16-29.65)), 100)</f>
        <v>66.8593133348035</v>
      </c>
      <c r="W134" s="0" t="n">
        <f aca="false">MIN(0.263*M134/1000*1013.25*100/EXP(17.67*D134/(D134+273.16-29.65)), 100)</f>
        <v>99.030086391008</v>
      </c>
      <c r="X134" s="0" t="n">
        <f aca="false">(198.58*(1/(2/15*ACOS(-TAN(3.1416/180*$L$1)*TAN(3.1416/180*23.45*SIN((2*3.1416/365*(C134+284)))))/3.1416*180))^2+5.0551/(2/15*ACOS(-TAN(3.1416/180*$L$1)*TAN(3.1416/180*23.45*SIN((2*3.1416/365*(C134+284)))))/3.1416*180)+1.49)*G134*2.02</f>
        <v>921.181187914833</v>
      </c>
      <c r="Y134" s="424" t="n">
        <f aca="false">H134</f>
        <v>3.6000001</v>
      </c>
      <c r="Z134" s="424" t="n">
        <f aca="false">I134</f>
        <v>1</v>
      </c>
    </row>
    <row r="135" customFormat="false" ht="15.75" hidden="false" customHeight="false" outlineLevel="0" collapsed="false">
      <c r="B135" s="0" t="n">
        <v>1950</v>
      </c>
      <c r="C135" s="424" t="n">
        <v>134</v>
      </c>
      <c r="D135" s="0" t="n">
        <v>12.7699995</v>
      </c>
      <c r="E135" s="0" t="n">
        <v>24.529999</v>
      </c>
      <c r="F135" s="0" t="n">
        <v>75.075</v>
      </c>
      <c r="G135" s="0" t="n">
        <v>285</v>
      </c>
      <c r="H135" s="0" t="n">
        <v>0</v>
      </c>
      <c r="I135" s="0" t="n">
        <v>1</v>
      </c>
      <c r="M135" s="0" t="n">
        <f aca="false">F135/0.263*1000/1013.25/100*EXP(17.67*(D135+E135)/2/((D135+E135)/2+273.16-29.65))</f>
        <v>9.90257907010913</v>
      </c>
      <c r="R135" s="424" t="n">
        <f aca="false">B135</f>
        <v>1950</v>
      </c>
      <c r="S135" s="424" t="n">
        <f aca="false">C135</f>
        <v>134</v>
      </c>
      <c r="T135" s="424" t="n">
        <f aca="false">D135</f>
        <v>12.7699995</v>
      </c>
      <c r="U135" s="424" t="n">
        <f aca="false">E135</f>
        <v>24.529999</v>
      </c>
      <c r="V135" s="0" t="n">
        <f aca="false">MIN(0.263*M135/1000*1013.25*100/EXP(17.67*E135/(E135+273.16-29.65)), 100)</f>
        <v>52.3753528462189</v>
      </c>
      <c r="W135" s="0" t="n">
        <f aca="false">MIN(0.263*M135/1000*1013.25*100/EXP(17.67*D135/(D135+273.16-29.65)), 100)</f>
        <v>100</v>
      </c>
      <c r="X135" s="0" t="n">
        <f aca="false">(198.58*(1/(2/15*ACOS(-TAN(3.1416/180*$L$1)*TAN(3.1416/180*23.45*SIN((2*3.1416/365*(C135+284)))))/3.1416*180))^2+5.0551/(2/15*ACOS(-TAN(3.1416/180*$L$1)*TAN(3.1416/180*23.45*SIN((2*3.1416/365*(C135+284)))))/3.1416*180)+1.49)*G135*2.02</f>
        <v>1587.66981497555</v>
      </c>
      <c r="Y135" s="424" t="n">
        <f aca="false">H135</f>
        <v>0</v>
      </c>
      <c r="Z135" s="424" t="n">
        <f aca="false">I135</f>
        <v>1</v>
      </c>
    </row>
    <row r="136" customFormat="false" ht="15.75" hidden="false" customHeight="false" outlineLevel="0" collapsed="false">
      <c r="B136" s="0" t="n">
        <v>1950</v>
      </c>
      <c r="C136" s="424" t="n">
        <v>135</v>
      </c>
      <c r="D136" s="0" t="n">
        <v>13.11</v>
      </c>
      <c r="E136" s="0" t="n">
        <v>25.72</v>
      </c>
      <c r="F136" s="0" t="n">
        <v>67.065</v>
      </c>
      <c r="G136" s="0" t="n">
        <v>211</v>
      </c>
      <c r="H136" s="0" t="n">
        <v>0</v>
      </c>
      <c r="I136" s="0" t="n">
        <v>1</v>
      </c>
      <c r="M136" s="0" t="n">
        <f aca="false">F136/0.263*1000/1013.25/100*EXP(17.67*(D136+E136)/2/((D136+E136)/2+273.16-29.65))</f>
        <v>9.27873020083068</v>
      </c>
      <c r="R136" s="424" t="n">
        <f aca="false">B136</f>
        <v>1950</v>
      </c>
      <c r="S136" s="424" t="n">
        <f aca="false">C136</f>
        <v>135</v>
      </c>
      <c r="T136" s="424" t="n">
        <f aca="false">D136</f>
        <v>13.11</v>
      </c>
      <c r="U136" s="424" t="n">
        <f aca="false">E136</f>
        <v>25.72</v>
      </c>
      <c r="V136" s="0" t="n">
        <f aca="false">MIN(0.263*M136/1000*1013.25*100/EXP(17.67*E136/(E136+273.16-29.65)), 100)</f>
        <v>45.7143140003267</v>
      </c>
      <c r="W136" s="0" t="n">
        <f aca="false">MIN(0.263*M136/1000*1013.25*100/EXP(17.67*D136/(D136+273.16-29.65)), 100)</f>
        <v>100</v>
      </c>
      <c r="X136" s="0" t="n">
        <f aca="false">(198.58*(1/(2/15*ACOS(-TAN(3.1416/180*$L$1)*TAN(3.1416/180*23.45*SIN((2*3.1416/365*(C136+284)))))/3.1416*180))^2+5.0551/(2/15*ACOS(-TAN(3.1416/180*$L$1)*TAN(3.1416/180*23.45*SIN((2*3.1416/365*(C136+284)))))/3.1416*180)+1.49)*G136*2.02</f>
        <v>1172.93384273053</v>
      </c>
      <c r="Y136" s="424" t="n">
        <f aca="false">H136</f>
        <v>0</v>
      </c>
      <c r="Z136" s="424" t="n">
        <f aca="false">I136</f>
        <v>1</v>
      </c>
    </row>
    <row r="137" customFormat="false" ht="15.75" hidden="false" customHeight="false" outlineLevel="0" collapsed="false">
      <c r="B137" s="0" t="n">
        <v>1950</v>
      </c>
      <c r="C137" s="424" t="n">
        <v>136</v>
      </c>
      <c r="D137" s="0" t="n">
        <v>12.44</v>
      </c>
      <c r="E137" s="0" t="n">
        <v>22.199999</v>
      </c>
      <c r="F137" s="0" t="n">
        <v>84.1</v>
      </c>
      <c r="G137" s="0" t="n">
        <v>207</v>
      </c>
      <c r="H137" s="0" t="n">
        <v>7.6</v>
      </c>
      <c r="I137" s="0" t="n">
        <v>1</v>
      </c>
      <c r="M137" s="0" t="n">
        <f aca="false">F137/0.263*1000/1013.25/100*EXP(17.67*(D137+E137)/2/((D137+E137)/2+273.16-29.65))</f>
        <v>10.2023977628068</v>
      </c>
      <c r="R137" s="424" t="n">
        <f aca="false">B137</f>
        <v>1950</v>
      </c>
      <c r="S137" s="424" t="n">
        <f aca="false">C137</f>
        <v>136</v>
      </c>
      <c r="T137" s="424" t="n">
        <f aca="false">D137</f>
        <v>12.44</v>
      </c>
      <c r="U137" s="424" t="n">
        <f aca="false">E137</f>
        <v>22.199999</v>
      </c>
      <c r="V137" s="0" t="n">
        <f aca="false">MIN(0.263*M137/1000*1013.25*100/EXP(17.67*E137/(E137+273.16-29.65)), 100)</f>
        <v>62.1176981332169</v>
      </c>
      <c r="W137" s="0" t="n">
        <f aca="false">MIN(0.263*M137/1000*1013.25*100/EXP(17.67*D137/(D137+273.16-29.65)), 100)</f>
        <v>100</v>
      </c>
      <c r="X137" s="0" t="n">
        <f aca="false">(198.58*(1/(2/15*ACOS(-TAN(3.1416/180*$L$1)*TAN(3.1416/180*23.45*SIN((2*3.1416/365*(C137+284)))))/3.1416*180))^2+5.0551/(2/15*ACOS(-TAN(3.1416/180*$L$1)*TAN(3.1416/180*23.45*SIN((2*3.1416/365*(C137+284)))))/3.1416*180)+1.49)*G137*2.02</f>
        <v>1148.30916967478</v>
      </c>
      <c r="Y137" s="424" t="n">
        <f aca="false">H137</f>
        <v>7.6</v>
      </c>
      <c r="Z137" s="424" t="n">
        <f aca="false">I137</f>
        <v>1</v>
      </c>
    </row>
    <row r="138" customFormat="false" ht="15.75" hidden="false" customHeight="false" outlineLevel="0" collapsed="false">
      <c r="B138" s="0" t="n">
        <v>1950</v>
      </c>
      <c r="C138" s="424" t="n">
        <v>137</v>
      </c>
      <c r="D138" s="0" t="n">
        <v>14.08</v>
      </c>
      <c r="E138" s="0" t="n">
        <v>21.43</v>
      </c>
      <c r="F138" s="0" t="n">
        <v>80.19</v>
      </c>
      <c r="G138" s="0" t="n">
        <v>159</v>
      </c>
      <c r="H138" s="0" t="n">
        <v>0</v>
      </c>
      <c r="I138" s="0" t="n">
        <v>1</v>
      </c>
      <c r="M138" s="0" t="n">
        <f aca="false">F138/0.263*1000/1013.25/100*EXP(17.67*(D138+E138)/2/((D138+E138)/2+273.16-29.65))</f>
        <v>9.9989649553749</v>
      </c>
      <c r="R138" s="424" t="n">
        <f aca="false">B138</f>
        <v>1950</v>
      </c>
      <c r="S138" s="424" t="n">
        <f aca="false">C138</f>
        <v>137</v>
      </c>
      <c r="T138" s="424" t="n">
        <f aca="false">D138</f>
        <v>14.08</v>
      </c>
      <c r="U138" s="424" t="n">
        <f aca="false">E138</f>
        <v>21.43</v>
      </c>
      <c r="V138" s="0" t="n">
        <f aca="false">MIN(0.263*M138/1000*1013.25*100/EXP(17.67*E138/(E138+273.16-29.65)), 100)</f>
        <v>63.8127922966851</v>
      </c>
      <c r="W138" s="0" t="n">
        <f aca="false">MIN(0.263*M138/1000*1013.25*100/EXP(17.67*D138/(D138+273.16-29.65)), 100)</f>
        <v>100</v>
      </c>
      <c r="X138" s="0" t="n">
        <f aca="false">(198.58*(1/(2/15*ACOS(-TAN(3.1416/180*$L$1)*TAN(3.1416/180*23.45*SIN((2*3.1416/365*(C138+284)))))/3.1416*180))^2+5.0551/(2/15*ACOS(-TAN(3.1416/180*$L$1)*TAN(3.1416/180*23.45*SIN((2*3.1416/365*(C138+284)))))/3.1416*180)+1.49)*G138*2.02</f>
        <v>880.247701947359</v>
      </c>
      <c r="Y138" s="424" t="n">
        <f aca="false">H138</f>
        <v>0</v>
      </c>
      <c r="Z138" s="424" t="n">
        <f aca="false">I138</f>
        <v>1</v>
      </c>
    </row>
    <row r="139" customFormat="false" ht="15.75" hidden="false" customHeight="false" outlineLevel="0" collapsed="false">
      <c r="B139" s="0" t="n">
        <v>1950</v>
      </c>
      <c r="C139" s="424" t="n">
        <v>138</v>
      </c>
      <c r="D139" s="0" t="n">
        <v>11.67</v>
      </c>
      <c r="E139" s="0" t="n">
        <v>18.08</v>
      </c>
      <c r="F139" s="0" t="n">
        <v>86.71</v>
      </c>
      <c r="G139" s="0" t="n">
        <v>185</v>
      </c>
      <c r="H139" s="0" t="n">
        <v>2.5</v>
      </c>
      <c r="I139" s="0" t="n">
        <v>1</v>
      </c>
      <c r="M139" s="0" t="n">
        <f aca="false">F139/0.263*1000/1013.25/100*EXP(17.67*(D139+E139)/2/((D139+E139)/2+273.16-29.65))</f>
        <v>8.99873347441871</v>
      </c>
      <c r="R139" s="424" t="n">
        <f aca="false">B139</f>
        <v>1950</v>
      </c>
      <c r="S139" s="424" t="n">
        <f aca="false">C139</f>
        <v>138</v>
      </c>
      <c r="T139" s="424" t="n">
        <f aca="false">D139</f>
        <v>11.67</v>
      </c>
      <c r="U139" s="424" t="n">
        <f aca="false">E139</f>
        <v>18.08</v>
      </c>
      <c r="V139" s="0" t="n">
        <f aca="false">MIN(0.263*M139/1000*1013.25*100/EXP(17.67*E139/(E139+273.16-29.65)), 100)</f>
        <v>70.7066568961324</v>
      </c>
      <c r="W139" s="0" t="n">
        <f aca="false">MIN(0.263*M139/1000*1013.25*100/EXP(17.67*D139/(D139+273.16-29.65)), 100)</f>
        <v>100</v>
      </c>
      <c r="X139" s="0" t="n">
        <f aca="false">(198.58*(1/(2/15*ACOS(-TAN(3.1416/180*$L$1)*TAN(3.1416/180*23.45*SIN((2*3.1416/365*(C139+284)))))/3.1416*180))^2+5.0551/(2/15*ACOS(-TAN(3.1416/180*$L$1)*TAN(3.1416/180*23.45*SIN((2*3.1416/365*(C139+284)))))/3.1416*180)+1.49)*G139*2.02</f>
        <v>1022.16457952811</v>
      </c>
      <c r="Y139" s="424" t="n">
        <f aca="false">H139</f>
        <v>2.5</v>
      </c>
      <c r="Z139" s="424" t="n">
        <f aca="false">I139</f>
        <v>1</v>
      </c>
    </row>
    <row r="140" customFormat="false" ht="15.75" hidden="false" customHeight="false" outlineLevel="0" collapsed="false">
      <c r="B140" s="0" t="n">
        <v>1950</v>
      </c>
      <c r="C140" s="424" t="n">
        <v>139</v>
      </c>
      <c r="D140" s="0" t="n">
        <v>8.71</v>
      </c>
      <c r="E140" s="0" t="n">
        <v>23.05</v>
      </c>
      <c r="F140" s="0" t="n">
        <v>77.020004</v>
      </c>
      <c r="G140" s="0" t="n">
        <v>177</v>
      </c>
      <c r="H140" s="0" t="n">
        <v>0</v>
      </c>
      <c r="I140" s="0" t="n">
        <v>1</v>
      </c>
      <c r="M140" s="0" t="n">
        <f aca="false">F140/0.263*1000/1013.25/100*EXP(17.67*(D140+E140)/2/((D140+E140)/2+273.16-29.65))</f>
        <v>8.52583084045529</v>
      </c>
      <c r="R140" s="424" t="n">
        <f aca="false">B140</f>
        <v>1950</v>
      </c>
      <c r="S140" s="424" t="n">
        <f aca="false">C140</f>
        <v>139</v>
      </c>
      <c r="T140" s="424" t="n">
        <f aca="false">D140</f>
        <v>8.71</v>
      </c>
      <c r="U140" s="424" t="n">
        <f aca="false">E140</f>
        <v>23.05</v>
      </c>
      <c r="V140" s="0" t="n">
        <f aca="false">MIN(0.263*M140/1000*1013.25*100/EXP(17.67*E140/(E140+273.16-29.65)), 100)</f>
        <v>49.2973631441225</v>
      </c>
      <c r="W140" s="0" t="n">
        <f aca="false">MIN(0.263*M140/1000*1013.25*100/EXP(17.67*D140/(D140+273.16-29.65)), 100)</f>
        <v>100</v>
      </c>
      <c r="X140" s="0" t="n">
        <f aca="false">(198.58*(1/(2/15*ACOS(-TAN(3.1416/180*$L$1)*TAN(3.1416/180*23.45*SIN((2*3.1416/365*(C140+284)))))/3.1416*180))^2+5.0551/(2/15*ACOS(-TAN(3.1416/180*$L$1)*TAN(3.1416/180*23.45*SIN((2*3.1416/365*(C140+284)))))/3.1416*180)+1.49)*G140*2.02</f>
        <v>976.081087296668</v>
      </c>
      <c r="Y140" s="424" t="n">
        <f aca="false">H140</f>
        <v>0</v>
      </c>
      <c r="Z140" s="424" t="n">
        <f aca="false">I140</f>
        <v>1</v>
      </c>
    </row>
    <row r="141" customFormat="false" ht="15.75" hidden="false" customHeight="false" outlineLevel="0" collapsed="false">
      <c r="B141" s="0" t="n">
        <v>1950</v>
      </c>
      <c r="C141" s="424" t="n">
        <v>140</v>
      </c>
      <c r="D141" s="0" t="n">
        <v>15.36</v>
      </c>
      <c r="E141" s="0" t="n">
        <v>26.3</v>
      </c>
      <c r="F141" s="0" t="n">
        <v>75.325005</v>
      </c>
      <c r="G141" s="0" t="n">
        <v>154</v>
      </c>
      <c r="H141" s="0" t="n">
        <v>4.8</v>
      </c>
      <c r="I141" s="0" t="n">
        <v>1</v>
      </c>
      <c r="M141" s="0" t="n">
        <f aca="false">F141/0.263*1000/1013.25/100*EXP(17.67*(D141+E141)/2/((D141+E141)/2+273.16-29.65))</f>
        <v>11.3756688197732</v>
      </c>
      <c r="R141" s="424" t="n">
        <f aca="false">B141</f>
        <v>1950</v>
      </c>
      <c r="S141" s="424" t="n">
        <f aca="false">C141</f>
        <v>140</v>
      </c>
      <c r="T141" s="424" t="n">
        <f aca="false">D141</f>
        <v>15.36</v>
      </c>
      <c r="U141" s="424" t="n">
        <f aca="false">E141</f>
        <v>26.3</v>
      </c>
      <c r="V141" s="0" t="n">
        <f aca="false">MIN(0.263*M141/1000*1013.25*100/EXP(17.67*E141/(E141+273.16-29.65)), 100)</f>
        <v>54.1526947821485</v>
      </c>
      <c r="W141" s="0" t="n">
        <f aca="false">MIN(0.263*M141/1000*1013.25*100/EXP(17.67*D141/(D141+273.16-29.65)), 100)</f>
        <v>100</v>
      </c>
      <c r="X141" s="0" t="n">
        <f aca="false">(198.58*(1/(2/15*ACOS(-TAN(3.1416/180*$L$1)*TAN(3.1416/180*23.45*SIN((2*3.1416/365*(C141+284)))))/3.1416*180))^2+5.0551/(2/15*ACOS(-TAN(3.1416/180*$L$1)*TAN(3.1416/180*23.45*SIN((2*3.1416/365*(C141+284)))))/3.1416*180)+1.49)*G141*2.02</f>
        <v>847.655273217577</v>
      </c>
      <c r="Y141" s="424" t="n">
        <f aca="false">H141</f>
        <v>4.8</v>
      </c>
      <c r="Z141" s="424" t="n">
        <f aca="false">I141</f>
        <v>1</v>
      </c>
    </row>
    <row r="142" customFormat="false" ht="15.75" hidden="false" customHeight="false" outlineLevel="0" collapsed="false">
      <c r="B142" s="0" t="n">
        <v>1950</v>
      </c>
      <c r="C142" s="424" t="n">
        <v>141</v>
      </c>
      <c r="D142" s="0" t="n">
        <v>14.849999</v>
      </c>
      <c r="E142" s="0" t="n">
        <v>26.58</v>
      </c>
      <c r="F142" s="0" t="n">
        <v>75.545</v>
      </c>
      <c r="G142" s="0" t="n">
        <v>225</v>
      </c>
      <c r="H142" s="0" t="n">
        <v>1.1</v>
      </c>
      <c r="I142" s="0" t="n">
        <v>1</v>
      </c>
      <c r="M142" s="0" t="n">
        <f aca="false">F142/0.263*1000/1013.25/100*EXP(17.67*(D142+E142)/2/((D142+E142)/2+273.16-29.65))</f>
        <v>11.3283507402138</v>
      </c>
      <c r="R142" s="424" t="n">
        <f aca="false">B142</f>
        <v>1950</v>
      </c>
      <c r="S142" s="424" t="n">
        <f aca="false">C142</f>
        <v>141</v>
      </c>
      <c r="T142" s="424" t="n">
        <f aca="false">D142</f>
        <v>14.849999</v>
      </c>
      <c r="U142" s="424" t="n">
        <f aca="false">E142</f>
        <v>26.58</v>
      </c>
      <c r="V142" s="0" t="n">
        <f aca="false">MIN(0.263*M142/1000*1013.25*100/EXP(17.67*E142/(E142+273.16-29.65)), 100)</f>
        <v>53.0432031701413</v>
      </c>
      <c r="W142" s="0" t="n">
        <f aca="false">MIN(0.263*M142/1000*1013.25*100/EXP(17.67*D142/(D142+273.16-29.65)), 100)</f>
        <v>100</v>
      </c>
      <c r="X142" s="0" t="n">
        <f aca="false">(198.58*(1/(2/15*ACOS(-TAN(3.1416/180*$L$1)*TAN(3.1416/180*23.45*SIN((2*3.1416/365*(C142+284)))))/3.1416*180))^2+5.0551/(2/15*ACOS(-TAN(3.1416/180*$L$1)*TAN(3.1416/180*23.45*SIN((2*3.1416/365*(C142+284)))))/3.1416*180)+1.49)*G142*2.02</f>
        <v>1236.20227715475</v>
      </c>
      <c r="Y142" s="424" t="n">
        <f aca="false">H142</f>
        <v>1.1</v>
      </c>
      <c r="Z142" s="424" t="n">
        <f aca="false">I142</f>
        <v>1</v>
      </c>
    </row>
    <row r="143" customFormat="false" ht="15.75" hidden="false" customHeight="false" outlineLevel="0" collapsed="false">
      <c r="B143" s="0" t="n">
        <v>1950</v>
      </c>
      <c r="C143" s="424" t="n">
        <v>142</v>
      </c>
      <c r="D143" s="0" t="n">
        <v>9.17</v>
      </c>
      <c r="E143" s="0" t="n">
        <v>21.93</v>
      </c>
      <c r="F143" s="0" t="n">
        <v>67.835</v>
      </c>
      <c r="G143" s="0" t="n">
        <v>261</v>
      </c>
      <c r="H143" s="0" t="n">
        <v>0</v>
      </c>
      <c r="I143" s="0" t="n">
        <v>1</v>
      </c>
      <c r="M143" s="0" t="n">
        <f aca="false">F143/0.263*1000/1013.25/100*EXP(17.67*(D143+E143)/2/((D143+E143)/2+273.16-29.65))</f>
        <v>7.35207724971811</v>
      </c>
      <c r="R143" s="424" t="n">
        <f aca="false">B143</f>
        <v>1950</v>
      </c>
      <c r="S143" s="424" t="n">
        <f aca="false">C143</f>
        <v>142</v>
      </c>
      <c r="T143" s="424" t="n">
        <f aca="false">D143</f>
        <v>9.17</v>
      </c>
      <c r="U143" s="424" t="n">
        <f aca="false">E143</f>
        <v>21.93</v>
      </c>
      <c r="V143" s="0" t="n">
        <f aca="false">MIN(0.263*M143/1000*1013.25*100/EXP(17.67*E143/(E143+273.16-29.65)), 100)</f>
        <v>45.506850454915</v>
      </c>
      <c r="W143" s="0" t="n">
        <f aca="false">MIN(0.263*M143/1000*1013.25*100/EXP(17.67*D143/(D143+273.16-29.65)), 100)</f>
        <v>100</v>
      </c>
      <c r="X143" s="0" t="n">
        <f aca="false">(198.58*(1/(2/15*ACOS(-TAN(3.1416/180*$L$1)*TAN(3.1416/180*23.45*SIN((2*3.1416/365*(C143+284)))))/3.1416*180))^2+5.0551/(2/15*ACOS(-TAN(3.1416/180*$L$1)*TAN(3.1416/180*23.45*SIN((2*3.1416/365*(C143+284)))))/3.1416*180)+1.49)*G143*2.02</f>
        <v>1431.45841373384</v>
      </c>
      <c r="Y143" s="424" t="n">
        <f aca="false">H143</f>
        <v>0</v>
      </c>
      <c r="Z143" s="424" t="n">
        <f aca="false">I143</f>
        <v>1</v>
      </c>
    </row>
    <row r="144" customFormat="false" ht="15.75" hidden="false" customHeight="false" outlineLevel="0" collapsed="false">
      <c r="B144" s="0" t="n">
        <v>1950</v>
      </c>
      <c r="C144" s="424" t="n">
        <v>143</v>
      </c>
      <c r="D144" s="0" t="n">
        <v>12.799999</v>
      </c>
      <c r="E144" s="0" t="n">
        <v>20.39</v>
      </c>
      <c r="F144" s="0" t="n">
        <v>77.68</v>
      </c>
      <c r="G144" s="0" t="n">
        <v>232</v>
      </c>
      <c r="H144" s="0" t="n">
        <v>2.7</v>
      </c>
      <c r="I144" s="0" t="n">
        <v>1</v>
      </c>
      <c r="M144" s="0" t="n">
        <f aca="false">F144/0.263*1000/1013.25/100*EXP(17.67*(D144+E144)/2/((D144+E144)/2+273.16-29.65))</f>
        <v>9.0000696359883</v>
      </c>
      <c r="R144" s="424" t="n">
        <f aca="false">B144</f>
        <v>1950</v>
      </c>
      <c r="S144" s="424" t="n">
        <f aca="false">C144</f>
        <v>143</v>
      </c>
      <c r="T144" s="424" t="n">
        <f aca="false">D144</f>
        <v>12.799999</v>
      </c>
      <c r="U144" s="424" t="n">
        <f aca="false">E144</f>
        <v>20.39</v>
      </c>
      <c r="V144" s="0" t="n">
        <f aca="false">MIN(0.263*M144/1000*1013.25*100/EXP(17.67*E144/(E144+273.16-29.65)), 100)</f>
        <v>61.2342898848942</v>
      </c>
      <c r="W144" s="0" t="n">
        <f aca="false">MIN(0.263*M144/1000*1013.25*100/EXP(17.67*D144/(D144+273.16-29.65)), 100)</f>
        <v>99.2391779322368</v>
      </c>
      <c r="X144" s="0" t="n">
        <f aca="false">(198.58*(1/(2/15*ACOS(-TAN(3.1416/180*$L$1)*TAN(3.1416/180*23.45*SIN((2*3.1416/365*(C144+284)))))/3.1416*180))^2+5.0551/(2/15*ACOS(-TAN(3.1416/180*$L$1)*TAN(3.1416/180*23.45*SIN((2*3.1416/365*(C144+284)))))/3.1416*180)+1.49)*G144*2.02</f>
        <v>1270.22404099276</v>
      </c>
      <c r="Y144" s="424" t="n">
        <f aca="false">H144</f>
        <v>2.7</v>
      </c>
      <c r="Z144" s="424" t="n">
        <f aca="false">I144</f>
        <v>1</v>
      </c>
    </row>
    <row r="145" customFormat="false" ht="15.75" hidden="false" customHeight="false" outlineLevel="0" collapsed="false">
      <c r="B145" s="0" t="n">
        <v>1950</v>
      </c>
      <c r="C145" s="424" t="n">
        <v>144</v>
      </c>
      <c r="D145" s="0" t="n">
        <v>9.969999</v>
      </c>
      <c r="E145" s="0" t="n">
        <v>23.85</v>
      </c>
      <c r="F145" s="0" t="n">
        <v>79.615005</v>
      </c>
      <c r="G145" s="0" t="n">
        <v>146</v>
      </c>
      <c r="H145" s="0" t="n">
        <v>10.400001</v>
      </c>
      <c r="I145" s="0" t="n">
        <v>1</v>
      </c>
      <c r="M145" s="0" t="n">
        <f aca="false">F145/0.263*1000/1013.25/100*EXP(17.67*(D145+E145)/2/((D145+E145)/2+273.16-29.65))</f>
        <v>9.41069477220918</v>
      </c>
      <c r="R145" s="424" t="n">
        <f aca="false">B145</f>
        <v>1950</v>
      </c>
      <c r="S145" s="424" t="n">
        <f aca="false">C145</f>
        <v>144</v>
      </c>
      <c r="T145" s="424" t="n">
        <f aca="false">D145</f>
        <v>9.969999</v>
      </c>
      <c r="U145" s="424" t="n">
        <f aca="false">E145</f>
        <v>23.85</v>
      </c>
      <c r="V145" s="0" t="n">
        <f aca="false">MIN(0.263*M145/1000*1013.25*100/EXP(17.67*E145/(E145+273.16-29.65)), 100)</f>
        <v>51.8480003079186</v>
      </c>
      <c r="W145" s="0" t="n">
        <f aca="false">MIN(0.263*M145/1000*1013.25*100/EXP(17.67*D145/(D145+273.16-29.65)), 100)</f>
        <v>100</v>
      </c>
      <c r="X145" s="0" t="n">
        <f aca="false">(198.58*(1/(2/15*ACOS(-TAN(3.1416/180*$L$1)*TAN(3.1416/180*23.45*SIN((2*3.1416/365*(C145+284)))))/3.1416*180))^2+5.0551/(2/15*ACOS(-TAN(3.1416/180*$L$1)*TAN(3.1416/180*23.45*SIN((2*3.1416/365*(C145+284)))))/3.1416*180)+1.49)*G145*2.02</f>
        <v>798.035840647652</v>
      </c>
      <c r="Y145" s="424" t="n">
        <f aca="false">H145</f>
        <v>10.400001</v>
      </c>
      <c r="Z145" s="424" t="n">
        <f aca="false">I145</f>
        <v>1</v>
      </c>
    </row>
    <row r="146" customFormat="false" ht="15.75" hidden="false" customHeight="false" outlineLevel="0" collapsed="false">
      <c r="B146" s="0" t="n">
        <v>1950</v>
      </c>
      <c r="C146" s="424" t="n">
        <v>145</v>
      </c>
      <c r="D146" s="0" t="n">
        <v>11.41</v>
      </c>
      <c r="E146" s="0" t="n">
        <v>22.48</v>
      </c>
      <c r="F146" s="0" t="n">
        <v>65.880005</v>
      </c>
      <c r="G146" s="0" t="n">
        <v>213</v>
      </c>
      <c r="H146" s="0" t="n">
        <v>1.2</v>
      </c>
      <c r="I146" s="0" t="n">
        <v>1</v>
      </c>
      <c r="M146" s="0" t="n">
        <f aca="false">F146/0.263*1000/1013.25/100*EXP(17.67*(D146+E146)/2/((D146+E146)/2+273.16-29.65))</f>
        <v>7.8044925114102</v>
      </c>
      <c r="R146" s="424" t="n">
        <f aca="false">B146</f>
        <v>1950</v>
      </c>
      <c r="S146" s="424" t="n">
        <f aca="false">C146</f>
        <v>145</v>
      </c>
      <c r="T146" s="424" t="n">
        <f aca="false">D146</f>
        <v>11.41</v>
      </c>
      <c r="U146" s="424" t="n">
        <f aca="false">E146</f>
        <v>22.48</v>
      </c>
      <c r="V146" s="0" t="n">
        <f aca="false">MIN(0.263*M146/1000*1013.25*100/EXP(17.67*E146/(E146+273.16-29.65)), 100)</f>
        <v>46.7147999153759</v>
      </c>
      <c r="W146" s="0" t="n">
        <f aca="false">MIN(0.263*M146/1000*1013.25*100/EXP(17.67*D146/(D146+273.16-29.65)), 100)</f>
        <v>94.3053055617126</v>
      </c>
      <c r="X146" s="0" t="n">
        <f aca="false">(198.58*(1/(2/15*ACOS(-TAN(3.1416/180*$L$1)*TAN(3.1416/180*23.45*SIN((2*3.1416/365*(C146+284)))))/3.1416*180))^2+5.0551/(2/15*ACOS(-TAN(3.1416/180*$L$1)*TAN(3.1416/180*23.45*SIN((2*3.1416/365*(C146+284)))))/3.1416*180)+1.49)*G146*2.02</f>
        <v>1162.38392956602</v>
      </c>
      <c r="Y146" s="424" t="n">
        <f aca="false">H146</f>
        <v>1.2</v>
      </c>
      <c r="Z146" s="424" t="n">
        <f aca="false">I146</f>
        <v>1</v>
      </c>
    </row>
    <row r="147" customFormat="false" ht="15.75" hidden="false" customHeight="false" outlineLevel="0" collapsed="false">
      <c r="B147" s="0" t="n">
        <v>1950</v>
      </c>
      <c r="C147" s="424" t="n">
        <v>146</v>
      </c>
      <c r="D147" s="0" t="n">
        <v>11.7699995</v>
      </c>
      <c r="E147" s="0" t="n">
        <v>16.68</v>
      </c>
      <c r="F147" s="0" t="n">
        <v>80.18</v>
      </c>
      <c r="G147" s="0" t="n">
        <v>172</v>
      </c>
      <c r="H147" s="0" t="n">
        <v>5.1</v>
      </c>
      <c r="I147" s="0" t="n">
        <v>1</v>
      </c>
      <c r="M147" s="0" t="n">
        <f aca="false">F147/0.263*1000/1013.25/100*EXP(17.67*(D147+E147)/2/((D147+E147)/2+273.16-29.65))</f>
        <v>7.97882348292361</v>
      </c>
      <c r="R147" s="424" t="n">
        <f aca="false">B147</f>
        <v>1950</v>
      </c>
      <c r="S147" s="424" t="n">
        <f aca="false">C147</f>
        <v>146</v>
      </c>
      <c r="T147" s="424" t="n">
        <f aca="false">D147</f>
        <v>11.7699995</v>
      </c>
      <c r="U147" s="424" t="n">
        <f aca="false">E147</f>
        <v>16.68</v>
      </c>
      <c r="V147" s="0" t="n">
        <f aca="false">MIN(0.263*M147/1000*1013.25*100/EXP(17.67*E147/(E147+273.16-29.65)), 100)</f>
        <v>68.4944161231871</v>
      </c>
      <c r="W147" s="0" t="n">
        <f aca="false">MIN(0.263*M147/1000*1013.25*100/EXP(17.67*D147/(D147+273.16-29.65)), 100)</f>
        <v>94.1440193826104</v>
      </c>
      <c r="X147" s="0" t="n">
        <f aca="false">(198.58*(1/(2/15*ACOS(-TAN(3.1416/180*$L$1)*TAN(3.1416/180*23.45*SIN((2*3.1416/365*(C147+284)))))/3.1416*180))^2+5.0551/(2/15*ACOS(-TAN(3.1416/180*$L$1)*TAN(3.1416/180*23.45*SIN((2*3.1416/365*(C147+284)))))/3.1416*180)+1.49)*G147*2.02</f>
        <v>937.178509411593</v>
      </c>
      <c r="Y147" s="424" t="n">
        <f aca="false">H147</f>
        <v>5.1</v>
      </c>
      <c r="Z147" s="424" t="n">
        <f aca="false">I147</f>
        <v>1</v>
      </c>
    </row>
    <row r="148" customFormat="false" ht="15.75" hidden="false" customHeight="false" outlineLevel="0" collapsed="false">
      <c r="B148" s="0" t="n">
        <v>1950</v>
      </c>
      <c r="C148" s="424" t="n">
        <v>147</v>
      </c>
      <c r="D148" s="0" t="n">
        <v>10.2</v>
      </c>
      <c r="E148" s="0" t="n">
        <v>17.08</v>
      </c>
      <c r="F148" s="0" t="n">
        <v>90.595</v>
      </c>
      <c r="G148" s="0" t="n">
        <v>159</v>
      </c>
      <c r="H148" s="0" t="n">
        <v>4.5</v>
      </c>
      <c r="I148" s="0" t="n">
        <v>1</v>
      </c>
      <c r="M148" s="0" t="n">
        <f aca="false">F148/0.263*1000/1013.25/100*EXP(17.67*(D148+E148)/2/((D148+E148)/2+273.16-29.65))</f>
        <v>8.67926108205529</v>
      </c>
      <c r="R148" s="424" t="n">
        <f aca="false">B148</f>
        <v>1950</v>
      </c>
      <c r="S148" s="424" t="n">
        <f aca="false">C148</f>
        <v>147</v>
      </c>
      <c r="T148" s="424" t="n">
        <f aca="false">D148</f>
        <v>10.2</v>
      </c>
      <c r="U148" s="424" t="n">
        <f aca="false">E148</f>
        <v>17.08</v>
      </c>
      <c r="V148" s="0" t="n">
        <f aca="false">MIN(0.263*M148/1000*1013.25*100/EXP(17.67*E148/(E148+273.16-29.65)), 100)</f>
        <v>72.6398279602699</v>
      </c>
      <c r="W148" s="0" t="n">
        <f aca="false">MIN(0.263*M148/1000*1013.25*100/EXP(17.67*D148/(D148+273.16-29.65)), 100)</f>
        <v>100</v>
      </c>
      <c r="X148" s="0" t="n">
        <f aca="false">(198.58*(1/(2/15*ACOS(-TAN(3.1416/180*$L$1)*TAN(3.1416/180*23.45*SIN((2*3.1416/365*(C148+284)))))/3.1416*180))^2+5.0551/(2/15*ACOS(-TAN(3.1416/180*$L$1)*TAN(3.1416/180*23.45*SIN((2*3.1416/365*(C148+284)))))/3.1416*180)+1.49)*G148*2.02</f>
        <v>865.044556131063</v>
      </c>
      <c r="Y148" s="424" t="n">
        <f aca="false">H148</f>
        <v>4.5</v>
      </c>
      <c r="Z148" s="424" t="n">
        <f aca="false">I148</f>
        <v>1</v>
      </c>
    </row>
    <row r="149" customFormat="false" ht="15.75" hidden="false" customHeight="false" outlineLevel="0" collapsed="false">
      <c r="B149" s="0" t="n">
        <v>1950</v>
      </c>
      <c r="C149" s="424" t="n">
        <v>148</v>
      </c>
      <c r="D149" s="0" t="n">
        <v>10.92</v>
      </c>
      <c r="E149" s="0" t="n">
        <v>17.4</v>
      </c>
      <c r="F149" s="0" t="n">
        <v>79.1</v>
      </c>
      <c r="G149" s="0" t="n">
        <v>208</v>
      </c>
      <c r="H149" s="0" t="n">
        <v>0</v>
      </c>
      <c r="I149" s="0" t="n">
        <v>1</v>
      </c>
      <c r="M149" s="0" t="n">
        <f aca="false">F149/0.263*1000/1013.25/100*EXP(17.67*(D149+E149)/2/((D149+E149)/2+273.16-29.65))</f>
        <v>7.83827137719106</v>
      </c>
      <c r="R149" s="424" t="n">
        <f aca="false">B149</f>
        <v>1950</v>
      </c>
      <c r="S149" s="424" t="n">
        <f aca="false">C149</f>
        <v>148</v>
      </c>
      <c r="T149" s="424" t="n">
        <f aca="false">D149</f>
        <v>10.92</v>
      </c>
      <c r="U149" s="424" t="n">
        <f aca="false">E149</f>
        <v>17.4</v>
      </c>
      <c r="V149" s="0" t="n">
        <f aca="false">MIN(0.263*M149/1000*1013.25*100/EXP(17.67*E149/(E149+273.16-29.65)), 100)</f>
        <v>64.2861300506027</v>
      </c>
      <c r="W149" s="0" t="n">
        <f aca="false">MIN(0.263*M149/1000*1013.25*100/EXP(17.67*D149/(D149+273.16-29.65)), 100)</f>
        <v>97.8429131424972</v>
      </c>
      <c r="X149" s="0" t="n">
        <f aca="false">(198.58*(1/(2/15*ACOS(-TAN(3.1416/180*$L$1)*TAN(3.1416/180*23.45*SIN((2*3.1416/365*(C149+284)))))/3.1416*180))^2+5.0551/(2/15*ACOS(-TAN(3.1416/180*$L$1)*TAN(3.1416/180*23.45*SIN((2*3.1416/365*(C149+284)))))/3.1416*180)+1.49)*G149*2.02</f>
        <v>1129.99346900852</v>
      </c>
      <c r="Y149" s="424" t="n">
        <f aca="false">H149</f>
        <v>0</v>
      </c>
      <c r="Z149" s="424" t="n">
        <f aca="false">I149</f>
        <v>1</v>
      </c>
    </row>
    <row r="150" customFormat="false" ht="15.75" hidden="false" customHeight="false" outlineLevel="0" collapsed="false">
      <c r="B150" s="0" t="n">
        <v>1950</v>
      </c>
      <c r="C150" s="424" t="n">
        <v>149</v>
      </c>
      <c r="D150" s="0" t="n">
        <v>6.5899997</v>
      </c>
      <c r="E150" s="0" t="n">
        <v>20.49</v>
      </c>
      <c r="F150" s="0" t="n">
        <v>75.65</v>
      </c>
      <c r="G150" s="0" t="n">
        <v>316</v>
      </c>
      <c r="H150" s="0" t="n">
        <v>0</v>
      </c>
      <c r="I150" s="0" t="n">
        <v>1</v>
      </c>
      <c r="M150" s="0" t="n">
        <f aca="false">F150/0.263*1000/1013.25/100*EXP(17.67*(D150+E150)/2/((D150+E150)/2+273.16-29.65))</f>
        <v>7.20046263716287</v>
      </c>
      <c r="R150" s="424" t="n">
        <f aca="false">B150</f>
        <v>1950</v>
      </c>
      <c r="S150" s="424" t="n">
        <f aca="false">C150</f>
        <v>149</v>
      </c>
      <c r="T150" s="424" t="n">
        <f aca="false">D150</f>
        <v>6.5899997</v>
      </c>
      <c r="U150" s="424" t="n">
        <f aca="false">E150</f>
        <v>20.49</v>
      </c>
      <c r="V150" s="0" t="n">
        <f aca="false">MIN(0.263*M150/1000*1013.25*100/EXP(17.67*E150/(E150+273.16-29.65)), 100)</f>
        <v>48.6885675656134</v>
      </c>
      <c r="W150" s="0" t="n">
        <f aca="false">MIN(0.263*M150/1000*1013.25*100/EXP(17.67*D150/(D150+273.16-29.65)), 100)</f>
        <v>100</v>
      </c>
      <c r="X150" s="0" t="n">
        <f aca="false">(198.58*(1/(2/15*ACOS(-TAN(3.1416/180*$L$1)*TAN(3.1416/180*23.45*SIN((2*3.1416/365*(C150+284)))))/3.1416*180))^2+5.0551/(2/15*ACOS(-TAN(3.1416/180*$L$1)*TAN(3.1416/180*23.45*SIN((2*3.1416/365*(C150+284)))))/3.1416*180)+1.49)*G150*2.02</f>
        <v>1714.33171265213</v>
      </c>
      <c r="Y150" s="424" t="n">
        <f aca="false">H150</f>
        <v>0</v>
      </c>
      <c r="Z150" s="424" t="n">
        <f aca="false">I150</f>
        <v>1</v>
      </c>
    </row>
    <row r="151" customFormat="false" ht="15.75" hidden="false" customHeight="false" outlineLevel="0" collapsed="false">
      <c r="B151" s="0" t="n">
        <v>1950</v>
      </c>
      <c r="C151" s="424" t="n">
        <v>150</v>
      </c>
      <c r="D151" s="0" t="n">
        <v>11.73</v>
      </c>
      <c r="E151" s="0" t="n">
        <v>21.3</v>
      </c>
      <c r="F151" s="0" t="n">
        <v>86.03</v>
      </c>
      <c r="G151" s="0" t="n">
        <v>235</v>
      </c>
      <c r="H151" s="0" t="n">
        <v>1.7</v>
      </c>
      <c r="I151" s="0" t="n">
        <v>1</v>
      </c>
      <c r="M151" s="0" t="n">
        <f aca="false">F151/0.263*1000/1013.25/100*EXP(17.67*(D151+E151)/2/((D151+E151)/2+273.16-29.65))</f>
        <v>9.91690665341942</v>
      </c>
      <c r="R151" s="424" t="n">
        <f aca="false">B151</f>
        <v>1950</v>
      </c>
      <c r="S151" s="424" t="n">
        <f aca="false">C151</f>
        <v>150</v>
      </c>
      <c r="T151" s="424" t="n">
        <f aca="false">D151</f>
        <v>11.73</v>
      </c>
      <c r="U151" s="424" t="n">
        <f aca="false">E151</f>
        <v>21.3</v>
      </c>
      <c r="V151" s="0" t="n">
        <f aca="false">MIN(0.263*M151/1000*1013.25*100/EXP(17.67*E151/(E151+273.16-29.65)), 100)</f>
        <v>63.795713949763</v>
      </c>
      <c r="W151" s="0" t="n">
        <f aca="false">MIN(0.263*M151/1000*1013.25*100/EXP(17.67*D151/(D151+273.16-29.65)), 100)</f>
        <v>100</v>
      </c>
      <c r="X151" s="0" t="n">
        <f aca="false">(198.58*(1/(2/15*ACOS(-TAN(3.1416/180*$L$1)*TAN(3.1416/180*23.45*SIN((2*3.1416/365*(C151+284)))))/3.1416*180))^2+5.0551/(2/15*ACOS(-TAN(3.1416/180*$L$1)*TAN(3.1416/180*23.45*SIN((2*3.1416/365*(C151+284)))))/3.1416*180)+1.49)*G151*2.02</f>
        <v>1273.19496491844</v>
      </c>
      <c r="Y151" s="424" t="n">
        <f aca="false">H151</f>
        <v>1.7</v>
      </c>
      <c r="Z151" s="424" t="n">
        <f aca="false">I151</f>
        <v>1</v>
      </c>
    </row>
    <row r="152" customFormat="false" ht="15.75" hidden="false" customHeight="false" outlineLevel="0" collapsed="false">
      <c r="B152" s="0" t="n">
        <v>1950</v>
      </c>
      <c r="C152" s="424" t="n">
        <v>151</v>
      </c>
      <c r="D152" s="0" t="n">
        <v>14.179999</v>
      </c>
      <c r="E152" s="0" t="n">
        <v>22.31</v>
      </c>
      <c r="F152" s="0" t="n">
        <v>85.25</v>
      </c>
      <c r="G152" s="0" t="n">
        <v>131</v>
      </c>
      <c r="H152" s="0" t="n">
        <v>0</v>
      </c>
      <c r="I152" s="0" t="n">
        <v>1</v>
      </c>
      <c r="M152" s="0" t="n">
        <f aca="false">F152/0.263*1000/1013.25/100*EXP(17.67*(D152+E152)/2/((D152+E152)/2+273.16-29.65))</f>
        <v>10.9627243945717</v>
      </c>
      <c r="R152" s="424" t="n">
        <f aca="false">B152</f>
        <v>1950</v>
      </c>
      <c r="S152" s="424" t="n">
        <f aca="false">C152</f>
        <v>151</v>
      </c>
      <c r="T152" s="424" t="n">
        <f aca="false">D152</f>
        <v>14.179999</v>
      </c>
      <c r="U152" s="424" t="n">
        <f aca="false">E152</f>
        <v>22.31</v>
      </c>
      <c r="V152" s="0" t="n">
        <f aca="false">MIN(0.263*M152/1000*1013.25*100/EXP(17.67*E152/(E152+273.16-29.65)), 100)</f>
        <v>66.3011851884562</v>
      </c>
      <c r="W152" s="0" t="n">
        <f aca="false">MIN(0.263*M152/1000*1013.25*100/EXP(17.67*D152/(D152+273.16-29.65)), 100)</f>
        <v>100</v>
      </c>
      <c r="X152" s="0" t="n">
        <f aca="false">(198.58*(1/(2/15*ACOS(-TAN(3.1416/180*$L$1)*TAN(3.1416/180*23.45*SIN((2*3.1416/365*(C152+284)))))/3.1416*180))^2+5.0551/(2/15*ACOS(-TAN(3.1416/180*$L$1)*TAN(3.1416/180*23.45*SIN((2*3.1416/365*(C152+284)))))/3.1416*180)+1.49)*G152*2.02</f>
        <v>708.829649784277</v>
      </c>
      <c r="Y152" s="424" t="n">
        <f aca="false">H152</f>
        <v>0</v>
      </c>
      <c r="Z152" s="424" t="n">
        <f aca="false">I152</f>
        <v>1</v>
      </c>
    </row>
    <row r="153" customFormat="false" ht="15.75" hidden="false" customHeight="false" outlineLevel="0" collapsed="false">
      <c r="B153" s="0" t="n">
        <v>1950</v>
      </c>
      <c r="C153" s="424" t="n">
        <v>152</v>
      </c>
      <c r="D153" s="0" t="n">
        <v>14.24</v>
      </c>
      <c r="E153" s="0" t="n">
        <v>20.43</v>
      </c>
      <c r="F153" s="0" t="n">
        <v>87</v>
      </c>
      <c r="G153" s="0" t="n">
        <v>281</v>
      </c>
      <c r="H153" s="0" t="n">
        <v>0</v>
      </c>
      <c r="I153" s="0" t="n">
        <v>1</v>
      </c>
      <c r="M153" s="0" t="n">
        <f aca="false">F153/0.263*1000/1013.25/100*EXP(17.67*(D153+E153)/2/((D153+E153)/2+273.16-29.65))</f>
        <v>10.5642218793475</v>
      </c>
      <c r="R153" s="424" t="n">
        <f aca="false">B153</f>
        <v>1950</v>
      </c>
      <c r="S153" s="424" t="n">
        <f aca="false">C153</f>
        <v>152</v>
      </c>
      <c r="T153" s="424" t="n">
        <f aca="false">D153</f>
        <v>14.24</v>
      </c>
      <c r="U153" s="424" t="n">
        <f aca="false">E153</f>
        <v>20.43</v>
      </c>
      <c r="V153" s="0" t="n">
        <f aca="false">MIN(0.263*M153/1000*1013.25*100/EXP(17.67*E153/(E153+273.16-29.65)), 100)</f>
        <v>71.6990164951129</v>
      </c>
      <c r="W153" s="0" t="n">
        <f aca="false">MIN(0.263*M153/1000*1013.25*100/EXP(17.67*D153/(D153+273.16-29.65)), 100)</f>
        <v>100</v>
      </c>
      <c r="X153" s="0" t="n">
        <f aca="false">(198.58*(1/(2/15*ACOS(-TAN(3.1416/180*$L$1)*TAN(3.1416/180*23.45*SIN((2*3.1416/365*(C153+284)))))/3.1416*180))^2+5.0551/(2/15*ACOS(-TAN(3.1416/180*$L$1)*TAN(3.1416/180*23.45*SIN((2*3.1416/365*(C153+284)))))/3.1416*180)+1.49)*G153*2.02</f>
        <v>1518.60505654035</v>
      </c>
      <c r="Y153" s="424" t="n">
        <f aca="false">H153</f>
        <v>0</v>
      </c>
      <c r="Z153" s="424" t="n">
        <f aca="false">I153</f>
        <v>1</v>
      </c>
    </row>
    <row r="154" customFormat="false" ht="15.75" hidden="false" customHeight="false" outlineLevel="0" collapsed="false">
      <c r="B154" s="0" t="n">
        <v>1950</v>
      </c>
      <c r="C154" s="424" t="n">
        <v>153</v>
      </c>
      <c r="D154" s="0" t="n">
        <v>9.46</v>
      </c>
      <c r="E154" s="0" t="n">
        <v>24.83</v>
      </c>
      <c r="F154" s="0" t="n">
        <v>79.2</v>
      </c>
      <c r="G154" s="0" t="n">
        <v>291</v>
      </c>
      <c r="H154" s="0" t="n">
        <v>0</v>
      </c>
      <c r="I154" s="0" t="n">
        <v>1</v>
      </c>
      <c r="M154" s="0" t="n">
        <f aca="false">F154/0.263*1000/1013.25/100*EXP(17.67*(D154+E154)/2/((D154+E154)/2+273.16-29.65))</f>
        <v>9.50213886811944</v>
      </c>
      <c r="R154" s="424" t="n">
        <f aca="false">B154</f>
        <v>1950</v>
      </c>
      <c r="S154" s="424" t="n">
        <f aca="false">C154</f>
        <v>153</v>
      </c>
      <c r="T154" s="424" t="n">
        <f aca="false">D154</f>
        <v>9.46</v>
      </c>
      <c r="U154" s="424" t="n">
        <f aca="false">E154</f>
        <v>24.83</v>
      </c>
      <c r="V154" s="0" t="n">
        <f aca="false">MIN(0.263*M154/1000*1013.25*100/EXP(17.67*E154/(E154+273.16-29.65)), 100)</f>
        <v>49.3634776289197</v>
      </c>
      <c r="W154" s="0" t="n">
        <f aca="false">MIN(0.263*M154/1000*1013.25*100/EXP(17.67*D154/(D154+273.16-29.65)), 100)</f>
        <v>100</v>
      </c>
      <c r="X154" s="0" t="n">
        <f aca="false">(198.58*(1/(2/15*ACOS(-TAN(3.1416/180*$L$1)*TAN(3.1416/180*23.45*SIN((2*3.1416/365*(C154+284)))))/3.1416*180))^2+5.0551/(2/15*ACOS(-TAN(3.1416/180*$L$1)*TAN(3.1416/180*23.45*SIN((2*3.1416/365*(C154+284)))))/3.1416*180)+1.49)*G154*2.02</f>
        <v>1570.81130228592</v>
      </c>
      <c r="Y154" s="424" t="n">
        <f aca="false">H154</f>
        <v>0</v>
      </c>
      <c r="Z154" s="424" t="n">
        <f aca="false">I154</f>
        <v>1</v>
      </c>
    </row>
    <row r="155" customFormat="false" ht="15.75" hidden="false" customHeight="false" outlineLevel="0" collapsed="false">
      <c r="B155" s="0" t="n">
        <v>1950</v>
      </c>
      <c r="C155" s="424" t="n">
        <v>154</v>
      </c>
      <c r="D155" s="0" t="n">
        <v>12.469999</v>
      </c>
      <c r="E155" s="0" t="n">
        <v>28.3</v>
      </c>
      <c r="F155" s="0" t="n">
        <v>71.745</v>
      </c>
      <c r="G155" s="0" t="n">
        <v>328</v>
      </c>
      <c r="H155" s="0" t="n">
        <v>0</v>
      </c>
      <c r="I155" s="0" t="n">
        <v>1</v>
      </c>
      <c r="M155" s="0" t="n">
        <f aca="false">F155/0.263*1000/1013.25/100*EXP(17.67*(D155+E155)/2/((D155+E155)/2+273.16-29.65))</f>
        <v>10.5416512916132</v>
      </c>
      <c r="R155" s="424" t="n">
        <f aca="false">B155</f>
        <v>1950</v>
      </c>
      <c r="S155" s="424" t="n">
        <f aca="false">C155</f>
        <v>154</v>
      </c>
      <c r="T155" s="424" t="n">
        <f aca="false">D155</f>
        <v>12.469999</v>
      </c>
      <c r="U155" s="424" t="n">
        <f aca="false">E155</f>
        <v>28.3</v>
      </c>
      <c r="V155" s="0" t="n">
        <f aca="false">MIN(0.263*M155/1000*1013.25*100/EXP(17.67*E155/(E155+273.16-29.65)), 100)</f>
        <v>44.6262143027882</v>
      </c>
      <c r="W155" s="0" t="n">
        <f aca="false">MIN(0.263*M155/1000*1013.25*100/EXP(17.67*D155/(D155+273.16-29.65)), 100)</f>
        <v>100</v>
      </c>
      <c r="X155" s="0" t="n">
        <f aca="false">(198.58*(1/(2/15*ACOS(-TAN(3.1416/180*$L$1)*TAN(3.1416/180*23.45*SIN((2*3.1416/365*(C155+284)))))/3.1416*180))^2+5.0551/(2/15*ACOS(-TAN(3.1416/180*$L$1)*TAN(3.1416/180*23.45*SIN((2*3.1416/365*(C155+284)))))/3.1416*180)+1.49)*G155*2.02</f>
        <v>1768.56934027568</v>
      </c>
      <c r="Y155" s="424" t="n">
        <f aca="false">H155</f>
        <v>0</v>
      </c>
      <c r="Z155" s="424" t="n">
        <f aca="false">I155</f>
        <v>1</v>
      </c>
    </row>
    <row r="156" customFormat="false" ht="15.75" hidden="false" customHeight="false" outlineLevel="0" collapsed="false">
      <c r="B156" s="0" t="n">
        <v>1950</v>
      </c>
      <c r="C156" s="424" t="n">
        <v>155</v>
      </c>
      <c r="D156" s="0" t="n">
        <v>14.73</v>
      </c>
      <c r="E156" s="0" t="n">
        <v>31.42</v>
      </c>
      <c r="F156" s="0" t="n">
        <v>67.840004</v>
      </c>
      <c r="G156" s="0" t="n">
        <v>291</v>
      </c>
      <c r="H156" s="0" t="n">
        <v>0</v>
      </c>
      <c r="I156" s="0" t="n">
        <v>1</v>
      </c>
      <c r="M156" s="0" t="n">
        <f aca="false">F156/0.263*1000/1013.25/100*EXP(17.67*(D156+E156)/2/((D156+E156)/2+273.16-29.65))</f>
        <v>11.7504990747524</v>
      </c>
      <c r="R156" s="424" t="n">
        <f aca="false">B156</f>
        <v>1950</v>
      </c>
      <c r="S156" s="424" t="n">
        <f aca="false">C156</f>
        <v>155</v>
      </c>
      <c r="T156" s="424" t="n">
        <f aca="false">D156</f>
        <v>14.73</v>
      </c>
      <c r="U156" s="424" t="n">
        <f aca="false">E156</f>
        <v>31.42</v>
      </c>
      <c r="V156" s="0" t="n">
        <f aca="false">MIN(0.263*M156/1000*1013.25*100/EXP(17.67*E156/(E156+273.16-29.65)), 100)</f>
        <v>41.5640576350849</v>
      </c>
      <c r="W156" s="0" t="n">
        <f aca="false">MIN(0.263*M156/1000*1013.25*100/EXP(17.67*D156/(D156+273.16-29.65)), 100)</f>
        <v>100</v>
      </c>
      <c r="X156" s="0" t="n">
        <f aca="false">(198.58*(1/(2/15*ACOS(-TAN(3.1416/180*$L$1)*TAN(3.1416/180*23.45*SIN((2*3.1416/365*(C156+284)))))/3.1416*180))^2+5.0551/(2/15*ACOS(-TAN(3.1416/180*$L$1)*TAN(3.1416/180*23.45*SIN((2*3.1416/365*(C156+284)))))/3.1416*180)+1.49)*G156*2.02</f>
        <v>1567.4125263488</v>
      </c>
      <c r="Y156" s="424" t="n">
        <f aca="false">H156</f>
        <v>0</v>
      </c>
      <c r="Z156" s="424" t="n">
        <f aca="false">I156</f>
        <v>1</v>
      </c>
    </row>
    <row r="157" customFormat="false" ht="15.75" hidden="false" customHeight="false" outlineLevel="0" collapsed="false">
      <c r="B157" s="0" t="n">
        <v>1950</v>
      </c>
      <c r="C157" s="424" t="n">
        <v>156</v>
      </c>
      <c r="D157" s="0" t="n">
        <v>17.17</v>
      </c>
      <c r="E157" s="0" t="n">
        <v>29.89</v>
      </c>
      <c r="F157" s="0" t="n">
        <v>73.4</v>
      </c>
      <c r="G157" s="0" t="n">
        <v>281</v>
      </c>
      <c r="H157" s="0" t="n">
        <v>0</v>
      </c>
      <c r="I157" s="0" t="n">
        <v>1</v>
      </c>
      <c r="M157" s="0" t="n">
        <f aca="false">F157/0.263*1000/1013.25/100*EXP(17.67*(D157+E157)/2/((D157+E157)/2+273.16-29.65))</f>
        <v>13.0680310178664</v>
      </c>
      <c r="R157" s="424" t="n">
        <f aca="false">B157</f>
        <v>1950</v>
      </c>
      <c r="S157" s="424" t="n">
        <f aca="false">C157</f>
        <v>156</v>
      </c>
      <c r="T157" s="424" t="n">
        <f aca="false">D157</f>
        <v>17.17</v>
      </c>
      <c r="U157" s="424" t="n">
        <f aca="false">E157</f>
        <v>29.89</v>
      </c>
      <c r="V157" s="0" t="n">
        <f aca="false">MIN(0.263*M157/1000*1013.25*100/EXP(17.67*E157/(E157+273.16-29.65)), 100)</f>
        <v>50.4555534660631</v>
      </c>
      <c r="W157" s="0" t="n">
        <f aca="false">MIN(0.263*M157/1000*1013.25*100/EXP(17.67*D157/(D157+273.16-29.65)), 100)</f>
        <v>100</v>
      </c>
      <c r="X157" s="0" t="n">
        <f aca="false">(198.58*(1/(2/15*ACOS(-TAN(3.1416/180*$L$1)*TAN(3.1416/180*23.45*SIN((2*3.1416/365*(C157+284)))))/3.1416*180))^2+5.0551/(2/15*ACOS(-TAN(3.1416/180*$L$1)*TAN(3.1416/180*23.45*SIN((2*3.1416/365*(C157+284)))))/3.1416*180)+1.49)*G157*2.02</f>
        <v>1512.04151313472</v>
      </c>
      <c r="Y157" s="424" t="n">
        <f aca="false">H157</f>
        <v>0</v>
      </c>
      <c r="Z157" s="424" t="n">
        <f aca="false">I157</f>
        <v>1</v>
      </c>
    </row>
    <row r="158" customFormat="false" ht="15.75" hidden="false" customHeight="false" outlineLevel="0" collapsed="false">
      <c r="B158" s="0" t="n">
        <v>1950</v>
      </c>
      <c r="C158" s="424" t="n">
        <v>157</v>
      </c>
      <c r="D158" s="0" t="n">
        <v>15.73</v>
      </c>
      <c r="E158" s="0" t="n">
        <v>21.57</v>
      </c>
      <c r="F158" s="0" t="n">
        <v>85.755005</v>
      </c>
      <c r="G158" s="0" t="n">
        <v>169</v>
      </c>
      <c r="H158" s="0" t="n">
        <v>0</v>
      </c>
      <c r="I158" s="0" t="n">
        <v>1</v>
      </c>
      <c r="M158" s="0" t="n">
        <f aca="false">F158/0.263*1000/1013.25/100*EXP(17.67*(D158+E158)/2/((D158+E158)/2+273.16-29.65))</f>
        <v>11.311298801786</v>
      </c>
      <c r="R158" s="424" t="n">
        <f aca="false">B158</f>
        <v>1950</v>
      </c>
      <c r="S158" s="424" t="n">
        <f aca="false">C158</f>
        <v>157</v>
      </c>
      <c r="T158" s="424" t="n">
        <f aca="false">D158</f>
        <v>15.73</v>
      </c>
      <c r="U158" s="424" t="n">
        <f aca="false">E158</f>
        <v>21.57</v>
      </c>
      <c r="V158" s="0" t="n">
        <f aca="false">MIN(0.263*M158/1000*1013.25*100/EXP(17.67*E158/(E158+273.16-29.65)), 100)</f>
        <v>71.5714884856058</v>
      </c>
      <c r="W158" s="0" t="n">
        <f aca="false">MIN(0.263*M158/1000*1013.25*100/EXP(17.67*D158/(D158+273.16-29.65)), 100)</f>
        <v>100</v>
      </c>
      <c r="X158" s="0" t="n">
        <f aca="false">(198.58*(1/(2/15*ACOS(-TAN(3.1416/180*$L$1)*TAN(3.1416/180*23.45*SIN((2*3.1416/365*(C158+284)))))/3.1416*180))^2+5.0551/(2/15*ACOS(-TAN(3.1416/180*$L$1)*TAN(3.1416/180*23.45*SIN((2*3.1416/365*(C158+284)))))/3.1416*180)+1.49)*G158*2.02</f>
        <v>908.523777308025</v>
      </c>
      <c r="Y158" s="424" t="n">
        <f aca="false">H158</f>
        <v>0</v>
      </c>
      <c r="Z158" s="424" t="n">
        <f aca="false">I158</f>
        <v>1</v>
      </c>
    </row>
    <row r="159" customFormat="false" ht="15.75" hidden="false" customHeight="false" outlineLevel="0" collapsed="false">
      <c r="B159" s="0" t="n">
        <v>1950</v>
      </c>
      <c r="C159" s="424" t="n">
        <v>158</v>
      </c>
      <c r="D159" s="0" t="n">
        <v>15.29</v>
      </c>
      <c r="E159" s="0" t="n">
        <v>27.23</v>
      </c>
      <c r="F159" s="0" t="n">
        <v>76.385</v>
      </c>
      <c r="G159" s="0" t="n">
        <v>294</v>
      </c>
      <c r="H159" s="0" t="n">
        <v>0</v>
      </c>
      <c r="I159" s="0" t="n">
        <v>1</v>
      </c>
      <c r="M159" s="0" t="n">
        <f aca="false">F159/0.263*1000/1013.25/100*EXP(17.67*(D159+E159)/2/((D159+E159)/2+273.16-29.65))</f>
        <v>11.8447722521751</v>
      </c>
      <c r="R159" s="424" t="n">
        <f aca="false">B159</f>
        <v>1950</v>
      </c>
      <c r="S159" s="424" t="n">
        <f aca="false">C159</f>
        <v>158</v>
      </c>
      <c r="T159" s="424" t="n">
        <f aca="false">D159</f>
        <v>15.29</v>
      </c>
      <c r="U159" s="424" t="n">
        <f aca="false">E159</f>
        <v>27.23</v>
      </c>
      <c r="V159" s="0" t="n">
        <f aca="false">MIN(0.263*M159/1000*1013.25*100/EXP(17.67*E159/(E159+273.16-29.65)), 100)</f>
        <v>53.3800514126531</v>
      </c>
      <c r="W159" s="0" t="n">
        <f aca="false">MIN(0.263*M159/1000*1013.25*100/EXP(17.67*D159/(D159+273.16-29.65)), 100)</f>
        <v>100</v>
      </c>
      <c r="X159" s="0" t="n">
        <f aca="false">(198.58*(1/(2/15*ACOS(-TAN(3.1416/180*$L$1)*TAN(3.1416/180*23.45*SIN((2*3.1416/365*(C159+284)))))/3.1416*180))^2+5.0551/(2/15*ACOS(-TAN(3.1416/180*$L$1)*TAN(3.1416/180*23.45*SIN((2*3.1416/365*(C159+284)))))/3.1416*180)+1.49)*G159*2.02</f>
        <v>1579.11724529704</v>
      </c>
      <c r="Y159" s="424" t="n">
        <f aca="false">H159</f>
        <v>0</v>
      </c>
      <c r="Z159" s="424" t="n">
        <f aca="false">I159</f>
        <v>1</v>
      </c>
    </row>
    <row r="160" customFormat="false" ht="15.75" hidden="false" customHeight="false" outlineLevel="0" collapsed="false">
      <c r="B160" s="0" t="n">
        <v>1950</v>
      </c>
      <c r="C160" s="424" t="n">
        <v>159</v>
      </c>
      <c r="D160" s="0" t="n">
        <v>15.7</v>
      </c>
      <c r="E160" s="0" t="n">
        <v>28.939999</v>
      </c>
      <c r="F160" s="0" t="n">
        <v>60.615</v>
      </c>
      <c r="G160" s="0" t="n">
        <v>306</v>
      </c>
      <c r="H160" s="0" t="n">
        <v>0</v>
      </c>
      <c r="I160" s="0" t="n">
        <v>1</v>
      </c>
      <c r="M160" s="0" t="n">
        <f aca="false">F160/0.263*1000/1013.25/100*EXP(17.67*(D160+E160)/2/((D160+E160)/2+273.16-29.65))</f>
        <v>10.0286333093871</v>
      </c>
      <c r="R160" s="424" t="n">
        <f aca="false">B160</f>
        <v>1950</v>
      </c>
      <c r="S160" s="424" t="n">
        <f aca="false">C160</f>
        <v>159</v>
      </c>
      <c r="T160" s="424" t="n">
        <f aca="false">D160</f>
        <v>15.7</v>
      </c>
      <c r="U160" s="424" t="n">
        <f aca="false">E160</f>
        <v>28.939999</v>
      </c>
      <c r="V160" s="0" t="n">
        <f aca="false">MIN(0.263*M160/1000*1013.25*100/EXP(17.67*E160/(E160+273.16-29.65)), 100)</f>
        <v>40.9047217703355</v>
      </c>
      <c r="W160" s="0" t="n">
        <f aca="false">MIN(0.263*M160/1000*1013.25*100/EXP(17.67*D160/(D160+273.16-29.65)), 100)</f>
        <v>91.6455296434563</v>
      </c>
      <c r="X160" s="0" t="n">
        <f aca="false">(198.58*(1/(2/15*ACOS(-TAN(3.1416/180*$L$1)*TAN(3.1416/180*23.45*SIN((2*3.1416/365*(C160+284)))))/3.1416*180))^2+5.0551/(2/15*ACOS(-TAN(3.1416/180*$L$1)*TAN(3.1416/180*23.45*SIN((2*3.1416/365*(C160+284)))))/3.1416*180)+1.49)*G160*2.02</f>
        <v>1642.21986228096</v>
      </c>
      <c r="Y160" s="424" t="n">
        <f aca="false">H160</f>
        <v>0</v>
      </c>
      <c r="Z160" s="424" t="n">
        <f aca="false">I160</f>
        <v>1</v>
      </c>
    </row>
    <row r="161" customFormat="false" ht="15.75" hidden="false" customHeight="false" outlineLevel="0" collapsed="false">
      <c r="B161" s="0" t="n">
        <v>1950</v>
      </c>
      <c r="C161" s="424" t="n">
        <v>160</v>
      </c>
      <c r="D161" s="0" t="n">
        <v>14.48</v>
      </c>
      <c r="E161" s="0" t="n">
        <v>30.359999</v>
      </c>
      <c r="F161" s="0" t="n">
        <v>67.85</v>
      </c>
      <c r="G161" s="0" t="n">
        <v>309</v>
      </c>
      <c r="H161" s="0" t="n">
        <v>0</v>
      </c>
      <c r="I161" s="0" t="n">
        <v>1</v>
      </c>
      <c r="M161" s="0" t="n">
        <f aca="false">F161/0.263*1000/1013.25/100*EXP(17.67*(D161+E161)/2/((D161+E161)/2+273.16-29.65))</f>
        <v>11.2941854723184</v>
      </c>
      <c r="R161" s="424" t="n">
        <f aca="false">B161</f>
        <v>1950</v>
      </c>
      <c r="S161" s="424" t="n">
        <f aca="false">C161</f>
        <v>160</v>
      </c>
      <c r="T161" s="424" t="n">
        <f aca="false">D161</f>
        <v>14.48</v>
      </c>
      <c r="U161" s="424" t="n">
        <f aca="false">E161</f>
        <v>30.359999</v>
      </c>
      <c r="V161" s="0" t="n">
        <f aca="false">MIN(0.263*M161/1000*1013.25*100/EXP(17.67*E161/(E161+273.16-29.65)), 100)</f>
        <v>42.444742752333</v>
      </c>
      <c r="W161" s="0" t="n">
        <f aca="false">MIN(0.263*M161/1000*1013.25*100/EXP(17.67*D161/(D161+273.16-29.65)), 100)</f>
        <v>100</v>
      </c>
      <c r="X161" s="0" t="n">
        <f aca="false">(198.58*(1/(2/15*ACOS(-TAN(3.1416/180*$L$1)*TAN(3.1416/180*23.45*SIN((2*3.1416/365*(C161+284)))))/3.1416*180))^2+5.0551/(2/15*ACOS(-TAN(3.1416/180*$L$1)*TAN(3.1416/180*23.45*SIN((2*3.1416/365*(C161+284)))))/3.1416*180)+1.49)*G161*2.02</f>
        <v>1657.05403655668</v>
      </c>
      <c r="Y161" s="424" t="n">
        <f aca="false">H161</f>
        <v>0</v>
      </c>
      <c r="Z161" s="424" t="n">
        <f aca="false">I161</f>
        <v>1</v>
      </c>
    </row>
    <row r="162" customFormat="false" ht="15.75" hidden="false" customHeight="false" outlineLevel="0" collapsed="false">
      <c r="B162" s="0" t="n">
        <v>1950</v>
      </c>
      <c r="C162" s="424" t="n">
        <v>161</v>
      </c>
      <c r="D162" s="0" t="n">
        <v>18</v>
      </c>
      <c r="E162" s="0" t="n">
        <v>31.25</v>
      </c>
      <c r="F162" s="0" t="n">
        <v>64.090004</v>
      </c>
      <c r="G162" s="0" t="n">
        <v>289</v>
      </c>
      <c r="H162" s="0" t="n">
        <v>0</v>
      </c>
      <c r="I162" s="0" t="n">
        <v>1</v>
      </c>
      <c r="M162" s="0" t="n">
        <f aca="false">F162/0.263*1000/1013.25/100*EXP(17.67*(D162+E162)/2/((D162+E162)/2+273.16-29.65))</f>
        <v>12.1865772403463</v>
      </c>
      <c r="R162" s="424" t="n">
        <f aca="false">B162</f>
        <v>1950</v>
      </c>
      <c r="S162" s="424" t="n">
        <f aca="false">C162</f>
        <v>161</v>
      </c>
      <c r="T162" s="424" t="n">
        <f aca="false">D162</f>
        <v>18</v>
      </c>
      <c r="U162" s="424" t="n">
        <f aca="false">E162</f>
        <v>31.25</v>
      </c>
      <c r="V162" s="0" t="n">
        <f aca="false">MIN(0.263*M162/1000*1013.25*100/EXP(17.67*E162/(E162+273.16-29.65)), 100)</f>
        <v>43.5260048755228</v>
      </c>
      <c r="W162" s="0" t="n">
        <f aca="false">MIN(0.263*M162/1000*1013.25*100/EXP(17.67*D162/(D162+273.16-29.65)), 100)</f>
        <v>96.2378686160307</v>
      </c>
      <c r="X162" s="0" t="n">
        <f aca="false">(198.58*(1/(2/15*ACOS(-TAN(3.1416/180*$L$1)*TAN(3.1416/180*23.45*SIN((2*3.1416/365*(C162+284)))))/3.1416*180))^2+5.0551/(2/15*ACOS(-TAN(3.1416/180*$L$1)*TAN(3.1416/180*23.45*SIN((2*3.1416/365*(C162+284)))))/3.1416*180)+1.49)*G162*2.02</f>
        <v>1548.70945144443</v>
      </c>
      <c r="Y162" s="424" t="n">
        <f aca="false">H162</f>
        <v>0</v>
      </c>
      <c r="Z162" s="424" t="n">
        <f aca="false">I162</f>
        <v>1</v>
      </c>
    </row>
    <row r="163" customFormat="false" ht="15.75" hidden="false" customHeight="false" outlineLevel="0" collapsed="false">
      <c r="B163" s="0" t="n">
        <v>1950</v>
      </c>
      <c r="C163" s="424" t="n">
        <v>162</v>
      </c>
      <c r="D163" s="0" t="n">
        <v>17.19</v>
      </c>
      <c r="E163" s="0" t="n">
        <v>28.72</v>
      </c>
      <c r="F163" s="0" t="n">
        <v>74.485</v>
      </c>
      <c r="G163" s="0" t="n">
        <v>328</v>
      </c>
      <c r="H163" s="0" t="n">
        <v>3.5</v>
      </c>
      <c r="I163" s="0" t="n">
        <v>1</v>
      </c>
      <c r="M163" s="0" t="n">
        <f aca="false">F163/0.263*1000/1013.25/100*EXP(17.67*(D163+E163)/2/((D163+E163)/2+273.16-29.65))</f>
        <v>12.8080348104279</v>
      </c>
      <c r="R163" s="424" t="n">
        <f aca="false">B163</f>
        <v>1950</v>
      </c>
      <c r="S163" s="424" t="n">
        <f aca="false">C163</f>
        <v>162</v>
      </c>
      <c r="T163" s="424" t="n">
        <f aca="false">D163</f>
        <v>17.19</v>
      </c>
      <c r="U163" s="424" t="n">
        <f aca="false">E163</f>
        <v>28.72</v>
      </c>
      <c r="V163" s="0" t="n">
        <f aca="false">MIN(0.263*M163/1000*1013.25*100/EXP(17.67*E163/(E163+273.16-29.65)), 100)</f>
        <v>52.912352592982</v>
      </c>
      <c r="W163" s="0" t="n">
        <f aca="false">MIN(0.263*M163/1000*1013.25*100/EXP(17.67*D163/(D163+273.16-29.65)), 100)</f>
        <v>100</v>
      </c>
      <c r="X163" s="0" t="n">
        <f aca="false">(198.58*(1/(2/15*ACOS(-TAN(3.1416/180*$L$1)*TAN(3.1416/180*23.45*SIN((2*3.1416/365*(C163+284)))))/3.1416*180))^2+5.0551/(2/15*ACOS(-TAN(3.1416/180*$L$1)*TAN(3.1416/180*23.45*SIN((2*3.1416/365*(C163+284)))))/3.1416*180)+1.49)*G163*2.02</f>
        <v>1756.57040443127</v>
      </c>
      <c r="Y163" s="424" t="n">
        <f aca="false">H163</f>
        <v>3.5</v>
      </c>
      <c r="Z163" s="424" t="n">
        <f aca="false">I163</f>
        <v>1</v>
      </c>
    </row>
    <row r="164" customFormat="false" ht="15.75" hidden="false" customHeight="false" outlineLevel="0" collapsed="false">
      <c r="B164" s="0" t="n">
        <v>1950</v>
      </c>
      <c r="C164" s="424" t="n">
        <v>163</v>
      </c>
      <c r="D164" s="0" t="n">
        <v>17.279999</v>
      </c>
      <c r="E164" s="0" t="n">
        <v>27.07</v>
      </c>
      <c r="F164" s="0" t="n">
        <v>79.165</v>
      </c>
      <c r="G164" s="0" t="n">
        <v>322</v>
      </c>
      <c r="H164" s="0" t="n">
        <v>0</v>
      </c>
      <c r="I164" s="0" t="n">
        <v>1</v>
      </c>
      <c r="M164" s="0" t="n">
        <f aca="false">F164/0.263*1000/1013.25/100*EXP(17.67*(D164+E164)/2/((D164+E164)/2+273.16-29.65))</f>
        <v>12.9825009632383</v>
      </c>
      <c r="R164" s="424" t="n">
        <f aca="false">B164</f>
        <v>1950</v>
      </c>
      <c r="S164" s="424" t="n">
        <f aca="false">C164</f>
        <v>163</v>
      </c>
      <c r="T164" s="424" t="n">
        <f aca="false">D164</f>
        <v>17.279999</v>
      </c>
      <c r="U164" s="424" t="n">
        <f aca="false">E164</f>
        <v>27.07</v>
      </c>
      <c r="V164" s="0" t="n">
        <f aca="false">MIN(0.263*M164/1000*1013.25*100/EXP(17.67*E164/(E164+273.16-29.65)), 100)</f>
        <v>59.0598092594539</v>
      </c>
      <c r="W164" s="0" t="n">
        <f aca="false">MIN(0.263*M164/1000*1013.25*100/EXP(17.67*D164/(D164+273.16-29.65)), 100)</f>
        <v>100</v>
      </c>
      <c r="X164" s="0" t="n">
        <f aca="false">(198.58*(1/(2/15*ACOS(-TAN(3.1416/180*$L$1)*TAN(3.1416/180*23.45*SIN((2*3.1416/365*(C164+284)))))/3.1416*180))^2+5.0551/(2/15*ACOS(-TAN(3.1416/180*$L$1)*TAN(3.1416/180*23.45*SIN((2*3.1416/365*(C164+284)))))/3.1416*180)+1.49)*G164*2.02</f>
        <v>1723.42738947775</v>
      </c>
      <c r="Y164" s="424" t="n">
        <f aca="false">H164</f>
        <v>0</v>
      </c>
      <c r="Z164" s="424" t="n">
        <f aca="false">I164</f>
        <v>1</v>
      </c>
    </row>
    <row r="165" customFormat="false" ht="15.75" hidden="false" customHeight="false" outlineLevel="0" collapsed="false">
      <c r="B165" s="0" t="n">
        <v>1950</v>
      </c>
      <c r="C165" s="424" t="n">
        <v>164</v>
      </c>
      <c r="D165" s="0" t="n">
        <v>13.65</v>
      </c>
      <c r="E165" s="0" t="n">
        <v>26.14</v>
      </c>
      <c r="F165" s="0" t="n">
        <v>78.340004</v>
      </c>
      <c r="G165" s="0" t="n">
        <v>250</v>
      </c>
      <c r="H165" s="0" t="n">
        <v>0</v>
      </c>
      <c r="I165" s="0" t="n">
        <v>1</v>
      </c>
      <c r="M165" s="0" t="n">
        <f aca="false">F165/0.263*1000/1013.25/100*EXP(17.67*(D165+E165)/2/((D165+E165)/2+273.16-29.65))</f>
        <v>11.1667757494918</v>
      </c>
      <c r="R165" s="424" t="n">
        <f aca="false">B165</f>
        <v>1950</v>
      </c>
      <c r="S165" s="424" t="n">
        <f aca="false">C165</f>
        <v>164</v>
      </c>
      <c r="T165" s="424" t="n">
        <f aca="false">D165</f>
        <v>13.65</v>
      </c>
      <c r="U165" s="424" t="n">
        <f aca="false">E165</f>
        <v>26.14</v>
      </c>
      <c r="V165" s="0" t="n">
        <f aca="false">MIN(0.263*M165/1000*1013.25*100/EXP(17.67*E165/(E165+273.16-29.65)), 100)</f>
        <v>53.6636890450837</v>
      </c>
      <c r="W165" s="0" t="n">
        <f aca="false">MIN(0.263*M165/1000*1013.25*100/EXP(17.67*D165/(D165+273.16-29.65)), 100)</f>
        <v>100</v>
      </c>
      <c r="X165" s="0" t="n">
        <f aca="false">(198.58*(1/(2/15*ACOS(-TAN(3.1416/180*$L$1)*TAN(3.1416/180*23.45*SIN((2*3.1416/365*(C165+284)))))/3.1416*180))^2+5.0551/(2/15*ACOS(-TAN(3.1416/180*$L$1)*TAN(3.1416/180*23.45*SIN((2*3.1416/365*(C165+284)))))/3.1416*180)+1.49)*G165*2.02</f>
        <v>1337.360229368</v>
      </c>
      <c r="Y165" s="424" t="n">
        <f aca="false">H165</f>
        <v>0</v>
      </c>
      <c r="Z165" s="424" t="n">
        <f aca="false">I165</f>
        <v>1</v>
      </c>
    </row>
    <row r="166" customFormat="false" ht="15.75" hidden="false" customHeight="false" outlineLevel="0" collapsed="false">
      <c r="B166" s="0" t="n">
        <v>1950</v>
      </c>
      <c r="C166" s="424" t="n">
        <v>165</v>
      </c>
      <c r="D166" s="0" t="n">
        <v>14.21</v>
      </c>
      <c r="E166" s="0" t="n">
        <v>27.539999</v>
      </c>
      <c r="F166" s="0" t="n">
        <v>74.665</v>
      </c>
      <c r="G166" s="0" t="n">
        <v>251</v>
      </c>
      <c r="H166" s="0" t="n">
        <v>3.5</v>
      </c>
      <c r="I166" s="0" t="n">
        <v>1</v>
      </c>
      <c r="M166" s="0" t="n">
        <f aca="false">F166/0.263*1000/1013.25/100*EXP(17.67*(D166+E166)/2/((D166+E166)/2+273.16-29.65))</f>
        <v>11.3072777931779</v>
      </c>
      <c r="R166" s="424" t="n">
        <f aca="false">B166</f>
        <v>1950</v>
      </c>
      <c r="S166" s="424" t="n">
        <f aca="false">C166</f>
        <v>165</v>
      </c>
      <c r="T166" s="424" t="n">
        <f aca="false">D166</f>
        <v>14.21</v>
      </c>
      <c r="U166" s="424" t="n">
        <f aca="false">E166</f>
        <v>27.539999</v>
      </c>
      <c r="V166" s="0" t="n">
        <f aca="false">MIN(0.263*M166/1000*1013.25*100/EXP(17.67*E166/(E166+273.16-29.65)), 100)</f>
        <v>50.0398907907062</v>
      </c>
      <c r="W166" s="0" t="n">
        <f aca="false">MIN(0.263*M166/1000*1013.25*100/EXP(17.67*D166/(D166+273.16-29.65)), 100)</f>
        <v>100</v>
      </c>
      <c r="X166" s="0" t="n">
        <f aca="false">(198.58*(1/(2/15*ACOS(-TAN(3.1416/180*$L$1)*TAN(3.1416/180*23.45*SIN((2*3.1416/365*(C166+284)))))/3.1416*180))^2+5.0551/(2/15*ACOS(-TAN(3.1416/180*$L$1)*TAN(3.1416/180*23.45*SIN((2*3.1416/365*(C166+284)))))/3.1416*180)+1.49)*G166*2.02</f>
        <v>1342.08290639037</v>
      </c>
      <c r="Y166" s="424" t="n">
        <f aca="false">H166</f>
        <v>3.5</v>
      </c>
      <c r="Z166" s="424" t="n">
        <f aca="false">I166</f>
        <v>1</v>
      </c>
    </row>
    <row r="167" customFormat="false" ht="15.75" hidden="false" customHeight="false" outlineLevel="0" collapsed="false">
      <c r="B167" s="0" t="n">
        <v>1950</v>
      </c>
      <c r="C167" s="424" t="n">
        <v>166</v>
      </c>
      <c r="D167" s="0" t="n">
        <v>15.87</v>
      </c>
      <c r="E167" s="0" t="n">
        <v>29.92</v>
      </c>
      <c r="F167" s="0" t="n">
        <v>79.085</v>
      </c>
      <c r="G167" s="0" t="n">
        <v>279</v>
      </c>
      <c r="H167" s="0" t="n">
        <v>2.6000001</v>
      </c>
      <c r="I167" s="0" t="n">
        <v>1</v>
      </c>
      <c r="M167" s="0" t="n">
        <f aca="false">F167/0.263*1000/1013.25/100*EXP(17.67*(D167+E167)/2/((D167+E167)/2+273.16-29.65))</f>
        <v>13.5496583373441</v>
      </c>
      <c r="R167" s="424" t="n">
        <f aca="false">B167</f>
        <v>1950</v>
      </c>
      <c r="S167" s="424" t="n">
        <f aca="false">C167</f>
        <v>166</v>
      </c>
      <c r="T167" s="424" t="n">
        <f aca="false">D167</f>
        <v>15.87</v>
      </c>
      <c r="U167" s="424" t="n">
        <f aca="false">E167</f>
        <v>29.92</v>
      </c>
      <c r="V167" s="0" t="n">
        <f aca="false">MIN(0.263*M167/1000*1013.25*100/EXP(17.67*E167/(E167+273.16-29.65)), 100)</f>
        <v>52.2248550651265</v>
      </c>
      <c r="W167" s="0" t="n">
        <f aca="false">MIN(0.263*M167/1000*1013.25*100/EXP(17.67*D167/(D167+273.16-29.65)), 100)</f>
        <v>100</v>
      </c>
      <c r="X167" s="0" t="n">
        <f aca="false">(198.58*(1/(2/15*ACOS(-TAN(3.1416/180*$L$1)*TAN(3.1416/180*23.45*SIN((2*3.1416/365*(C167+284)))))/3.1416*180))^2+5.0551/(2/15*ACOS(-TAN(3.1416/180*$L$1)*TAN(3.1416/180*23.45*SIN((2*3.1416/365*(C167+284)))))/3.1416*180)+1.49)*G167*2.02</f>
        <v>1491.19031948363</v>
      </c>
      <c r="Y167" s="424" t="n">
        <f aca="false">H167</f>
        <v>2.6000001</v>
      </c>
      <c r="Z167" s="424" t="n">
        <f aca="false">I167</f>
        <v>1</v>
      </c>
    </row>
    <row r="168" customFormat="false" ht="15.75" hidden="false" customHeight="false" outlineLevel="0" collapsed="false">
      <c r="B168" s="0" t="n">
        <v>1950</v>
      </c>
      <c r="C168" s="424" t="n">
        <v>167</v>
      </c>
      <c r="D168" s="0" t="n">
        <v>16.33</v>
      </c>
      <c r="E168" s="0" t="n">
        <v>24.859999</v>
      </c>
      <c r="F168" s="0" t="n">
        <v>82.435005</v>
      </c>
      <c r="G168" s="0" t="n">
        <v>185</v>
      </c>
      <c r="H168" s="0" t="n">
        <v>0</v>
      </c>
      <c r="I168" s="0" t="n">
        <v>1</v>
      </c>
      <c r="M168" s="0" t="n">
        <f aca="false">F168/0.263*1000/1013.25/100*EXP(17.67*(D168+E168)/2/((D168+E168)/2+273.16-29.65))</f>
        <v>12.270413645358</v>
      </c>
      <c r="R168" s="424" t="n">
        <f aca="false">B168</f>
        <v>1950</v>
      </c>
      <c r="S168" s="424" t="n">
        <f aca="false">C168</f>
        <v>167</v>
      </c>
      <c r="T168" s="424" t="n">
        <f aca="false">D168</f>
        <v>16.33</v>
      </c>
      <c r="U168" s="424" t="n">
        <f aca="false">E168</f>
        <v>24.859999</v>
      </c>
      <c r="V168" s="0" t="n">
        <f aca="false">MIN(0.263*M168/1000*1013.25*100/EXP(17.67*E168/(E168+273.16-29.65)), 100)</f>
        <v>63.6304710596569</v>
      </c>
      <c r="W168" s="0" t="n">
        <f aca="false">MIN(0.263*M168/1000*1013.25*100/EXP(17.67*D168/(D168+273.16-29.65)), 100)</f>
        <v>100</v>
      </c>
      <c r="X168" s="0" t="n">
        <f aca="false">(198.58*(1/(2/15*ACOS(-TAN(3.1416/180*$L$1)*TAN(3.1416/180*23.45*SIN((2*3.1416/365*(C168+284)))))/3.1416*180))^2+5.0551/(2/15*ACOS(-TAN(3.1416/180*$L$1)*TAN(3.1416/180*23.45*SIN((2*3.1416/365*(C168+284)))))/3.1416*180)+1.49)*G168*2.02</f>
        <v>988.439132353913</v>
      </c>
      <c r="Y168" s="424" t="n">
        <f aca="false">H168</f>
        <v>0</v>
      </c>
      <c r="Z168" s="424" t="n">
        <f aca="false">I168</f>
        <v>1</v>
      </c>
    </row>
    <row r="169" customFormat="false" ht="15.75" hidden="false" customHeight="false" outlineLevel="0" collapsed="false">
      <c r="B169" s="0" t="n">
        <v>1950</v>
      </c>
      <c r="C169" s="424" t="n">
        <v>168</v>
      </c>
      <c r="D169" s="0" t="n">
        <v>14.759999</v>
      </c>
      <c r="E169" s="0" t="n">
        <v>22.119999</v>
      </c>
      <c r="F169" s="0" t="n">
        <v>83.01</v>
      </c>
      <c r="G169" s="0" t="n">
        <v>264</v>
      </c>
      <c r="H169" s="0" t="n">
        <v>9.1</v>
      </c>
      <c r="I169" s="0" t="n">
        <v>1</v>
      </c>
      <c r="M169" s="0" t="n">
        <f aca="false">F169/0.263*1000/1013.25/100*EXP(17.67*(D169+E169)/2/((D169+E169)/2+273.16-29.65))</f>
        <v>10.8060995824249</v>
      </c>
      <c r="R169" s="424" t="n">
        <f aca="false">B169</f>
        <v>1950</v>
      </c>
      <c r="S169" s="424" t="n">
        <f aca="false">C169</f>
        <v>168</v>
      </c>
      <c r="T169" s="424" t="n">
        <f aca="false">D169</f>
        <v>14.759999</v>
      </c>
      <c r="U169" s="424" t="n">
        <f aca="false">E169</f>
        <v>22.119999</v>
      </c>
      <c r="V169" s="0" t="n">
        <f aca="false">MIN(0.263*M169/1000*1013.25*100/EXP(17.67*E169/(E169+273.16-29.65)), 100)</f>
        <v>66.1150223666948</v>
      </c>
      <c r="W169" s="0" t="n">
        <f aca="false">MIN(0.263*M169/1000*1013.25*100/EXP(17.67*D169/(D169+273.16-29.65)), 100)</f>
        <v>100</v>
      </c>
      <c r="X169" s="0" t="n">
        <f aca="false">(198.58*(1/(2/15*ACOS(-TAN(3.1416/180*$L$1)*TAN(3.1416/180*23.45*SIN((2*3.1416/365*(C169+284)))))/3.1416*180))^2+5.0551/(2/15*ACOS(-TAN(3.1416/180*$L$1)*TAN(3.1416/180*23.45*SIN((2*3.1416/365*(C169+284)))))/3.1416*180)+1.49)*G169*2.02</f>
        <v>1410.12493481298</v>
      </c>
      <c r="Y169" s="424" t="n">
        <f aca="false">H169</f>
        <v>9.1</v>
      </c>
      <c r="Z169" s="424" t="n">
        <f aca="false">I169</f>
        <v>1</v>
      </c>
    </row>
    <row r="170" customFormat="false" ht="15.75" hidden="false" customHeight="false" outlineLevel="0" collapsed="false">
      <c r="B170" s="0" t="n">
        <v>1950</v>
      </c>
      <c r="C170" s="424" t="n">
        <v>169</v>
      </c>
      <c r="D170" s="0" t="n">
        <v>10.7699995</v>
      </c>
      <c r="E170" s="0" t="n">
        <v>24.269999</v>
      </c>
      <c r="F170" s="0" t="n">
        <v>71.825005</v>
      </c>
      <c r="G170" s="0" t="n">
        <v>253</v>
      </c>
      <c r="H170" s="0" t="n">
        <v>0</v>
      </c>
      <c r="I170" s="0" t="n">
        <v>1</v>
      </c>
      <c r="M170" s="0" t="n">
        <f aca="false">F170/0.263*1000/1013.25/100*EXP(17.67*(D170+E170)/2/((D170+E170)/2+273.16-29.65))</f>
        <v>8.82411680359894</v>
      </c>
      <c r="R170" s="424" t="n">
        <f aca="false">B170</f>
        <v>1950</v>
      </c>
      <c r="S170" s="424" t="n">
        <f aca="false">C170</f>
        <v>169</v>
      </c>
      <c r="T170" s="424" t="n">
        <f aca="false">D170</f>
        <v>10.7699995</v>
      </c>
      <c r="U170" s="424" t="n">
        <f aca="false">E170</f>
        <v>24.269999</v>
      </c>
      <c r="V170" s="0" t="n">
        <f aca="false">MIN(0.263*M170/1000*1013.25*100/EXP(17.67*E170/(E170+273.16-29.65)), 100)</f>
        <v>47.4044407628333</v>
      </c>
      <c r="W170" s="0" t="n">
        <f aca="false">MIN(0.263*M170/1000*1013.25*100/EXP(17.67*D170/(D170+273.16-29.65)), 100)</f>
        <v>100</v>
      </c>
      <c r="X170" s="0" t="n">
        <f aca="false">(198.58*(1/(2/15*ACOS(-TAN(3.1416/180*$L$1)*TAN(3.1416/180*23.45*SIN((2*3.1416/365*(C170+284)))))/3.1416*180))^2+5.0551/(2/15*ACOS(-TAN(3.1416/180*$L$1)*TAN(3.1416/180*23.45*SIN((2*3.1416/365*(C170+284)))))/3.1416*180)+1.49)*G170*2.02</f>
        <v>1351.06369863809</v>
      </c>
      <c r="Y170" s="424" t="n">
        <f aca="false">H170</f>
        <v>0</v>
      </c>
      <c r="Z170" s="424" t="n">
        <f aca="false">I170</f>
        <v>1</v>
      </c>
    </row>
    <row r="171" customFormat="false" ht="15.75" hidden="false" customHeight="false" outlineLevel="0" collapsed="false">
      <c r="B171" s="0" t="n">
        <v>1950</v>
      </c>
      <c r="C171" s="424" t="n">
        <v>170</v>
      </c>
      <c r="D171" s="0" t="n">
        <v>15.089999</v>
      </c>
      <c r="E171" s="0" t="n">
        <v>28.01</v>
      </c>
      <c r="F171" s="0" t="n">
        <v>70.505005</v>
      </c>
      <c r="G171" s="0" t="n">
        <v>312</v>
      </c>
      <c r="H171" s="0" t="n">
        <v>2.5</v>
      </c>
      <c r="I171" s="0" t="n">
        <v>1</v>
      </c>
      <c r="M171" s="0" t="n">
        <f aca="false">F171/0.263*1000/1013.25/100*EXP(17.67*(D171+E171)/2/((D171+E171)/2+273.16-29.65))</f>
        <v>11.1291101218329</v>
      </c>
      <c r="R171" s="424" t="n">
        <f aca="false">B171</f>
        <v>1950</v>
      </c>
      <c r="S171" s="424" t="n">
        <f aca="false">C171</f>
        <v>170</v>
      </c>
      <c r="T171" s="424" t="n">
        <f aca="false">D171</f>
        <v>15.089999</v>
      </c>
      <c r="U171" s="424" t="n">
        <f aca="false">E171</f>
        <v>28.01</v>
      </c>
      <c r="V171" s="0" t="n">
        <f aca="false">MIN(0.263*M171/1000*1013.25*100/EXP(17.67*E171/(E171+273.16-29.65)), 100)</f>
        <v>47.9164631135911</v>
      </c>
      <c r="W171" s="0" t="n">
        <f aca="false">MIN(0.263*M171/1000*1013.25*100/EXP(17.67*D171/(D171+273.16-29.65)), 100)</f>
        <v>100</v>
      </c>
      <c r="X171" s="0" t="n">
        <f aca="false">(198.58*(1/(2/15*ACOS(-TAN(3.1416/180*$L$1)*TAN(3.1416/180*23.45*SIN((2*3.1416/365*(C171+284)))))/3.1416*180))^2+5.0551/(2/15*ACOS(-TAN(3.1416/180*$L$1)*TAN(3.1416/180*23.45*SIN((2*3.1416/365*(C171+284)))))/3.1416*180)+1.49)*G171*2.02</f>
        <v>1665.85710983311</v>
      </c>
      <c r="Y171" s="424" t="n">
        <f aca="false">H171</f>
        <v>2.5</v>
      </c>
      <c r="Z171" s="424" t="n">
        <f aca="false">I171</f>
        <v>1</v>
      </c>
    </row>
    <row r="172" customFormat="false" ht="15.75" hidden="false" customHeight="false" outlineLevel="0" collapsed="false">
      <c r="B172" s="0" t="n">
        <v>1950</v>
      </c>
      <c r="C172" s="424" t="n">
        <v>171</v>
      </c>
      <c r="D172" s="0" t="n">
        <v>16.47</v>
      </c>
      <c r="E172" s="0" t="n">
        <v>28.38</v>
      </c>
      <c r="F172" s="0" t="n">
        <v>80.130005</v>
      </c>
      <c r="G172" s="0" t="n">
        <v>228</v>
      </c>
      <c r="H172" s="0" t="n">
        <v>4.6</v>
      </c>
      <c r="I172" s="0" t="n">
        <v>1</v>
      </c>
      <c r="M172" s="0" t="n">
        <f aca="false">F172/0.263*1000/1013.25/100*EXP(17.67*(D172+E172)/2/((D172+E172)/2+273.16-29.65))</f>
        <v>13.3423511165065</v>
      </c>
      <c r="R172" s="424" t="n">
        <f aca="false">B172</f>
        <v>1950</v>
      </c>
      <c r="S172" s="424" t="n">
        <f aca="false">C172</f>
        <v>171</v>
      </c>
      <c r="T172" s="424" t="n">
        <f aca="false">D172</f>
        <v>16.47</v>
      </c>
      <c r="U172" s="424" t="n">
        <f aca="false">E172</f>
        <v>28.38</v>
      </c>
      <c r="V172" s="0" t="n">
        <f aca="false">MIN(0.263*M172/1000*1013.25*100/EXP(17.67*E172/(E172+273.16-29.65)), 100)</f>
        <v>56.2200064698863</v>
      </c>
      <c r="W172" s="0" t="n">
        <f aca="false">MIN(0.263*M172/1000*1013.25*100/EXP(17.67*D172/(D172+273.16-29.65)), 100)</f>
        <v>100</v>
      </c>
      <c r="X172" s="0" t="n">
        <f aca="false">(198.58*(1/(2/15*ACOS(-TAN(3.1416/180*$L$1)*TAN(3.1416/180*23.45*SIN((2*3.1416/365*(C172+284)))))/3.1416*180))^2+5.0551/(2/15*ACOS(-TAN(3.1416/180*$L$1)*TAN(3.1416/180*23.45*SIN((2*3.1416/365*(C172+284)))))/3.1416*180)+1.49)*G172*2.02</f>
        <v>1217.2284190484</v>
      </c>
      <c r="Y172" s="424" t="n">
        <f aca="false">H172</f>
        <v>4.6</v>
      </c>
      <c r="Z172" s="424" t="n">
        <f aca="false">I172</f>
        <v>1</v>
      </c>
    </row>
    <row r="173" customFormat="false" ht="15.75" hidden="false" customHeight="false" outlineLevel="0" collapsed="false">
      <c r="B173" s="0" t="n">
        <v>1950</v>
      </c>
      <c r="C173" s="424" t="n">
        <v>172</v>
      </c>
      <c r="D173" s="0" t="n">
        <v>14.13</v>
      </c>
      <c r="E173" s="0" t="n">
        <v>20.949999</v>
      </c>
      <c r="F173" s="0" t="n">
        <v>81.93</v>
      </c>
      <c r="G173" s="0" t="n">
        <v>261</v>
      </c>
      <c r="H173" s="0" t="n">
        <v>4.7000003</v>
      </c>
      <c r="I173" s="0" t="n">
        <v>1</v>
      </c>
      <c r="M173" s="0" t="n">
        <f aca="false">F173/0.263*1000/1013.25/100*EXP(17.67*(D173+E173)/2/((D173+E173)/2+273.16-29.65))</f>
        <v>10.0782938270472</v>
      </c>
      <c r="R173" s="424" t="n">
        <f aca="false">B173</f>
        <v>1950</v>
      </c>
      <c r="S173" s="424" t="n">
        <f aca="false">C173</f>
        <v>172</v>
      </c>
      <c r="T173" s="424" t="n">
        <f aca="false">D173</f>
        <v>14.13</v>
      </c>
      <c r="U173" s="424" t="n">
        <f aca="false">E173</f>
        <v>20.949999</v>
      </c>
      <c r="V173" s="0" t="n">
        <f aca="false">MIN(0.263*M173/1000*1013.25*100/EXP(17.67*E173/(E173+273.16-29.65)), 100)</f>
        <v>66.2432383187531</v>
      </c>
      <c r="W173" s="0" t="n">
        <f aca="false">MIN(0.263*M173/1000*1013.25*100/EXP(17.67*D173/(D173+273.16-29.65)), 100)</f>
        <v>100</v>
      </c>
      <c r="X173" s="0" t="n">
        <f aca="false">(198.58*(1/(2/15*ACOS(-TAN(3.1416/180*$L$1)*TAN(3.1416/180*23.45*SIN((2*3.1416/365*(C173+284)))))/3.1416*180))^2+5.0551/(2/15*ACOS(-TAN(3.1416/180*$L$1)*TAN(3.1416/180*23.45*SIN((2*3.1416/365*(C173+284)))))/3.1416*180)+1.49)*G173*2.02</f>
        <v>1393.34312324744</v>
      </c>
      <c r="Y173" s="424" t="n">
        <f aca="false">H173</f>
        <v>4.7000003</v>
      </c>
      <c r="Z173" s="424" t="n">
        <f aca="false">I173</f>
        <v>1</v>
      </c>
    </row>
    <row r="174" customFormat="false" ht="15.75" hidden="false" customHeight="false" outlineLevel="0" collapsed="false">
      <c r="B174" s="0" t="n">
        <v>1950</v>
      </c>
      <c r="C174" s="424" t="n">
        <v>173</v>
      </c>
      <c r="D174" s="0" t="n">
        <v>11.46</v>
      </c>
      <c r="E174" s="0" t="n">
        <v>21.47</v>
      </c>
      <c r="F174" s="0" t="n">
        <v>75.005005</v>
      </c>
      <c r="G174" s="0" t="n">
        <v>232</v>
      </c>
      <c r="H174" s="0" t="n">
        <v>0</v>
      </c>
      <c r="I174" s="0" t="n">
        <v>1</v>
      </c>
      <c r="M174" s="0" t="n">
        <f aca="false">F174/0.263*1000/1013.25/100*EXP(17.67*(D174+E174)/2/((D174+E174)/2+273.16-29.65))</f>
        <v>8.61855342895858</v>
      </c>
      <c r="R174" s="424" t="n">
        <f aca="false">B174</f>
        <v>1950</v>
      </c>
      <c r="S174" s="424" t="n">
        <f aca="false">C174</f>
        <v>173</v>
      </c>
      <c r="T174" s="424" t="n">
        <f aca="false">D174</f>
        <v>11.46</v>
      </c>
      <c r="U174" s="424" t="n">
        <f aca="false">E174</f>
        <v>21.47</v>
      </c>
      <c r="V174" s="0" t="n">
        <f aca="false">MIN(0.263*M174/1000*1013.25*100/EXP(17.67*E174/(E174+273.16-29.65)), 100)</f>
        <v>54.8684076762419</v>
      </c>
      <c r="W174" s="0" t="n">
        <f aca="false">MIN(0.263*M174/1000*1013.25*100/EXP(17.67*D174/(D174+273.16-29.65)), 100)</f>
        <v>100</v>
      </c>
      <c r="X174" s="0" t="n">
        <f aca="false">(198.58*(1/(2/15*ACOS(-TAN(3.1416/180*$L$1)*TAN(3.1416/180*23.45*SIN((2*3.1416/365*(C174+284)))))/3.1416*180))^2+5.0551/(2/15*ACOS(-TAN(3.1416/180*$L$1)*TAN(3.1416/180*23.45*SIN((2*3.1416/365*(C174+284)))))/3.1416*180)+1.49)*G174*2.02</f>
        <v>1238.54602176082</v>
      </c>
      <c r="Y174" s="424" t="n">
        <f aca="false">H174</f>
        <v>0</v>
      </c>
      <c r="Z174" s="424" t="n">
        <f aca="false">I174</f>
        <v>1</v>
      </c>
    </row>
    <row r="175" customFormat="false" ht="15.75" hidden="false" customHeight="false" outlineLevel="0" collapsed="false">
      <c r="B175" s="0" t="n">
        <v>1950</v>
      </c>
      <c r="C175" s="424" t="n">
        <v>174</v>
      </c>
      <c r="D175" s="0" t="n">
        <v>9.8</v>
      </c>
      <c r="E175" s="0" t="n">
        <v>23.15</v>
      </c>
      <c r="F175" s="0" t="n">
        <v>76.950005</v>
      </c>
      <c r="G175" s="0" t="n">
        <v>238</v>
      </c>
      <c r="H175" s="0" t="n">
        <v>0</v>
      </c>
      <c r="I175" s="0" t="n">
        <v>1</v>
      </c>
      <c r="M175" s="0" t="n">
        <f aca="false">F175/0.263*1000/1013.25/100*EXP(17.67*(D175+E175)/2/((D175+E175)/2+273.16-29.65))</f>
        <v>8.84767706086826</v>
      </c>
      <c r="R175" s="424" t="n">
        <f aca="false">B175</f>
        <v>1950</v>
      </c>
      <c r="S175" s="424" t="n">
        <f aca="false">C175</f>
        <v>174</v>
      </c>
      <c r="T175" s="424" t="n">
        <f aca="false">D175</f>
        <v>9.8</v>
      </c>
      <c r="U175" s="424" t="n">
        <f aca="false">E175</f>
        <v>23.15</v>
      </c>
      <c r="V175" s="0" t="n">
        <f aca="false">MIN(0.263*M175/1000*1013.25*100/EXP(17.67*E175/(E175+273.16-29.65)), 100)</f>
        <v>50.8495689668723</v>
      </c>
      <c r="W175" s="0" t="n">
        <f aca="false">MIN(0.263*M175/1000*1013.25*100/EXP(17.67*D175/(D175+273.16-29.65)), 100)</f>
        <v>100</v>
      </c>
      <c r="X175" s="0" t="n">
        <f aca="false">(198.58*(1/(2/15*ACOS(-TAN(3.1416/180*$L$1)*TAN(3.1416/180*23.45*SIN((2*3.1416/365*(C175+284)))))/3.1416*180))^2+5.0551/(2/15*ACOS(-TAN(3.1416/180*$L$1)*TAN(3.1416/180*23.45*SIN((2*3.1416/365*(C175+284)))))/3.1416*180)+1.49)*G175*2.02</f>
        <v>1270.67348917498</v>
      </c>
      <c r="Y175" s="424" t="n">
        <f aca="false">H175</f>
        <v>0</v>
      </c>
      <c r="Z175" s="424" t="n">
        <f aca="false">I175</f>
        <v>1</v>
      </c>
    </row>
    <row r="176" customFormat="false" ht="15.75" hidden="false" customHeight="false" outlineLevel="0" collapsed="false">
      <c r="B176" s="0" t="n">
        <v>1950</v>
      </c>
      <c r="C176" s="424" t="n">
        <v>175</v>
      </c>
      <c r="D176" s="0" t="n">
        <v>11.66</v>
      </c>
      <c r="E176" s="0" t="n">
        <v>27.18</v>
      </c>
      <c r="F176" s="0" t="n">
        <v>73.270004</v>
      </c>
      <c r="G176" s="0" t="n">
        <v>357</v>
      </c>
      <c r="H176" s="0" t="n">
        <v>0</v>
      </c>
      <c r="I176" s="0" t="n">
        <v>1</v>
      </c>
      <c r="M176" s="0" t="n">
        <f aca="false">F176/0.263*1000/1013.25/100*EXP(17.67*(D176+E176)/2/((D176+E176)/2+273.16-29.65))</f>
        <v>10.1403743786546</v>
      </c>
      <c r="R176" s="424" t="n">
        <f aca="false">B176</f>
        <v>1950</v>
      </c>
      <c r="S176" s="424" t="n">
        <f aca="false">C176</f>
        <v>175</v>
      </c>
      <c r="T176" s="424" t="n">
        <f aca="false">D176</f>
        <v>11.66</v>
      </c>
      <c r="U176" s="424" t="n">
        <f aca="false">E176</f>
        <v>27.18</v>
      </c>
      <c r="V176" s="0" t="n">
        <f aca="false">MIN(0.263*M176/1000*1013.25*100/EXP(17.67*E176/(E176+273.16-29.65)), 100)</f>
        <v>45.833305809391</v>
      </c>
      <c r="W176" s="0" t="n">
        <f aca="false">MIN(0.263*M176/1000*1013.25*100/EXP(17.67*D176/(D176+273.16-29.65)), 100)</f>
        <v>100</v>
      </c>
      <c r="X176" s="0" t="n">
        <f aca="false">(198.58*(1/(2/15*ACOS(-TAN(3.1416/180*$L$1)*TAN(3.1416/180*23.45*SIN((2*3.1416/365*(C176+284)))))/3.1416*180))^2+5.0551/(2/15*ACOS(-TAN(3.1416/180*$L$1)*TAN(3.1416/180*23.45*SIN((2*3.1416/365*(C176+284)))))/3.1416*180)+1.49)*G176*2.02</f>
        <v>1906.26959299768</v>
      </c>
      <c r="Y176" s="424" t="n">
        <f aca="false">H176</f>
        <v>0</v>
      </c>
      <c r="Z176" s="424" t="n">
        <f aca="false">I176</f>
        <v>1</v>
      </c>
    </row>
    <row r="177" customFormat="false" ht="15.75" hidden="false" customHeight="false" outlineLevel="0" collapsed="false">
      <c r="B177" s="0" t="n">
        <v>1950</v>
      </c>
      <c r="C177" s="424" t="n">
        <v>176</v>
      </c>
      <c r="D177" s="0" t="n">
        <v>13.96</v>
      </c>
      <c r="E177" s="0" t="n">
        <v>22.9</v>
      </c>
      <c r="F177" s="0" t="n">
        <v>82.335</v>
      </c>
      <c r="G177" s="0" t="n">
        <v>224</v>
      </c>
      <c r="H177" s="0" t="n">
        <v>0</v>
      </c>
      <c r="I177" s="0" t="n">
        <v>1</v>
      </c>
      <c r="M177" s="0" t="n">
        <f aca="false">F177/0.263*1000/1013.25/100*EXP(17.67*(D177+E177)/2/((D177+E177)/2+273.16-29.65))</f>
        <v>10.7115106729256</v>
      </c>
      <c r="R177" s="424" t="n">
        <f aca="false">B177</f>
        <v>1950</v>
      </c>
      <c r="S177" s="424" t="n">
        <f aca="false">C177</f>
        <v>176</v>
      </c>
      <c r="T177" s="424" t="n">
        <f aca="false">D177</f>
        <v>13.96</v>
      </c>
      <c r="U177" s="424" t="n">
        <f aca="false">E177</f>
        <v>22.9</v>
      </c>
      <c r="V177" s="0" t="n">
        <f aca="false">MIN(0.263*M177/1000*1013.25*100/EXP(17.67*E177/(E177+273.16-29.65)), 100)</f>
        <v>62.5006956675809</v>
      </c>
      <c r="W177" s="0" t="n">
        <f aca="false">MIN(0.263*M177/1000*1013.25*100/EXP(17.67*D177/(D177+273.16-29.65)), 100)</f>
        <v>100</v>
      </c>
      <c r="X177" s="0" t="n">
        <f aca="false">(198.58*(1/(2/15*ACOS(-TAN(3.1416/180*$L$1)*TAN(3.1416/180*23.45*SIN((2*3.1416/365*(C177+284)))))/3.1416*180))^2+5.0551/(2/15*ACOS(-TAN(3.1416/180*$L$1)*TAN(3.1416/180*23.45*SIN((2*3.1416/365*(C177+284)))))/3.1416*180)+1.49)*G177*2.02</f>
        <v>1196.32571672443</v>
      </c>
      <c r="Y177" s="424" t="n">
        <f aca="false">H177</f>
        <v>0</v>
      </c>
      <c r="Z177" s="424" t="n">
        <f aca="false">I177</f>
        <v>1</v>
      </c>
    </row>
    <row r="178" customFormat="false" ht="15.75" hidden="false" customHeight="false" outlineLevel="0" collapsed="false">
      <c r="B178" s="0" t="n">
        <v>1950</v>
      </c>
      <c r="C178" s="424" t="n">
        <v>177</v>
      </c>
      <c r="D178" s="0" t="n">
        <v>11.63</v>
      </c>
      <c r="E178" s="0" t="n">
        <v>25.08</v>
      </c>
      <c r="F178" s="0" t="n">
        <v>73.925</v>
      </c>
      <c r="G178" s="0" t="n">
        <v>304</v>
      </c>
      <c r="H178" s="0" t="n">
        <v>0</v>
      </c>
      <c r="I178" s="0" t="n">
        <v>1</v>
      </c>
      <c r="M178" s="0" t="n">
        <f aca="false">F178/0.263*1000/1013.25/100*EXP(17.67*(D178+E178)/2/((D178+E178)/2+273.16-29.65))</f>
        <v>9.57225648779973</v>
      </c>
      <c r="R178" s="424" t="n">
        <f aca="false">B178</f>
        <v>1950</v>
      </c>
      <c r="S178" s="424" t="n">
        <f aca="false">C178</f>
        <v>177</v>
      </c>
      <c r="T178" s="424" t="n">
        <f aca="false">D178</f>
        <v>11.63</v>
      </c>
      <c r="U178" s="424" t="n">
        <f aca="false">E178</f>
        <v>25.08</v>
      </c>
      <c r="V178" s="0" t="n">
        <f aca="false">MIN(0.263*M178/1000*1013.25*100/EXP(17.67*E178/(E178+273.16-29.65)), 100)</f>
        <v>48.9910559679556</v>
      </c>
      <c r="W178" s="0" t="n">
        <f aca="false">MIN(0.263*M178/1000*1013.25*100/EXP(17.67*D178/(D178+273.16-29.65)), 100)</f>
        <v>100</v>
      </c>
      <c r="X178" s="0" t="n">
        <f aca="false">(198.58*(1/(2/15*ACOS(-TAN(3.1416/180*$L$1)*TAN(3.1416/180*23.45*SIN((2*3.1416/365*(C178+284)))))/3.1416*180))^2+5.0551/(2/15*ACOS(-TAN(3.1416/180*$L$1)*TAN(3.1416/180*23.45*SIN((2*3.1416/365*(C178+284)))))/3.1416*180)+1.49)*G178*2.02</f>
        <v>1624.00182800955</v>
      </c>
      <c r="Y178" s="424" t="n">
        <f aca="false">H178</f>
        <v>0</v>
      </c>
      <c r="Z178" s="424" t="n">
        <f aca="false">I178</f>
        <v>1</v>
      </c>
    </row>
    <row r="179" customFormat="false" ht="15.75" hidden="false" customHeight="false" outlineLevel="0" collapsed="false">
      <c r="B179" s="0" t="n">
        <v>1950</v>
      </c>
      <c r="C179" s="424" t="n">
        <v>178</v>
      </c>
      <c r="D179" s="0" t="n">
        <v>13.9</v>
      </c>
      <c r="E179" s="0" t="n">
        <v>27.98</v>
      </c>
      <c r="F179" s="0" t="n">
        <v>69.795</v>
      </c>
      <c r="G179" s="0" t="n">
        <v>302</v>
      </c>
      <c r="H179" s="0" t="n">
        <v>0</v>
      </c>
      <c r="I179" s="0" t="n">
        <v>1</v>
      </c>
      <c r="M179" s="0" t="n">
        <f aca="false">F179/0.263*1000/1013.25/100*EXP(17.67*(D179+E179)/2/((D179+E179)/2+273.16-29.65))</f>
        <v>10.6121309570978</v>
      </c>
      <c r="R179" s="424" t="n">
        <f aca="false">B179</f>
        <v>1950</v>
      </c>
      <c r="S179" s="424" t="n">
        <f aca="false">C179</f>
        <v>178</v>
      </c>
      <c r="T179" s="424" t="n">
        <f aca="false">D179</f>
        <v>13.9</v>
      </c>
      <c r="U179" s="424" t="n">
        <f aca="false">E179</f>
        <v>27.98</v>
      </c>
      <c r="V179" s="0" t="n">
        <f aca="false">MIN(0.263*M179/1000*1013.25*100/EXP(17.67*E179/(E179+273.16-29.65)), 100)</f>
        <v>45.7706860150842</v>
      </c>
      <c r="W179" s="0" t="n">
        <f aca="false">MIN(0.263*M179/1000*1013.25*100/EXP(17.67*D179/(D179+273.16-29.65)), 100)</f>
        <v>100</v>
      </c>
      <c r="X179" s="0" t="n">
        <f aca="false">(198.58*(1/(2/15*ACOS(-TAN(3.1416/180*$L$1)*TAN(3.1416/180*23.45*SIN((2*3.1416/365*(C179+284)))))/3.1416*180))^2+5.0551/(2/15*ACOS(-TAN(3.1416/180*$L$1)*TAN(3.1416/180*23.45*SIN((2*3.1416/365*(C179+284)))))/3.1416*180)+1.49)*G179*2.02</f>
        <v>1613.82908550475</v>
      </c>
      <c r="Y179" s="424" t="n">
        <f aca="false">H179</f>
        <v>0</v>
      </c>
      <c r="Z179" s="424" t="n">
        <f aca="false">I179</f>
        <v>1</v>
      </c>
    </row>
    <row r="180" customFormat="false" ht="15.75" hidden="false" customHeight="false" outlineLevel="0" collapsed="false">
      <c r="B180" s="0" t="n">
        <v>1950</v>
      </c>
      <c r="C180" s="424" t="n">
        <v>179</v>
      </c>
      <c r="D180" s="0" t="n">
        <v>13.67</v>
      </c>
      <c r="E180" s="0" t="n">
        <v>31.56</v>
      </c>
      <c r="F180" s="0" t="n">
        <v>66.5</v>
      </c>
      <c r="G180" s="0" t="n">
        <v>316</v>
      </c>
      <c r="H180" s="0" t="n">
        <v>0</v>
      </c>
      <c r="I180" s="0" t="n">
        <v>1</v>
      </c>
      <c r="M180" s="0" t="n">
        <f aca="false">F180/0.263*1000/1013.25/100*EXP(17.67*(D180+E180)/2/((D180+E180)/2+273.16-29.65))</f>
        <v>11.2014869933034</v>
      </c>
      <c r="R180" s="424" t="n">
        <f aca="false">B180</f>
        <v>1950</v>
      </c>
      <c r="S180" s="424" t="n">
        <f aca="false">C180</f>
        <v>179</v>
      </c>
      <c r="T180" s="424" t="n">
        <f aca="false">D180</f>
        <v>13.67</v>
      </c>
      <c r="U180" s="424" t="n">
        <f aca="false">E180</f>
        <v>31.56</v>
      </c>
      <c r="V180" s="0" t="n">
        <f aca="false">MIN(0.263*M180/1000*1013.25*100/EXP(17.67*E180/(E180+273.16-29.65)), 100)</f>
        <v>39.3077249244725</v>
      </c>
      <c r="W180" s="0" t="n">
        <f aca="false">MIN(0.263*M180/1000*1013.25*100/EXP(17.67*D180/(D180+273.16-29.65)), 100)</f>
        <v>100</v>
      </c>
      <c r="X180" s="0" t="n">
        <f aca="false">(198.58*(1/(2/15*ACOS(-TAN(3.1416/180*$L$1)*TAN(3.1416/180*23.45*SIN((2*3.1416/365*(C180+284)))))/3.1416*180))^2+5.0551/(2/15*ACOS(-TAN(3.1416/180*$L$1)*TAN(3.1416/180*23.45*SIN((2*3.1416/365*(C180+284)))))/3.1416*180)+1.49)*G180*2.02</f>
        <v>1689.27926439176</v>
      </c>
      <c r="Y180" s="424" t="n">
        <f aca="false">H180</f>
        <v>0</v>
      </c>
      <c r="Z180" s="424" t="n">
        <f aca="false">I180</f>
        <v>1</v>
      </c>
    </row>
    <row r="181" customFormat="false" ht="15.75" hidden="false" customHeight="false" outlineLevel="0" collapsed="false">
      <c r="B181" s="0" t="n">
        <v>1950</v>
      </c>
      <c r="C181" s="424" t="n">
        <v>180</v>
      </c>
      <c r="D181" s="0" t="n">
        <v>17.51</v>
      </c>
      <c r="E181" s="0" t="n">
        <v>38.01</v>
      </c>
      <c r="F181" s="0" t="n">
        <v>60.47</v>
      </c>
      <c r="G181" s="0" t="n">
        <v>328</v>
      </c>
      <c r="H181" s="0" t="n">
        <v>0</v>
      </c>
      <c r="I181" s="0" t="n">
        <v>1</v>
      </c>
      <c r="M181" s="0" t="n">
        <f aca="false">F181/0.263*1000/1013.25/100*EXP(17.67*(D181+E181)/2/((D181+E181)/2+273.16-29.65))</f>
        <v>13.8411748829133</v>
      </c>
      <c r="R181" s="424" t="n">
        <f aca="false">B181</f>
        <v>1950</v>
      </c>
      <c r="S181" s="424" t="n">
        <f aca="false">C181</f>
        <v>180</v>
      </c>
      <c r="T181" s="424" t="n">
        <f aca="false">D181</f>
        <v>17.51</v>
      </c>
      <c r="U181" s="424" t="n">
        <f aca="false">E181</f>
        <v>38.01</v>
      </c>
      <c r="V181" s="0" t="n">
        <f aca="false">MIN(0.263*M181/1000*1013.25*100/EXP(17.67*E181/(E181+273.16-29.65)), 100)</f>
        <v>33.9411615858985</v>
      </c>
      <c r="W181" s="0" t="n">
        <f aca="false">MIN(0.263*M181/1000*1013.25*100/EXP(17.67*D181/(D181+273.16-29.65)), 100)</f>
        <v>100</v>
      </c>
      <c r="X181" s="0" t="n">
        <f aca="false">(198.58*(1/(2/15*ACOS(-TAN(3.1416/180*$L$1)*TAN(3.1416/180*23.45*SIN((2*3.1416/365*(C181+284)))))/3.1416*180))^2+5.0551/(2/15*ACOS(-TAN(3.1416/180*$L$1)*TAN(3.1416/180*23.45*SIN((2*3.1416/365*(C181+284)))))/3.1416*180)+1.49)*G181*2.02</f>
        <v>1754.19568075484</v>
      </c>
      <c r="Y181" s="424" t="n">
        <f aca="false">H181</f>
        <v>0</v>
      </c>
      <c r="Z181" s="424" t="n">
        <f aca="false">I181</f>
        <v>1</v>
      </c>
    </row>
    <row r="182" customFormat="false" ht="15.75" hidden="false" customHeight="false" outlineLevel="0" collapsed="false">
      <c r="B182" s="0" t="n">
        <v>1950</v>
      </c>
      <c r="C182" s="424" t="n">
        <v>181</v>
      </c>
      <c r="D182" s="0" t="n">
        <v>18.88</v>
      </c>
      <c r="E182" s="0" t="n">
        <v>26.83</v>
      </c>
      <c r="F182" s="0" t="n">
        <v>77.945</v>
      </c>
      <c r="G182" s="0" t="n">
        <v>151</v>
      </c>
      <c r="H182" s="0" t="n">
        <v>0</v>
      </c>
      <c r="I182" s="0" t="n">
        <v>1</v>
      </c>
      <c r="M182" s="0" t="n">
        <f aca="false">F182/0.263*1000/1013.25/100*EXP(17.67*(D182+E182)/2/((D182+E182)/2+273.16-29.65))</f>
        <v>13.3219906228515</v>
      </c>
      <c r="R182" s="424" t="n">
        <f aca="false">B182</f>
        <v>1950</v>
      </c>
      <c r="S182" s="424" t="n">
        <f aca="false">C182</f>
        <v>181</v>
      </c>
      <c r="T182" s="424" t="n">
        <f aca="false">D182</f>
        <v>18.88</v>
      </c>
      <c r="U182" s="424" t="n">
        <f aca="false">E182</f>
        <v>26.83</v>
      </c>
      <c r="V182" s="0" t="n">
        <f aca="false">MIN(0.263*M182/1000*1013.25*100/EXP(17.67*E182/(E182+273.16-29.65)), 100)</f>
        <v>61.4658601814665</v>
      </c>
      <c r="W182" s="0" t="n">
        <f aca="false">MIN(0.263*M182/1000*1013.25*100/EXP(17.67*D182/(D182+273.16-29.65)), 100)</f>
        <v>99.556121793644</v>
      </c>
      <c r="X182" s="0" t="n">
        <f aca="false">(198.58*(1/(2/15*ACOS(-TAN(3.1416/180*$L$1)*TAN(3.1416/180*23.45*SIN((2*3.1416/365*(C182+284)))))/3.1416*180))^2+5.0551/(2/15*ACOS(-TAN(3.1416/180*$L$1)*TAN(3.1416/180*23.45*SIN((2*3.1416/365*(C182+284)))))/3.1416*180)+1.49)*G182*2.02</f>
        <v>807.973195252464</v>
      </c>
      <c r="Y182" s="424" t="n">
        <f aca="false">H182</f>
        <v>0</v>
      </c>
      <c r="Z182" s="424" t="n">
        <f aca="false">I182</f>
        <v>1</v>
      </c>
    </row>
    <row r="183" customFormat="false" ht="15.75" hidden="false" customHeight="false" outlineLevel="0" collapsed="false">
      <c r="B183" s="0" t="n">
        <v>1950</v>
      </c>
      <c r="C183" s="424" t="n">
        <v>182</v>
      </c>
      <c r="D183" s="0" t="n">
        <v>17.779999</v>
      </c>
      <c r="E183" s="0" t="n">
        <v>27.5</v>
      </c>
      <c r="F183" s="0" t="n">
        <v>82.705</v>
      </c>
      <c r="G183" s="0" t="n">
        <v>219</v>
      </c>
      <c r="H183" s="0" t="n">
        <v>0</v>
      </c>
      <c r="I183" s="0" t="n">
        <v>1</v>
      </c>
      <c r="M183" s="0" t="n">
        <f aca="false">F183/0.263*1000/1013.25/100*EXP(17.67*(D183+E183)/2/((D183+E183)/2+273.16-29.65))</f>
        <v>13.9522857885363</v>
      </c>
      <c r="R183" s="424" t="n">
        <f aca="false">B183</f>
        <v>1950</v>
      </c>
      <c r="S183" s="424" t="n">
        <f aca="false">C183</f>
        <v>182</v>
      </c>
      <c r="T183" s="424" t="n">
        <f aca="false">D183</f>
        <v>17.779999</v>
      </c>
      <c r="U183" s="424" t="n">
        <f aca="false">E183</f>
        <v>27.5</v>
      </c>
      <c r="V183" s="0" t="n">
        <f aca="false">MIN(0.263*M183/1000*1013.25*100/EXP(17.67*E183/(E183+273.16-29.65)), 100)</f>
        <v>61.890101667792</v>
      </c>
      <c r="W183" s="0" t="n">
        <f aca="false">MIN(0.263*M183/1000*1013.25*100/EXP(17.67*D183/(D183+273.16-29.65)), 100)</f>
        <v>100</v>
      </c>
      <c r="X183" s="0" t="n">
        <f aca="false">(198.58*(1/(2/15*ACOS(-TAN(3.1416/180*$L$1)*TAN(3.1416/180*23.45*SIN((2*3.1416/365*(C183+284)))))/3.1416*180))^2+5.0551/(2/15*ACOS(-TAN(3.1416/180*$L$1)*TAN(3.1416/180*23.45*SIN((2*3.1416/365*(C183+284)))))/3.1416*180)+1.49)*G183*2.02</f>
        <v>1172.48109039754</v>
      </c>
      <c r="Y183" s="424" t="n">
        <f aca="false">H183</f>
        <v>0</v>
      </c>
      <c r="Z183" s="424" t="n">
        <f aca="false">I183</f>
        <v>1</v>
      </c>
    </row>
    <row r="184" customFormat="false" ht="15.75" hidden="false" customHeight="false" outlineLevel="0" collapsed="false">
      <c r="B184" s="0" t="n">
        <v>1950</v>
      </c>
      <c r="C184" s="424" t="n">
        <v>183</v>
      </c>
      <c r="D184" s="0" t="n">
        <v>16.49</v>
      </c>
      <c r="E184" s="0" t="n">
        <v>32.41</v>
      </c>
      <c r="F184" s="0" t="n">
        <v>75.98</v>
      </c>
      <c r="G184" s="0" t="n">
        <v>271</v>
      </c>
      <c r="H184" s="0" t="n">
        <v>16.9</v>
      </c>
      <c r="I184" s="0" t="n">
        <v>1</v>
      </c>
      <c r="M184" s="0" t="n">
        <f aca="false">F184/0.263*1000/1013.25/100*EXP(17.67*(D184+E184)/2/((D184+E184)/2+273.16-29.65))</f>
        <v>14.2968137740258</v>
      </c>
      <c r="R184" s="424" t="n">
        <f aca="false">B184</f>
        <v>1950</v>
      </c>
      <c r="S184" s="424" t="n">
        <f aca="false">C184</f>
        <v>183</v>
      </c>
      <c r="T184" s="424" t="n">
        <f aca="false">D184</f>
        <v>16.49</v>
      </c>
      <c r="U184" s="424" t="n">
        <f aca="false">E184</f>
        <v>32.41</v>
      </c>
      <c r="V184" s="0" t="n">
        <f aca="false">MIN(0.263*M184/1000*1013.25*100/EXP(17.67*E184/(E184+273.16-29.65)), 100)</f>
        <v>47.8094085797317</v>
      </c>
      <c r="W184" s="0" t="n">
        <f aca="false">MIN(0.263*M184/1000*1013.25*100/EXP(17.67*D184/(D184+273.16-29.65)), 100)</f>
        <v>100</v>
      </c>
      <c r="X184" s="0" t="n">
        <f aca="false">(198.58*(1/(2/15*ACOS(-TAN(3.1416/180*$L$1)*TAN(3.1416/180*23.45*SIN((2*3.1416/365*(C184+284)))))/3.1416*180))^2+5.0551/(2/15*ACOS(-TAN(3.1416/180*$L$1)*TAN(3.1416/180*23.45*SIN((2*3.1416/365*(C184+284)))))/3.1416*180)+1.49)*G184*2.02</f>
        <v>1451.77255791828</v>
      </c>
      <c r="Y184" s="424" t="n">
        <f aca="false">H184</f>
        <v>16.9</v>
      </c>
      <c r="Z184" s="424" t="n">
        <f aca="false">I184</f>
        <v>1</v>
      </c>
    </row>
    <row r="185" customFormat="false" ht="15.75" hidden="false" customHeight="false" outlineLevel="0" collapsed="false">
      <c r="B185" s="0" t="n">
        <v>1950</v>
      </c>
      <c r="C185" s="424" t="n">
        <v>184</v>
      </c>
      <c r="D185" s="0" t="n">
        <v>17.279999</v>
      </c>
      <c r="E185" s="0" t="n">
        <v>31.51</v>
      </c>
      <c r="F185" s="0" t="n">
        <v>68.49</v>
      </c>
      <c r="G185" s="0" t="n">
        <v>209</v>
      </c>
      <c r="H185" s="0" t="n">
        <v>0</v>
      </c>
      <c r="I185" s="0" t="n">
        <v>1</v>
      </c>
      <c r="M185" s="0" t="n">
        <f aca="false">F185/0.263*1000/1013.25/100*EXP(17.67*(D185+E185)/2/((D185+E185)/2+273.16-29.65))</f>
        <v>12.8450391510974</v>
      </c>
      <c r="R185" s="424" t="n">
        <f aca="false">B185</f>
        <v>1950</v>
      </c>
      <c r="S185" s="424" t="n">
        <f aca="false">C185</f>
        <v>184</v>
      </c>
      <c r="T185" s="424" t="n">
        <f aca="false">D185</f>
        <v>17.279999</v>
      </c>
      <c r="U185" s="424" t="n">
        <f aca="false">E185</f>
        <v>31.51</v>
      </c>
      <c r="V185" s="0" t="n">
        <f aca="false">MIN(0.263*M185/1000*1013.25*100/EXP(17.67*E185/(E185+273.16-29.65)), 100)</f>
        <v>45.2035721825662</v>
      </c>
      <c r="W185" s="0" t="n">
        <f aca="false">MIN(0.263*M185/1000*1013.25*100/EXP(17.67*D185/(D185+273.16-29.65)), 100)</f>
        <v>100</v>
      </c>
      <c r="X185" s="0" t="n">
        <f aca="false">(198.58*(1/(2/15*ACOS(-TAN(3.1416/180*$L$1)*TAN(3.1416/180*23.45*SIN((2*3.1416/365*(C185+284)))))/3.1416*180))^2+5.0551/(2/15*ACOS(-TAN(3.1416/180*$L$1)*TAN(3.1416/180*23.45*SIN((2*3.1416/365*(C185+284)))))/3.1416*180)+1.49)*G185*2.02</f>
        <v>1120.38911813581</v>
      </c>
      <c r="Y185" s="424" t="n">
        <f aca="false">H185</f>
        <v>0</v>
      </c>
      <c r="Z185" s="424" t="n">
        <f aca="false">I185</f>
        <v>1</v>
      </c>
    </row>
    <row r="186" customFormat="false" ht="15.75" hidden="false" customHeight="false" outlineLevel="0" collapsed="false">
      <c r="B186" s="0" t="n">
        <v>1950</v>
      </c>
      <c r="C186" s="424" t="n">
        <v>185</v>
      </c>
      <c r="D186" s="0" t="n">
        <v>19.58</v>
      </c>
      <c r="E186" s="0" t="n">
        <v>28.58</v>
      </c>
      <c r="F186" s="0" t="n">
        <v>84.355</v>
      </c>
      <c r="G186" s="0" t="n">
        <v>194</v>
      </c>
      <c r="H186" s="0" t="n">
        <v>1.7</v>
      </c>
      <c r="I186" s="0" t="n">
        <v>1</v>
      </c>
      <c r="M186" s="0" t="n">
        <f aca="false">F186/0.263*1000/1013.25/100*EXP(17.67*(D186+E186)/2/((D186+E186)/2+273.16-29.65))</f>
        <v>15.5241589647452</v>
      </c>
      <c r="R186" s="424" t="n">
        <f aca="false">B186</f>
        <v>1950</v>
      </c>
      <c r="S186" s="424" t="n">
        <f aca="false">C186</f>
        <v>185</v>
      </c>
      <c r="T186" s="424" t="n">
        <f aca="false">D186</f>
        <v>19.58</v>
      </c>
      <c r="U186" s="424" t="n">
        <f aca="false">E186</f>
        <v>28.58</v>
      </c>
      <c r="V186" s="0" t="n">
        <f aca="false">MIN(0.263*M186/1000*1013.25*100/EXP(17.67*E186/(E186+273.16-29.65)), 100)</f>
        <v>64.6568622148204</v>
      </c>
      <c r="W186" s="0" t="n">
        <f aca="false">MIN(0.263*M186/1000*1013.25*100/EXP(17.67*D186/(D186+273.16-29.65)), 100)</f>
        <v>100</v>
      </c>
      <c r="X186" s="0" t="n">
        <f aca="false">(198.58*(1/(2/15*ACOS(-TAN(3.1416/180*$L$1)*TAN(3.1416/180*23.45*SIN((2*3.1416/365*(C186+284)))))/3.1416*180))^2+5.0551/(2/15*ACOS(-TAN(3.1416/180*$L$1)*TAN(3.1416/180*23.45*SIN((2*3.1416/365*(C186+284)))))/3.1416*180)+1.49)*G186*2.02</f>
        <v>1040.74247032262</v>
      </c>
      <c r="Y186" s="424" t="n">
        <f aca="false">H186</f>
        <v>1.7</v>
      </c>
      <c r="Z186" s="424" t="n">
        <f aca="false">I186</f>
        <v>1</v>
      </c>
    </row>
    <row r="187" customFormat="false" ht="15.75" hidden="false" customHeight="false" outlineLevel="0" collapsed="false">
      <c r="B187" s="0" t="n">
        <v>1950</v>
      </c>
      <c r="C187" s="424" t="n">
        <v>186</v>
      </c>
      <c r="D187" s="0" t="n">
        <v>18.08</v>
      </c>
      <c r="E187" s="0" t="n">
        <v>23.869999</v>
      </c>
      <c r="F187" s="0" t="n">
        <v>78.145004</v>
      </c>
      <c r="G187" s="0" t="n">
        <v>190</v>
      </c>
      <c r="H187" s="0" t="n">
        <v>0</v>
      </c>
      <c r="I187" s="0" t="n">
        <v>1</v>
      </c>
      <c r="M187" s="0" t="n">
        <f aca="false">F187/0.263*1000/1013.25/100*EXP(17.67*(D187+E187)/2/((D187+E187)/2+273.16-29.65))</f>
        <v>11.9073357620313</v>
      </c>
      <c r="R187" s="424" t="n">
        <f aca="false">B187</f>
        <v>1950</v>
      </c>
      <c r="S187" s="424" t="n">
        <f aca="false">C187</f>
        <v>186</v>
      </c>
      <c r="T187" s="424" t="n">
        <f aca="false">D187</f>
        <v>18.08</v>
      </c>
      <c r="U187" s="424" t="n">
        <f aca="false">E187</f>
        <v>23.869999</v>
      </c>
      <c r="V187" s="0" t="n">
        <f aca="false">MIN(0.263*M187/1000*1013.25*100/EXP(17.67*E187/(E187+273.16-29.65)), 100)</f>
        <v>65.5242624827068</v>
      </c>
      <c r="W187" s="0" t="n">
        <f aca="false">MIN(0.263*M187/1000*1013.25*100/EXP(17.67*D187/(D187+273.16-29.65)), 100)</f>
        <v>93.5607112563558</v>
      </c>
      <c r="X187" s="0" t="n">
        <f aca="false">(198.58*(1/(2/15*ACOS(-TAN(3.1416/180*$L$1)*TAN(3.1416/180*23.45*SIN((2*3.1416/365*(C187+284)))))/3.1416*180))^2+5.0551/(2/15*ACOS(-TAN(3.1416/180*$L$1)*TAN(3.1416/180*23.45*SIN((2*3.1416/365*(C187+284)))))/3.1416*180)+1.49)*G187*2.02</f>
        <v>1020.09271011979</v>
      </c>
      <c r="Y187" s="424" t="n">
        <f aca="false">H187</f>
        <v>0</v>
      </c>
      <c r="Z187" s="424" t="n">
        <f aca="false">I187</f>
        <v>1</v>
      </c>
    </row>
    <row r="188" customFormat="false" ht="15.75" hidden="false" customHeight="false" outlineLevel="0" collapsed="false">
      <c r="B188" s="0" t="n">
        <v>1950</v>
      </c>
      <c r="C188" s="424" t="n">
        <v>187</v>
      </c>
      <c r="D188" s="0" t="n">
        <v>12.139999</v>
      </c>
      <c r="E188" s="0" t="n">
        <v>24.06</v>
      </c>
      <c r="F188" s="0" t="n">
        <v>79.565</v>
      </c>
      <c r="G188" s="0" t="n">
        <v>210</v>
      </c>
      <c r="H188" s="0" t="n">
        <v>0</v>
      </c>
      <c r="I188" s="0" t="n">
        <v>1</v>
      </c>
      <c r="M188" s="0" t="n">
        <f aca="false">F188/0.263*1000/1013.25/100*EXP(17.67*(D188+E188)/2/((D188+E188)/2+273.16-29.65))</f>
        <v>10.1388632140758</v>
      </c>
      <c r="R188" s="424" t="n">
        <f aca="false">B188</f>
        <v>1950</v>
      </c>
      <c r="S188" s="424" t="n">
        <f aca="false">C188</f>
        <v>187</v>
      </c>
      <c r="T188" s="424" t="n">
        <f aca="false">D188</f>
        <v>12.139999</v>
      </c>
      <c r="U188" s="424" t="n">
        <f aca="false">E188</f>
        <v>24.06</v>
      </c>
      <c r="V188" s="0" t="n">
        <f aca="false">MIN(0.263*M188/1000*1013.25*100/EXP(17.67*E188/(E188+273.16-29.65)), 100)</f>
        <v>55.1586972410513</v>
      </c>
      <c r="W188" s="0" t="n">
        <f aca="false">MIN(0.263*M188/1000*1013.25*100/EXP(17.67*D188/(D188+273.16-29.65)), 100)</f>
        <v>100</v>
      </c>
      <c r="X188" s="0" t="n">
        <f aca="false">(198.58*(1/(2/15*ACOS(-TAN(3.1416/180*$L$1)*TAN(3.1416/180*23.45*SIN((2*3.1416/365*(C188+284)))))/3.1416*180))^2+5.0551/(2/15*ACOS(-TAN(3.1416/180*$L$1)*TAN(3.1416/180*23.45*SIN((2*3.1416/365*(C188+284)))))/3.1416*180)+1.49)*G188*2.02</f>
        <v>1128.43166966105</v>
      </c>
      <c r="Y188" s="424" t="n">
        <f aca="false">H188</f>
        <v>0</v>
      </c>
      <c r="Z188" s="424" t="n">
        <f aca="false">I188</f>
        <v>1</v>
      </c>
    </row>
    <row r="189" customFormat="false" ht="15.75" hidden="false" customHeight="false" outlineLevel="0" collapsed="false">
      <c r="B189" s="0" t="n">
        <v>1950</v>
      </c>
      <c r="C189" s="424" t="n">
        <v>188</v>
      </c>
      <c r="D189" s="0" t="n">
        <v>14.28</v>
      </c>
      <c r="E189" s="0" t="n">
        <v>24.64</v>
      </c>
      <c r="F189" s="0" t="n">
        <v>73.575005</v>
      </c>
      <c r="G189" s="0" t="n">
        <v>289</v>
      </c>
      <c r="H189" s="0" t="n">
        <v>0</v>
      </c>
      <c r="I189" s="0" t="n">
        <v>1</v>
      </c>
      <c r="M189" s="0" t="n">
        <f aca="false">F189/0.263*1000/1013.25/100*EXP(17.67*(D189+E189)/2/((D189+E189)/2+273.16-29.65))</f>
        <v>10.2079641948882</v>
      </c>
      <c r="R189" s="424" t="n">
        <f aca="false">B189</f>
        <v>1950</v>
      </c>
      <c r="S189" s="424" t="n">
        <f aca="false">C189</f>
        <v>188</v>
      </c>
      <c r="T189" s="424" t="n">
        <f aca="false">D189</f>
        <v>14.28</v>
      </c>
      <c r="U189" s="424" t="n">
        <f aca="false">E189</f>
        <v>24.64</v>
      </c>
      <c r="V189" s="0" t="n">
        <f aca="false">MIN(0.263*M189/1000*1013.25*100/EXP(17.67*E189/(E189+273.16-29.65)), 100)</f>
        <v>53.6361802042184</v>
      </c>
      <c r="W189" s="0" t="n">
        <f aca="false">MIN(0.263*M189/1000*1013.25*100/EXP(17.67*D189/(D189+273.16-29.65)), 100)</f>
        <v>100</v>
      </c>
      <c r="X189" s="0" t="n">
        <f aca="false">(198.58*(1/(2/15*ACOS(-TAN(3.1416/180*$L$1)*TAN(3.1416/180*23.45*SIN((2*3.1416/365*(C189+284)))))/3.1416*180))^2+5.0551/(2/15*ACOS(-TAN(3.1416/180*$L$1)*TAN(3.1416/180*23.45*SIN((2*3.1416/365*(C189+284)))))/3.1416*180)+1.49)*G189*2.02</f>
        <v>1554.35086105415</v>
      </c>
      <c r="Y189" s="424" t="n">
        <f aca="false">H189</f>
        <v>0</v>
      </c>
      <c r="Z189" s="424" t="n">
        <f aca="false">I189</f>
        <v>1</v>
      </c>
    </row>
    <row r="190" customFormat="false" ht="15.75" hidden="false" customHeight="false" outlineLevel="0" collapsed="false">
      <c r="B190" s="0" t="n">
        <v>1950</v>
      </c>
      <c r="C190" s="424" t="n">
        <v>189</v>
      </c>
      <c r="D190" s="0" t="n">
        <v>13.799999</v>
      </c>
      <c r="E190" s="0" t="n">
        <v>31.82</v>
      </c>
      <c r="F190" s="0" t="n">
        <v>55.945</v>
      </c>
      <c r="G190" s="0" t="n">
        <v>340</v>
      </c>
      <c r="H190" s="0" t="n">
        <v>0</v>
      </c>
      <c r="I190" s="0" t="n">
        <v>1</v>
      </c>
      <c r="M190" s="0" t="n">
        <f aca="false">F190/0.263*1000/1013.25/100*EXP(17.67*(D190+E190)/2/((D190+E190)/2+273.16-29.65))</f>
        <v>9.53579081561698</v>
      </c>
      <c r="R190" s="424" t="n">
        <f aca="false">B190</f>
        <v>1950</v>
      </c>
      <c r="S190" s="424" t="n">
        <f aca="false">C190</f>
        <v>189</v>
      </c>
      <c r="T190" s="424" t="n">
        <f aca="false">D190</f>
        <v>13.799999</v>
      </c>
      <c r="U190" s="424" t="n">
        <f aca="false">E190</f>
        <v>31.82</v>
      </c>
      <c r="V190" s="0" t="n">
        <f aca="false">MIN(0.263*M190/1000*1013.25*100/EXP(17.67*E190/(E190+273.16-29.65)), 100)</f>
        <v>32.9718780563748</v>
      </c>
      <c r="W190" s="0" t="n">
        <f aca="false">MIN(0.263*M190/1000*1013.25*100/EXP(17.67*D190/(D190+273.16-29.65)), 100)</f>
        <v>98.5052801778078</v>
      </c>
      <c r="X190" s="0" t="n">
        <f aca="false">(198.58*(1/(2/15*ACOS(-TAN(3.1416/180*$L$1)*TAN(3.1416/180*23.45*SIN((2*3.1416/365*(C190+284)))))/3.1416*180))^2+5.0551/(2/15*ACOS(-TAN(3.1416/180*$L$1)*TAN(3.1416/180*23.45*SIN((2*3.1416/365*(C190+284)))))/3.1416*180)+1.49)*G190*2.02</f>
        <v>1830.41922155985</v>
      </c>
      <c r="Y190" s="424" t="n">
        <f aca="false">H190</f>
        <v>0</v>
      </c>
      <c r="Z190" s="424" t="n">
        <f aca="false">I190</f>
        <v>1</v>
      </c>
    </row>
    <row r="191" customFormat="false" ht="15.75" hidden="false" customHeight="false" outlineLevel="0" collapsed="false">
      <c r="B191" s="0" t="n">
        <v>1950</v>
      </c>
      <c r="C191" s="424" t="n">
        <v>190</v>
      </c>
      <c r="D191" s="0" t="n">
        <v>18.23</v>
      </c>
      <c r="E191" s="0" t="n">
        <v>27.22</v>
      </c>
      <c r="F191" s="0" t="n">
        <v>74.07</v>
      </c>
      <c r="G191" s="0" t="n">
        <v>317</v>
      </c>
      <c r="H191" s="0" t="n">
        <v>0</v>
      </c>
      <c r="I191" s="0" t="n">
        <v>1</v>
      </c>
      <c r="M191" s="0" t="n">
        <f aca="false">F191/0.263*1000/1013.25/100*EXP(17.67*(D191+E191)/2/((D191+E191)/2+273.16-29.65))</f>
        <v>12.5602299565552</v>
      </c>
      <c r="R191" s="424" t="n">
        <f aca="false">B191</f>
        <v>1950</v>
      </c>
      <c r="S191" s="424" t="n">
        <f aca="false">C191</f>
        <v>190</v>
      </c>
      <c r="T191" s="424" t="n">
        <f aca="false">D191</f>
        <v>18.23</v>
      </c>
      <c r="U191" s="424" t="n">
        <f aca="false">E191</f>
        <v>27.22</v>
      </c>
      <c r="V191" s="0" t="n">
        <f aca="false">MIN(0.263*M191/1000*1013.25*100/EXP(17.67*E191/(E191+273.16-29.65)), 100)</f>
        <v>56.6375958474113</v>
      </c>
      <c r="W191" s="0" t="n">
        <f aca="false">MIN(0.263*M191/1000*1013.25*100/EXP(17.67*D191/(D191+273.16-29.65)), 100)</f>
        <v>97.7648191161421</v>
      </c>
      <c r="X191" s="0" t="n">
        <f aca="false">(198.58*(1/(2/15*ACOS(-TAN(3.1416/180*$L$1)*TAN(3.1416/180*23.45*SIN((2*3.1416/365*(C191+284)))))/3.1416*180))^2+5.0551/(2/15*ACOS(-TAN(3.1416/180*$L$1)*TAN(3.1416/180*23.45*SIN((2*3.1416/365*(C191+284)))))/3.1416*180)+1.49)*G191*2.02</f>
        <v>1708.34826047171</v>
      </c>
      <c r="Y191" s="424" t="n">
        <f aca="false">H191</f>
        <v>0</v>
      </c>
      <c r="Z191" s="424" t="n">
        <f aca="false">I191</f>
        <v>1</v>
      </c>
    </row>
    <row r="192" customFormat="false" ht="15.75" hidden="false" customHeight="false" outlineLevel="0" collapsed="false">
      <c r="B192" s="0" t="n">
        <v>1950</v>
      </c>
      <c r="C192" s="424" t="n">
        <v>191</v>
      </c>
      <c r="D192" s="0" t="n">
        <v>16.21</v>
      </c>
      <c r="E192" s="0" t="n">
        <v>24.05</v>
      </c>
      <c r="F192" s="0" t="n">
        <v>68.61</v>
      </c>
      <c r="G192" s="0" t="n">
        <v>253</v>
      </c>
      <c r="H192" s="0" t="n">
        <v>0</v>
      </c>
      <c r="I192" s="0" t="n">
        <v>1</v>
      </c>
      <c r="M192" s="0" t="n">
        <f aca="false">F192/0.263*1000/1013.25/100*EXP(17.67*(D192+E192)/2/((D192+E192)/2+273.16-29.65))</f>
        <v>9.92328145272488</v>
      </c>
      <c r="R192" s="424" t="n">
        <f aca="false">B192</f>
        <v>1950</v>
      </c>
      <c r="S192" s="424" t="n">
        <f aca="false">C192</f>
        <v>191</v>
      </c>
      <c r="T192" s="424" t="n">
        <f aca="false">D192</f>
        <v>16.21</v>
      </c>
      <c r="U192" s="424" t="n">
        <f aca="false">E192</f>
        <v>24.05</v>
      </c>
      <c r="V192" s="0" t="n">
        <f aca="false">MIN(0.263*M192/1000*1013.25*100/EXP(17.67*E192/(E192+273.16-29.65)), 100)</f>
        <v>54.0183194588665</v>
      </c>
      <c r="W192" s="0" t="n">
        <f aca="false">MIN(0.263*M192/1000*1013.25*100/EXP(17.67*D192/(D192+273.16-29.65)), 100)</f>
        <v>87.7745299669429</v>
      </c>
      <c r="X192" s="0" t="n">
        <f aca="false">(198.58*(1/(2/15*ACOS(-TAN(3.1416/180*$L$1)*TAN(3.1416/180*23.45*SIN((2*3.1416/365*(C192+284)))))/3.1416*180))^2+5.0551/(2/15*ACOS(-TAN(3.1416/180*$L$1)*TAN(3.1416/180*23.45*SIN((2*3.1416/365*(C192+284)))))/3.1416*180)+1.49)*G192*2.02</f>
        <v>1364.92280982893</v>
      </c>
      <c r="Y192" s="424" t="n">
        <f aca="false">H192</f>
        <v>0</v>
      </c>
      <c r="Z192" s="424" t="n">
        <f aca="false">I192</f>
        <v>1</v>
      </c>
    </row>
    <row r="193" customFormat="false" ht="15.75" hidden="false" customHeight="false" outlineLevel="0" collapsed="false">
      <c r="B193" s="0" t="n">
        <v>1950</v>
      </c>
      <c r="C193" s="424" t="n">
        <v>192</v>
      </c>
      <c r="D193" s="0" t="n">
        <v>14.74</v>
      </c>
      <c r="E193" s="0" t="n">
        <v>22.49</v>
      </c>
      <c r="F193" s="0" t="n">
        <v>79.975</v>
      </c>
      <c r="G193" s="0" t="n">
        <v>204</v>
      </c>
      <c r="H193" s="0" t="n">
        <v>1.5</v>
      </c>
      <c r="I193" s="0" t="n">
        <v>1</v>
      </c>
      <c r="M193" s="0" t="n">
        <f aca="false">F193/0.263*1000/1013.25/100*EXP(17.67*(D193+E193)/2/((D193+E193)/2+273.16-29.65))</f>
        <v>10.5258088691907</v>
      </c>
      <c r="R193" s="424" t="n">
        <f aca="false">B193</f>
        <v>1950</v>
      </c>
      <c r="S193" s="424" t="n">
        <f aca="false">C193</f>
        <v>192</v>
      </c>
      <c r="T193" s="424" t="n">
        <f aca="false">D193</f>
        <v>14.74</v>
      </c>
      <c r="U193" s="424" t="n">
        <f aca="false">E193</f>
        <v>22.49</v>
      </c>
      <c r="V193" s="0" t="n">
        <f aca="false">MIN(0.263*M193/1000*1013.25*100/EXP(17.67*E193/(E193+273.16-29.65)), 100)</f>
        <v>62.9652875378048</v>
      </c>
      <c r="W193" s="0" t="n">
        <f aca="false">MIN(0.263*M193/1000*1013.25*100/EXP(17.67*D193/(D193+273.16-29.65)), 100)</f>
        <v>100</v>
      </c>
      <c r="X193" s="0" t="n">
        <f aca="false">(198.58*(1/(2/15*ACOS(-TAN(3.1416/180*$L$1)*TAN(3.1416/180*23.45*SIN((2*3.1416/365*(C193+284)))))/3.1416*180))^2+5.0551/(2/15*ACOS(-TAN(3.1416/180*$L$1)*TAN(3.1416/180*23.45*SIN((2*3.1416/365*(C193+284)))))/3.1416*180)+1.49)*G193*2.02</f>
        <v>1101.82582044088</v>
      </c>
      <c r="Y193" s="424" t="n">
        <f aca="false">H193</f>
        <v>1.5</v>
      </c>
      <c r="Z193" s="424" t="n">
        <f aca="false">I193</f>
        <v>1</v>
      </c>
    </row>
    <row r="194" customFormat="false" ht="15.75" hidden="false" customHeight="false" outlineLevel="0" collapsed="false">
      <c r="B194" s="0" t="n">
        <v>1950</v>
      </c>
      <c r="C194" s="424" t="n">
        <v>193</v>
      </c>
      <c r="D194" s="0" t="n">
        <v>13.25</v>
      </c>
      <c r="E194" s="0" t="n">
        <v>26.31</v>
      </c>
      <c r="F194" s="0" t="n">
        <v>71.195</v>
      </c>
      <c r="G194" s="0" t="n">
        <v>289</v>
      </c>
      <c r="H194" s="0" t="n">
        <v>0</v>
      </c>
      <c r="I194" s="0" t="n">
        <v>1</v>
      </c>
      <c r="M194" s="0" t="n">
        <f aca="false">F194/0.263*1000/1013.25/100*EXP(17.67*(D194+E194)/2/((D194+E194)/2+273.16-29.65))</f>
        <v>10.076159114672</v>
      </c>
      <c r="R194" s="424" t="n">
        <f aca="false">B194</f>
        <v>1950</v>
      </c>
      <c r="S194" s="424" t="n">
        <f aca="false">C194</f>
        <v>193</v>
      </c>
      <c r="T194" s="424" t="n">
        <f aca="false">D194</f>
        <v>13.25</v>
      </c>
      <c r="U194" s="424" t="n">
        <f aca="false">E194</f>
        <v>26.31</v>
      </c>
      <c r="V194" s="0" t="n">
        <f aca="false">MIN(0.263*M194/1000*1013.25*100/EXP(17.67*E194/(E194+273.16-29.65)), 100)</f>
        <v>47.9381712129789</v>
      </c>
      <c r="W194" s="0" t="n">
        <f aca="false">MIN(0.263*M194/1000*1013.25*100/EXP(17.67*D194/(D194+273.16-29.65)), 100)</f>
        <v>100</v>
      </c>
      <c r="X194" s="0" t="n">
        <f aca="false">(198.58*(1/(2/15*ACOS(-TAN(3.1416/180*$L$1)*TAN(3.1416/180*23.45*SIN((2*3.1416/365*(C194+284)))))/3.1416*180))^2+5.0551/(2/15*ACOS(-TAN(3.1416/180*$L$1)*TAN(3.1416/180*23.45*SIN((2*3.1416/365*(C194+284)))))/3.1416*180)+1.49)*G194*2.02</f>
        <v>1562.78943914482</v>
      </c>
      <c r="Y194" s="424" t="n">
        <f aca="false">H194</f>
        <v>0</v>
      </c>
      <c r="Z194" s="424" t="n">
        <f aca="false">I194</f>
        <v>1</v>
      </c>
    </row>
    <row r="195" customFormat="false" ht="15.75" hidden="false" customHeight="false" outlineLevel="0" collapsed="false">
      <c r="B195" s="0" t="n">
        <v>1950</v>
      </c>
      <c r="C195" s="424" t="n">
        <v>194</v>
      </c>
      <c r="D195" s="0" t="n">
        <v>15.17</v>
      </c>
      <c r="E195" s="0" t="n">
        <v>26.31</v>
      </c>
      <c r="F195" s="0" t="n">
        <v>74.93</v>
      </c>
      <c r="G195" s="0" t="n">
        <v>231</v>
      </c>
      <c r="H195" s="0" t="n">
        <v>0</v>
      </c>
      <c r="I195" s="0" t="n">
        <v>1</v>
      </c>
      <c r="M195" s="0" t="n">
        <f aca="false">F195/0.263*1000/1013.25/100*EXP(17.67*(D195+E195)/2/((D195+E195)/2+273.16-29.65))</f>
        <v>11.2534530616665</v>
      </c>
      <c r="R195" s="424" t="n">
        <f aca="false">B195</f>
        <v>1950</v>
      </c>
      <c r="S195" s="424" t="n">
        <f aca="false">C195</f>
        <v>194</v>
      </c>
      <c r="T195" s="424" t="n">
        <f aca="false">D195</f>
        <v>15.17</v>
      </c>
      <c r="U195" s="424" t="n">
        <f aca="false">E195</f>
        <v>26.31</v>
      </c>
      <c r="V195" s="0" t="n">
        <f aca="false">MIN(0.263*M195/1000*1013.25*100/EXP(17.67*E195/(E195+273.16-29.65)), 100)</f>
        <v>53.5392458046703</v>
      </c>
      <c r="W195" s="0" t="n">
        <f aca="false">MIN(0.263*M195/1000*1013.25*100/EXP(17.67*D195/(D195+273.16-29.65)), 100)</f>
        <v>100</v>
      </c>
      <c r="X195" s="0" t="n">
        <f aca="false">(198.58*(1/(2/15*ACOS(-TAN(3.1416/180*$L$1)*TAN(3.1416/180*23.45*SIN((2*3.1416/365*(C195+284)))))/3.1416*180))^2+5.0551/(2/15*ACOS(-TAN(3.1416/180*$L$1)*TAN(3.1416/180*23.45*SIN((2*3.1416/365*(C195+284)))))/3.1416*180)+1.49)*G195*2.02</f>
        <v>1250.71667631735</v>
      </c>
      <c r="Y195" s="424" t="n">
        <f aca="false">H195</f>
        <v>0</v>
      </c>
      <c r="Z195" s="424" t="n">
        <f aca="false">I195</f>
        <v>1</v>
      </c>
    </row>
    <row r="196" customFormat="false" ht="15.75" hidden="false" customHeight="false" outlineLevel="0" collapsed="false">
      <c r="B196" s="0" t="n">
        <v>1950</v>
      </c>
      <c r="C196" s="424" t="n">
        <v>195</v>
      </c>
      <c r="D196" s="0" t="n">
        <v>16.199999</v>
      </c>
      <c r="E196" s="0" t="n">
        <v>24.13</v>
      </c>
      <c r="F196" s="0" t="n">
        <v>74.795</v>
      </c>
      <c r="G196" s="0" t="n">
        <v>191</v>
      </c>
      <c r="H196" s="0" t="n">
        <v>0</v>
      </c>
      <c r="I196" s="0" t="n">
        <v>1</v>
      </c>
      <c r="M196" s="0" t="n">
        <f aca="false">F196/0.263*1000/1013.25/100*EXP(17.67*(D196+E196)/2/((D196+E196)/2+273.16-29.65))</f>
        <v>10.8412985449005</v>
      </c>
      <c r="R196" s="424" t="n">
        <f aca="false">B196</f>
        <v>1950</v>
      </c>
      <c r="S196" s="424" t="n">
        <f aca="false">C196</f>
        <v>195</v>
      </c>
      <c r="T196" s="424" t="n">
        <f aca="false">D196</f>
        <v>16.199999</v>
      </c>
      <c r="U196" s="424" t="n">
        <f aca="false">E196</f>
        <v>24.13</v>
      </c>
      <c r="V196" s="0" t="n">
        <f aca="false">MIN(0.263*M196/1000*1013.25*100/EXP(17.67*E196/(E196+273.16-29.65)), 100)</f>
        <v>58.7326267267588</v>
      </c>
      <c r="W196" s="0" t="n">
        <f aca="false">MIN(0.263*M196/1000*1013.25*100/EXP(17.67*D196/(D196+273.16-29.65)), 100)</f>
        <v>95.9558762363191</v>
      </c>
      <c r="X196" s="0" t="n">
        <f aca="false">(198.58*(1/(2/15*ACOS(-TAN(3.1416/180*$L$1)*TAN(3.1416/180*23.45*SIN((2*3.1416/365*(C196+284)))))/3.1416*180))^2+5.0551/(2/15*ACOS(-TAN(3.1416/180*$L$1)*TAN(3.1416/180*23.45*SIN((2*3.1416/365*(C196+284)))))/3.1416*180)+1.49)*G196*2.02</f>
        <v>1035.49736411188</v>
      </c>
      <c r="Y196" s="424" t="n">
        <f aca="false">H196</f>
        <v>0</v>
      </c>
      <c r="Z196" s="424" t="n">
        <f aca="false">I196</f>
        <v>1</v>
      </c>
    </row>
    <row r="197" customFormat="false" ht="15.75" hidden="false" customHeight="false" outlineLevel="0" collapsed="false">
      <c r="B197" s="0" t="n">
        <v>1950</v>
      </c>
      <c r="C197" s="424" t="n">
        <v>196</v>
      </c>
      <c r="D197" s="0" t="n">
        <v>12.45</v>
      </c>
      <c r="E197" s="0" t="n">
        <v>28.81</v>
      </c>
      <c r="F197" s="0" t="n">
        <v>72.535</v>
      </c>
      <c r="G197" s="0" t="n">
        <v>318</v>
      </c>
      <c r="H197" s="0" t="n">
        <v>0</v>
      </c>
      <c r="I197" s="0" t="n">
        <v>1</v>
      </c>
      <c r="M197" s="0" t="n">
        <f aca="false">F197/0.263*1000/1013.25/100*EXP(17.67*(D197+E197)/2/((D197+E197)/2+273.16-29.65))</f>
        <v>10.8201358765399</v>
      </c>
      <c r="R197" s="424" t="n">
        <f aca="false">B197</f>
        <v>1950</v>
      </c>
      <c r="S197" s="424" t="n">
        <f aca="false">C197</f>
        <v>196</v>
      </c>
      <c r="T197" s="424" t="n">
        <f aca="false">D197</f>
        <v>12.45</v>
      </c>
      <c r="U197" s="424" t="n">
        <f aca="false">E197</f>
        <v>28.81</v>
      </c>
      <c r="V197" s="0" t="n">
        <f aca="false">MIN(0.263*M197/1000*1013.25*100/EXP(17.67*E197/(E197+273.16-29.65)), 100)</f>
        <v>44.4670840979002</v>
      </c>
      <c r="W197" s="0" t="n">
        <f aca="false">MIN(0.263*M197/1000*1013.25*100/EXP(17.67*D197/(D197+273.16-29.65)), 100)</f>
        <v>100</v>
      </c>
      <c r="X197" s="0" t="n">
        <f aca="false">(198.58*(1/(2/15*ACOS(-TAN(3.1416/180*$L$1)*TAN(3.1416/180*23.45*SIN((2*3.1416/365*(C197+284)))))/3.1416*180))^2+5.0551/(2/15*ACOS(-TAN(3.1416/180*$L$1)*TAN(3.1416/180*23.45*SIN((2*3.1416/365*(C197+284)))))/3.1416*180)+1.49)*G197*2.02</f>
        <v>1726.37682039003</v>
      </c>
      <c r="Y197" s="424" t="n">
        <f aca="false">H197</f>
        <v>0</v>
      </c>
      <c r="Z197" s="424" t="n">
        <f aca="false">I197</f>
        <v>1</v>
      </c>
    </row>
    <row r="198" customFormat="false" ht="15.75" hidden="false" customHeight="false" outlineLevel="0" collapsed="false">
      <c r="B198" s="0" t="n">
        <v>1950</v>
      </c>
      <c r="C198" s="424" t="n">
        <v>197</v>
      </c>
      <c r="D198" s="0" t="n">
        <v>14.48</v>
      </c>
      <c r="E198" s="0" t="n">
        <v>23.38</v>
      </c>
      <c r="F198" s="0" t="n">
        <v>80.725</v>
      </c>
      <c r="G198" s="0" t="n">
        <v>156</v>
      </c>
      <c r="H198" s="0" t="n">
        <v>0</v>
      </c>
      <c r="I198" s="0" t="n">
        <v>1</v>
      </c>
      <c r="M198" s="0" t="n">
        <f aca="false">F198/0.263*1000/1013.25/100*EXP(17.67*(D198+E198)/2/((D198+E198)/2+273.16-29.65))</f>
        <v>10.8359265448433</v>
      </c>
      <c r="R198" s="424" t="n">
        <f aca="false">B198</f>
        <v>1950</v>
      </c>
      <c r="S198" s="424" t="n">
        <f aca="false">C198</f>
        <v>197</v>
      </c>
      <c r="T198" s="424" t="n">
        <f aca="false">D198</f>
        <v>14.48</v>
      </c>
      <c r="U198" s="424" t="n">
        <f aca="false">E198</f>
        <v>23.38</v>
      </c>
      <c r="V198" s="0" t="n">
        <f aca="false">MIN(0.263*M198/1000*1013.25*100/EXP(17.67*E198/(E198+273.16-29.65)), 100)</f>
        <v>61.4164801093213</v>
      </c>
      <c r="W198" s="0" t="n">
        <f aca="false">MIN(0.263*M198/1000*1013.25*100/EXP(17.67*D198/(D198+273.16-29.65)), 100)</f>
        <v>100</v>
      </c>
      <c r="X198" s="0" t="n">
        <f aca="false">(198.58*(1/(2/15*ACOS(-TAN(3.1416/180*$L$1)*TAN(3.1416/180*23.45*SIN((2*3.1416/365*(C198+284)))))/3.1416*180))^2+5.0551/(2/15*ACOS(-TAN(3.1416/180*$L$1)*TAN(3.1416/180*23.45*SIN((2*3.1416/365*(C198+284)))))/3.1416*180)+1.49)*G198*2.02</f>
        <v>848.105607277577</v>
      </c>
      <c r="Y198" s="424" t="n">
        <f aca="false">H198</f>
        <v>0</v>
      </c>
      <c r="Z198" s="424" t="n">
        <f aca="false">I198</f>
        <v>1</v>
      </c>
    </row>
    <row r="199" customFormat="false" ht="15.75" hidden="false" customHeight="false" outlineLevel="0" collapsed="false">
      <c r="B199" s="0" t="n">
        <v>1950</v>
      </c>
      <c r="C199" s="424" t="n">
        <v>198</v>
      </c>
      <c r="D199" s="0" t="n">
        <v>13.62</v>
      </c>
      <c r="E199" s="0" t="n">
        <v>24.84</v>
      </c>
      <c r="F199" s="0" t="n">
        <v>69.700005</v>
      </c>
      <c r="G199" s="0" t="n">
        <v>294</v>
      </c>
      <c r="H199" s="0" t="n">
        <v>0</v>
      </c>
      <c r="I199" s="0" t="n">
        <v>1</v>
      </c>
      <c r="M199" s="0" t="n">
        <f aca="false">F199/0.263*1000/1013.25/100*EXP(17.67*(D199+E199)/2/((D199+E199)/2+273.16-29.65))</f>
        <v>9.53281215501248</v>
      </c>
      <c r="R199" s="424" t="n">
        <f aca="false">B199</f>
        <v>1950</v>
      </c>
      <c r="S199" s="424" t="n">
        <f aca="false">C199</f>
        <v>198</v>
      </c>
      <c r="T199" s="424" t="n">
        <f aca="false">D199</f>
        <v>13.62</v>
      </c>
      <c r="U199" s="424" t="n">
        <f aca="false">E199</f>
        <v>24.84</v>
      </c>
      <c r="V199" s="0" t="n">
        <f aca="false">MIN(0.263*M199/1000*1013.25*100/EXP(17.67*E199/(E199+273.16-29.65)), 100)</f>
        <v>49.4932419371454</v>
      </c>
      <c r="W199" s="0" t="n">
        <f aca="false">MIN(0.263*M199/1000*1013.25*100/EXP(17.67*D199/(D199+273.16-29.65)), 100)</f>
        <v>99.6340412612645</v>
      </c>
      <c r="X199" s="0" t="n">
        <f aca="false">(198.58*(1/(2/15*ACOS(-TAN(3.1416/180*$L$1)*TAN(3.1416/180*23.45*SIN((2*3.1416/365*(C199+284)))))/3.1416*180))^2+5.0551/(2/15*ACOS(-TAN(3.1416/180*$L$1)*TAN(3.1416/180*23.45*SIN((2*3.1416/365*(C199+284)))))/3.1416*180)+1.49)*G199*2.02</f>
        <v>1600.71264664866</v>
      </c>
      <c r="Y199" s="424" t="n">
        <f aca="false">H199</f>
        <v>0</v>
      </c>
      <c r="Z199" s="424" t="n">
        <f aca="false">I199</f>
        <v>1</v>
      </c>
    </row>
    <row r="200" customFormat="false" ht="15.75" hidden="false" customHeight="false" outlineLevel="0" collapsed="false">
      <c r="B200" s="0" t="n">
        <v>1950</v>
      </c>
      <c r="C200" s="424" t="n">
        <v>199</v>
      </c>
      <c r="D200" s="0" t="n">
        <v>10.559999</v>
      </c>
      <c r="E200" s="0" t="n">
        <v>27.539999</v>
      </c>
      <c r="F200" s="0" t="n">
        <v>65.86</v>
      </c>
      <c r="G200" s="0" t="n">
        <v>303</v>
      </c>
      <c r="H200" s="0" t="n">
        <v>0</v>
      </c>
      <c r="I200" s="0" t="n">
        <v>1</v>
      </c>
      <c r="M200" s="0" t="n">
        <f aca="false">F200/0.263*1000/1013.25/100*EXP(17.67*(D200+E200)/2/((D200+E200)/2+273.16-29.65))</f>
        <v>8.90705262785257</v>
      </c>
      <c r="R200" s="424" t="n">
        <f aca="false">B200</f>
        <v>1950</v>
      </c>
      <c r="S200" s="424" t="n">
        <f aca="false">C200</f>
        <v>199</v>
      </c>
      <c r="T200" s="424" t="n">
        <f aca="false">D200</f>
        <v>10.559999</v>
      </c>
      <c r="U200" s="424" t="n">
        <f aca="false">E200</f>
        <v>27.539999</v>
      </c>
      <c r="V200" s="0" t="n">
        <f aca="false">MIN(0.263*M200/1000*1013.25*100/EXP(17.67*E200/(E200+273.16-29.65)), 100)</f>
        <v>39.4177934704785</v>
      </c>
      <c r="W200" s="0" t="n">
        <f aca="false">MIN(0.263*M200/1000*1013.25*100/EXP(17.67*D200/(D200+273.16-29.65)), 100)</f>
        <v>100</v>
      </c>
      <c r="X200" s="0" t="n">
        <f aca="false">(198.58*(1/(2/15*ACOS(-TAN(3.1416/180*$L$1)*TAN(3.1416/180*23.45*SIN((2*3.1416/365*(C200+284)))))/3.1416*180))^2+5.0551/(2/15*ACOS(-TAN(3.1416/180*$L$1)*TAN(3.1416/180*23.45*SIN((2*3.1416/365*(C200+284)))))/3.1416*180)+1.49)*G200*2.02</f>
        <v>1652.23974898768</v>
      </c>
      <c r="Y200" s="424" t="n">
        <f aca="false">H200</f>
        <v>0</v>
      </c>
      <c r="Z200" s="424" t="n">
        <f aca="false">I200</f>
        <v>1</v>
      </c>
    </row>
    <row r="201" customFormat="false" ht="15.75" hidden="false" customHeight="false" outlineLevel="0" collapsed="false">
      <c r="B201" s="0" t="n">
        <v>1950</v>
      </c>
      <c r="C201" s="424" t="n">
        <v>200</v>
      </c>
      <c r="D201" s="0" t="n">
        <v>15.58</v>
      </c>
      <c r="E201" s="0" t="n">
        <v>31.14</v>
      </c>
      <c r="F201" s="0" t="n">
        <v>67.97</v>
      </c>
      <c r="G201" s="0" t="n">
        <v>277</v>
      </c>
      <c r="H201" s="0" t="n">
        <v>0</v>
      </c>
      <c r="I201" s="0" t="n">
        <v>1</v>
      </c>
      <c r="M201" s="0" t="n">
        <f aca="false">F201/0.263*1000/1013.25/100*EXP(17.67*(D201+E201)/2/((D201+E201)/2+273.16-29.65))</f>
        <v>11.9777065836145</v>
      </c>
      <c r="R201" s="424" t="n">
        <f aca="false">B201</f>
        <v>1950</v>
      </c>
      <c r="S201" s="424" t="n">
        <f aca="false">C201</f>
        <v>200</v>
      </c>
      <c r="T201" s="424" t="n">
        <f aca="false">D201</f>
        <v>15.58</v>
      </c>
      <c r="U201" s="424" t="n">
        <f aca="false">E201</f>
        <v>31.14</v>
      </c>
      <c r="V201" s="0" t="n">
        <f aca="false">MIN(0.263*M201/1000*1013.25*100/EXP(17.67*E201/(E201+273.16-29.65)), 100)</f>
        <v>43.0491587482307</v>
      </c>
      <c r="W201" s="0" t="n">
        <f aca="false">MIN(0.263*M201/1000*1013.25*100/EXP(17.67*D201/(D201+273.16-29.65)), 100)</f>
        <v>100</v>
      </c>
      <c r="X201" s="0" t="n">
        <f aca="false">(198.58*(1/(2/15*ACOS(-TAN(3.1416/180*$L$1)*TAN(3.1416/180*23.45*SIN((2*3.1416/365*(C201+284)))))/3.1416*180))^2+5.0551/(2/15*ACOS(-TAN(3.1416/180*$L$1)*TAN(3.1416/180*23.45*SIN((2*3.1416/365*(C201+284)))))/3.1416*180)+1.49)*G201*2.02</f>
        <v>1512.857808614</v>
      </c>
      <c r="Y201" s="424" t="n">
        <f aca="false">H201</f>
        <v>0</v>
      </c>
      <c r="Z201" s="424" t="n">
        <f aca="false">I201</f>
        <v>1</v>
      </c>
    </row>
    <row r="202" customFormat="false" ht="15.75" hidden="false" customHeight="false" outlineLevel="0" collapsed="false">
      <c r="B202" s="0" t="n">
        <v>1950</v>
      </c>
      <c r="C202" s="424" t="n">
        <v>201</v>
      </c>
      <c r="D202" s="0" t="n">
        <v>15.42</v>
      </c>
      <c r="E202" s="0" t="n">
        <v>32.25</v>
      </c>
      <c r="F202" s="0" t="n">
        <v>61.440002</v>
      </c>
      <c r="G202" s="0" t="n">
        <v>319</v>
      </c>
      <c r="H202" s="0" t="n">
        <v>0</v>
      </c>
      <c r="I202" s="0" t="n">
        <v>1</v>
      </c>
      <c r="M202" s="0" t="n">
        <f aca="false">F202/0.263*1000/1013.25/100*EXP(17.67*(D202+E202)/2/((D202+E202)/2+273.16-29.65))</f>
        <v>11.1416302164464</v>
      </c>
      <c r="R202" s="424" t="n">
        <f aca="false">B202</f>
        <v>1950</v>
      </c>
      <c r="S202" s="424" t="n">
        <f aca="false">C202</f>
        <v>201</v>
      </c>
      <c r="T202" s="424" t="n">
        <f aca="false">D202</f>
        <v>15.42</v>
      </c>
      <c r="U202" s="424" t="n">
        <f aca="false">E202</f>
        <v>32.25</v>
      </c>
      <c r="V202" s="0" t="n">
        <f aca="false">MIN(0.263*M202/1000*1013.25*100/EXP(17.67*E202/(E202+273.16-29.65)), 100)</f>
        <v>37.5969318272008</v>
      </c>
      <c r="W202" s="0" t="n">
        <f aca="false">MIN(0.263*M202/1000*1013.25*100/EXP(17.67*D202/(D202+273.16-29.65)), 100)</f>
        <v>100</v>
      </c>
      <c r="X202" s="0" t="n">
        <f aca="false">(198.58*(1/(2/15*ACOS(-TAN(3.1416/180*$L$1)*TAN(3.1416/180*23.45*SIN((2*3.1416/365*(C202+284)))))/3.1416*180))^2+5.0551/(2/15*ACOS(-TAN(3.1416/180*$L$1)*TAN(3.1416/180*23.45*SIN((2*3.1416/365*(C202+284)))))/3.1416*180)+1.49)*G202*2.02</f>
        <v>1745.09981017852</v>
      </c>
      <c r="Y202" s="424" t="n">
        <f aca="false">H202</f>
        <v>0</v>
      </c>
      <c r="Z202" s="424" t="n">
        <f aca="false">I202</f>
        <v>1</v>
      </c>
    </row>
    <row r="203" customFormat="false" ht="15.75" hidden="false" customHeight="false" outlineLevel="0" collapsed="false">
      <c r="B203" s="0" t="n">
        <v>1950</v>
      </c>
      <c r="C203" s="424" t="n">
        <v>202</v>
      </c>
      <c r="D203" s="0" t="n">
        <v>14.58</v>
      </c>
      <c r="E203" s="0" t="n">
        <v>28.66</v>
      </c>
      <c r="F203" s="0" t="n">
        <v>74.735</v>
      </c>
      <c r="G203" s="0" t="n">
        <v>166</v>
      </c>
      <c r="H203" s="0" t="n">
        <v>0</v>
      </c>
      <c r="I203" s="0" t="n">
        <v>1</v>
      </c>
      <c r="M203" s="0" t="n">
        <f aca="false">F203/0.263*1000/1013.25/100*EXP(17.67*(D203+E203)/2/((D203+E203)/2+273.16-29.65))</f>
        <v>11.8474780804254</v>
      </c>
      <c r="R203" s="424" t="n">
        <f aca="false">B203</f>
        <v>1950</v>
      </c>
      <c r="S203" s="424" t="n">
        <f aca="false">C203</f>
        <v>202</v>
      </c>
      <c r="T203" s="424" t="n">
        <f aca="false">D203</f>
        <v>14.58</v>
      </c>
      <c r="U203" s="424" t="n">
        <f aca="false">E203</f>
        <v>28.66</v>
      </c>
      <c r="V203" s="0" t="n">
        <f aca="false">MIN(0.263*M203/1000*1013.25*100/EXP(17.67*E203/(E203+273.16-29.65)), 100)</f>
        <v>49.1149541703704</v>
      </c>
      <c r="W203" s="0" t="n">
        <f aca="false">MIN(0.263*M203/1000*1013.25*100/EXP(17.67*D203/(D203+273.16-29.65)), 100)</f>
        <v>100</v>
      </c>
      <c r="X203" s="0" t="n">
        <f aca="false">(198.58*(1/(2/15*ACOS(-TAN(3.1416/180*$L$1)*TAN(3.1416/180*23.45*SIN((2*3.1416/365*(C203+284)))))/3.1416*180))^2+5.0551/(2/15*ACOS(-TAN(3.1416/180*$L$1)*TAN(3.1416/180*23.45*SIN((2*3.1416/365*(C203+284)))))/3.1416*180)+1.49)*G203*2.02</f>
        <v>909.645323285942</v>
      </c>
      <c r="Y203" s="424" t="n">
        <f aca="false">H203</f>
        <v>0</v>
      </c>
      <c r="Z203" s="424" t="n">
        <f aca="false">I203</f>
        <v>1</v>
      </c>
    </row>
    <row r="204" customFormat="false" ht="15.75" hidden="false" customHeight="false" outlineLevel="0" collapsed="false">
      <c r="B204" s="0" t="n">
        <v>1950</v>
      </c>
      <c r="C204" s="424" t="n">
        <v>203</v>
      </c>
      <c r="D204" s="0" t="n">
        <v>15.839999</v>
      </c>
      <c r="E204" s="0" t="n">
        <v>24.949999</v>
      </c>
      <c r="F204" s="0" t="n">
        <v>81.61</v>
      </c>
      <c r="G204" s="0" t="n">
        <v>281</v>
      </c>
      <c r="H204" s="0" t="n">
        <v>0</v>
      </c>
      <c r="I204" s="0" t="n">
        <v>1</v>
      </c>
      <c r="M204" s="0" t="n">
        <f aca="false">F204/0.263*1000/1013.25/100*EXP(17.67*(D204+E204)/2/((D204+E204)/2+273.16-29.65))</f>
        <v>11.9985480256212</v>
      </c>
      <c r="R204" s="424" t="n">
        <f aca="false">B204</f>
        <v>1950</v>
      </c>
      <c r="S204" s="424" t="n">
        <f aca="false">C204</f>
        <v>203</v>
      </c>
      <c r="T204" s="424" t="n">
        <f aca="false">D204</f>
        <v>15.839999</v>
      </c>
      <c r="U204" s="424" t="n">
        <f aca="false">E204</f>
        <v>24.949999</v>
      </c>
      <c r="V204" s="0" t="n">
        <f aca="false">MIN(0.263*M204/1000*1013.25*100/EXP(17.67*E204/(E204+273.16-29.65)), 100)</f>
        <v>61.8871204205128</v>
      </c>
      <c r="W204" s="0" t="n">
        <f aca="false">MIN(0.263*M204/1000*1013.25*100/EXP(17.67*D204/(D204+273.16-29.65)), 100)</f>
        <v>100</v>
      </c>
      <c r="X204" s="0" t="n">
        <f aca="false">(198.58*(1/(2/15*ACOS(-TAN(3.1416/180*$L$1)*TAN(3.1416/180*23.45*SIN((2*3.1416/365*(C204+284)))))/3.1416*180))^2+5.0551/(2/15*ACOS(-TAN(3.1416/180*$L$1)*TAN(3.1416/180*23.45*SIN((2*3.1416/365*(C204+284)))))/3.1416*180)+1.49)*G204*2.02</f>
        <v>1542.50909186385</v>
      </c>
      <c r="Y204" s="424" t="n">
        <f aca="false">H204</f>
        <v>0</v>
      </c>
      <c r="Z204" s="424" t="n">
        <f aca="false">I204</f>
        <v>1</v>
      </c>
    </row>
    <row r="205" customFormat="false" ht="15.75" hidden="false" customHeight="false" outlineLevel="0" collapsed="false">
      <c r="B205" s="0" t="n">
        <v>1950</v>
      </c>
      <c r="C205" s="424" t="n">
        <v>204</v>
      </c>
      <c r="D205" s="0" t="n">
        <v>18.77</v>
      </c>
      <c r="E205" s="0" t="n">
        <v>24.6</v>
      </c>
      <c r="F205" s="0" t="n">
        <v>81.5</v>
      </c>
      <c r="G205" s="0" t="n">
        <v>267</v>
      </c>
      <c r="H205" s="0" t="n">
        <v>2.5</v>
      </c>
      <c r="I205" s="0" t="n">
        <v>1</v>
      </c>
      <c r="M205" s="0" t="n">
        <f aca="false">F205/0.263*1000/1013.25/100*EXP(17.67*(D205+E205)/2/((D205+E205)/2+273.16-29.65))</f>
        <v>12.971404978256</v>
      </c>
      <c r="R205" s="424" t="n">
        <f aca="false">B205</f>
        <v>1950</v>
      </c>
      <c r="S205" s="424" t="n">
        <f aca="false">C205</f>
        <v>204</v>
      </c>
      <c r="T205" s="424" t="n">
        <f aca="false">D205</f>
        <v>18.77</v>
      </c>
      <c r="U205" s="424" t="n">
        <f aca="false">E205</f>
        <v>24.6</v>
      </c>
      <c r="V205" s="0" t="n">
        <f aca="false">MIN(0.263*M205/1000*1013.25*100/EXP(17.67*E205/(E205+273.16-29.65)), 100)</f>
        <v>68.3196163448713</v>
      </c>
      <c r="W205" s="0" t="n">
        <f aca="false">MIN(0.263*M205/1000*1013.25*100/EXP(17.67*D205/(D205+273.16-29.65)), 100)</f>
        <v>97.6051528957535</v>
      </c>
      <c r="X205" s="0" t="n">
        <f aca="false">(198.58*(1/(2/15*ACOS(-TAN(3.1416/180*$L$1)*TAN(3.1416/180*23.45*SIN((2*3.1416/365*(C205+284)))))/3.1416*180))^2+5.0551/(2/15*ACOS(-TAN(3.1416/180*$L$1)*TAN(3.1416/180*23.45*SIN((2*3.1416/365*(C205+284)))))/3.1416*180)+1.49)*G205*2.02</f>
        <v>1468.29359355936</v>
      </c>
      <c r="Y205" s="424" t="n">
        <f aca="false">H205</f>
        <v>2.5</v>
      </c>
      <c r="Z205" s="424" t="n">
        <f aca="false">I205</f>
        <v>1</v>
      </c>
    </row>
    <row r="206" customFormat="false" ht="15.75" hidden="false" customHeight="false" outlineLevel="0" collapsed="false">
      <c r="B206" s="0" t="n">
        <v>1950</v>
      </c>
      <c r="C206" s="424" t="n">
        <v>205</v>
      </c>
      <c r="D206" s="0" t="n">
        <v>15.07</v>
      </c>
      <c r="E206" s="0" t="n">
        <v>26.56</v>
      </c>
      <c r="F206" s="0" t="n">
        <v>71.92</v>
      </c>
      <c r="G206" s="0" t="n">
        <v>249</v>
      </c>
      <c r="H206" s="0" t="n">
        <v>0</v>
      </c>
      <c r="I206" s="0" t="n">
        <v>1</v>
      </c>
      <c r="M206" s="0" t="n">
        <f aca="false">F206/0.263*1000/1013.25/100*EXP(17.67*(D206+E206)/2/((D206+E206)/2+273.16-29.65))</f>
        <v>10.8514126812667</v>
      </c>
      <c r="R206" s="424" t="n">
        <f aca="false">B206</f>
        <v>1950</v>
      </c>
      <c r="S206" s="424" t="n">
        <f aca="false">C206</f>
        <v>205</v>
      </c>
      <c r="T206" s="424" t="n">
        <f aca="false">D206</f>
        <v>15.07</v>
      </c>
      <c r="U206" s="424" t="n">
        <f aca="false">E206</f>
        <v>26.56</v>
      </c>
      <c r="V206" s="0" t="n">
        <f aca="false">MIN(0.263*M206/1000*1013.25*100/EXP(17.67*E206/(E206+273.16-29.65)), 100)</f>
        <v>50.8699961223473</v>
      </c>
      <c r="W206" s="0" t="n">
        <f aca="false">MIN(0.263*M206/1000*1013.25*100/EXP(17.67*D206/(D206+273.16-29.65)), 100)</f>
        <v>100</v>
      </c>
      <c r="X206" s="0" t="n">
        <f aca="false">(198.58*(1/(2/15*ACOS(-TAN(3.1416/180*$L$1)*TAN(3.1416/180*23.45*SIN((2*3.1416/365*(C206+284)))))/3.1416*180))^2+5.0551/(2/15*ACOS(-TAN(3.1416/180*$L$1)*TAN(3.1416/180*23.45*SIN((2*3.1416/365*(C206+284)))))/3.1416*180)+1.49)*G206*2.02</f>
        <v>1371.84127296837</v>
      </c>
      <c r="Y206" s="424" t="n">
        <f aca="false">H206</f>
        <v>0</v>
      </c>
      <c r="Z206" s="424" t="n">
        <f aca="false">I206</f>
        <v>1</v>
      </c>
    </row>
    <row r="207" customFormat="false" ht="15.75" hidden="false" customHeight="false" outlineLevel="0" collapsed="false">
      <c r="B207" s="0" t="n">
        <v>1950</v>
      </c>
      <c r="C207" s="424" t="n">
        <v>206</v>
      </c>
      <c r="D207" s="0" t="n">
        <v>15.21</v>
      </c>
      <c r="E207" s="0" t="n">
        <v>29.65</v>
      </c>
      <c r="F207" s="0" t="n">
        <v>72.520004</v>
      </c>
      <c r="G207" s="0" t="n">
        <v>201</v>
      </c>
      <c r="H207" s="0" t="n">
        <v>0</v>
      </c>
      <c r="I207" s="0" t="n">
        <v>1</v>
      </c>
      <c r="M207" s="0" t="n">
        <f aca="false">F207/0.263*1000/1013.25/100*EXP(17.67*(D207+E207)/2/((D207+E207)/2+273.16-29.65))</f>
        <v>12.0788928512238</v>
      </c>
      <c r="R207" s="424" t="n">
        <f aca="false">B207</f>
        <v>1950</v>
      </c>
      <c r="S207" s="424" t="n">
        <f aca="false">C207</f>
        <v>206</v>
      </c>
      <c r="T207" s="424" t="n">
        <f aca="false">D207</f>
        <v>15.21</v>
      </c>
      <c r="U207" s="424" t="n">
        <f aca="false">E207</f>
        <v>29.65</v>
      </c>
      <c r="V207" s="0" t="n">
        <f aca="false">MIN(0.263*M207/1000*1013.25*100/EXP(17.67*E207/(E207+273.16-29.65)), 100)</f>
        <v>47.2858529145109</v>
      </c>
      <c r="W207" s="0" t="n">
        <f aca="false">MIN(0.263*M207/1000*1013.25*100/EXP(17.67*D207/(D207+273.16-29.65)), 100)</f>
        <v>100</v>
      </c>
      <c r="X207" s="0" t="n">
        <f aca="false">(198.58*(1/(2/15*ACOS(-TAN(3.1416/180*$L$1)*TAN(3.1416/180*23.45*SIN((2*3.1416/365*(C207+284)))))/3.1416*180))^2+5.0551/(2/15*ACOS(-TAN(3.1416/180*$L$1)*TAN(3.1416/180*23.45*SIN((2*3.1416/365*(C207+284)))))/3.1416*180)+1.49)*G207*2.02</f>
        <v>1109.49645946715</v>
      </c>
      <c r="Y207" s="424" t="n">
        <f aca="false">H207</f>
        <v>0</v>
      </c>
      <c r="Z207" s="424" t="n">
        <f aca="false">I207</f>
        <v>1</v>
      </c>
    </row>
    <row r="208" customFormat="false" ht="15.75" hidden="false" customHeight="false" outlineLevel="0" collapsed="false">
      <c r="B208" s="0" t="n">
        <v>1950</v>
      </c>
      <c r="C208" s="424" t="n">
        <v>207</v>
      </c>
      <c r="D208" s="0" t="n">
        <v>16.119999</v>
      </c>
      <c r="E208" s="0" t="n">
        <v>30.06</v>
      </c>
      <c r="F208" s="0" t="n">
        <v>77.5</v>
      </c>
      <c r="G208" s="0" t="n">
        <v>223</v>
      </c>
      <c r="H208" s="0" t="n">
        <v>0</v>
      </c>
      <c r="I208" s="0" t="n">
        <v>1</v>
      </c>
      <c r="M208" s="0" t="n">
        <f aca="false">F208/0.263*1000/1013.25/100*EXP(17.67*(D208+E208)/2/((D208+E208)/2+273.16-29.65))</f>
        <v>13.4358929095968</v>
      </c>
      <c r="R208" s="424" t="n">
        <f aca="false">B208</f>
        <v>1950</v>
      </c>
      <c r="S208" s="424" t="n">
        <f aca="false">C208</f>
        <v>207</v>
      </c>
      <c r="T208" s="424" t="n">
        <f aca="false">D208</f>
        <v>16.119999</v>
      </c>
      <c r="U208" s="424" t="n">
        <f aca="false">E208</f>
        <v>30.06</v>
      </c>
      <c r="V208" s="0" t="n">
        <f aca="false">MIN(0.263*M208/1000*1013.25*100/EXP(17.67*E208/(E208+273.16-29.65)), 100)</f>
        <v>51.3709960293486</v>
      </c>
      <c r="W208" s="0" t="n">
        <f aca="false">MIN(0.263*M208/1000*1013.25*100/EXP(17.67*D208/(D208+273.16-29.65)), 100)</f>
        <v>100</v>
      </c>
      <c r="X208" s="0" t="n">
        <f aca="false">(198.58*(1/(2/15*ACOS(-TAN(3.1416/180*$L$1)*TAN(3.1416/180*23.45*SIN((2*3.1416/365*(C208+284)))))/3.1416*180))^2+5.0551/(2/15*ACOS(-TAN(3.1416/180*$L$1)*TAN(3.1416/180*23.45*SIN((2*3.1416/365*(C208+284)))))/3.1416*180)+1.49)*G208*2.02</f>
        <v>1233.33872383206</v>
      </c>
      <c r="Y208" s="424" t="n">
        <f aca="false">H208</f>
        <v>0</v>
      </c>
      <c r="Z208" s="424" t="n">
        <f aca="false">I208</f>
        <v>1</v>
      </c>
    </row>
    <row r="209" customFormat="false" ht="15.75" hidden="false" customHeight="false" outlineLevel="0" collapsed="false">
      <c r="B209" s="0" t="n">
        <v>1950</v>
      </c>
      <c r="C209" s="424" t="n">
        <v>208</v>
      </c>
      <c r="D209" s="0" t="n">
        <v>18.88</v>
      </c>
      <c r="E209" s="0" t="n">
        <v>28.34</v>
      </c>
      <c r="F209" s="0" t="n">
        <v>79.700005</v>
      </c>
      <c r="G209" s="0" t="n">
        <v>193</v>
      </c>
      <c r="H209" s="0" t="n">
        <v>0</v>
      </c>
      <c r="I209" s="0" t="n">
        <v>1</v>
      </c>
      <c r="M209" s="0" t="n">
        <f aca="false">F209/0.263*1000/1013.25/100*EXP(17.67*(D209+E209)/2/((D209+E209)/2+273.16-29.65))</f>
        <v>14.2583155440514</v>
      </c>
      <c r="R209" s="424" t="n">
        <f aca="false">B209</f>
        <v>1950</v>
      </c>
      <c r="S209" s="424" t="n">
        <f aca="false">C209</f>
        <v>208</v>
      </c>
      <c r="T209" s="424" t="n">
        <f aca="false">D209</f>
        <v>18.88</v>
      </c>
      <c r="U209" s="424" t="n">
        <f aca="false">E209</f>
        <v>28.34</v>
      </c>
      <c r="V209" s="0" t="n">
        <f aca="false">MIN(0.263*M209/1000*1013.25*100/EXP(17.67*E209/(E209+273.16-29.65)), 100)</f>
        <v>60.2196235232833</v>
      </c>
      <c r="W209" s="0" t="n">
        <f aca="false">MIN(0.263*M209/1000*1013.25*100/EXP(17.67*D209/(D209+273.16-29.65)), 100)</f>
        <v>100</v>
      </c>
      <c r="X209" s="0" t="n">
        <f aca="false">(198.58*(1/(2/15*ACOS(-TAN(3.1416/180*$L$1)*TAN(3.1416/180*23.45*SIN((2*3.1416/365*(C209+284)))))/3.1416*180))^2+5.0551/(2/15*ACOS(-TAN(3.1416/180*$L$1)*TAN(3.1416/180*23.45*SIN((2*3.1416/365*(C209+284)))))/3.1416*180)+1.49)*G209*2.02</f>
        <v>1069.55858067378</v>
      </c>
      <c r="Y209" s="424" t="n">
        <f aca="false">H209</f>
        <v>0</v>
      </c>
      <c r="Z209" s="424" t="n">
        <f aca="false">I209</f>
        <v>1</v>
      </c>
    </row>
    <row r="210" customFormat="false" ht="15.75" hidden="false" customHeight="false" outlineLevel="0" collapsed="false">
      <c r="B210" s="0" t="n">
        <v>1950</v>
      </c>
      <c r="C210" s="424" t="n">
        <v>209</v>
      </c>
      <c r="D210" s="0" t="n">
        <v>17.16</v>
      </c>
      <c r="E210" s="0" t="n">
        <v>29.16</v>
      </c>
      <c r="F210" s="0" t="n">
        <v>73.96</v>
      </c>
      <c r="G210" s="0" t="n">
        <v>200</v>
      </c>
      <c r="H210" s="0" t="n">
        <v>0</v>
      </c>
      <c r="I210" s="0" t="n">
        <v>1</v>
      </c>
      <c r="M210" s="0" t="n">
        <f aca="false">F210/0.263*1000/1013.25/100*EXP(17.67*(D210+E210)/2/((D210+E210)/2+273.16-29.65))</f>
        <v>12.8766140017856</v>
      </c>
      <c r="R210" s="424" t="n">
        <f aca="false">B210</f>
        <v>1950</v>
      </c>
      <c r="S210" s="424" t="n">
        <f aca="false">C210</f>
        <v>209</v>
      </c>
      <c r="T210" s="424" t="n">
        <f aca="false">D210</f>
        <v>17.16</v>
      </c>
      <c r="U210" s="424" t="n">
        <f aca="false">E210</f>
        <v>29.16</v>
      </c>
      <c r="V210" s="0" t="n">
        <f aca="false">MIN(0.263*M210/1000*1013.25*100/EXP(17.67*E210/(E210+273.16-29.65)), 100)</f>
        <v>51.8560438695296</v>
      </c>
      <c r="W210" s="0" t="n">
        <f aca="false">MIN(0.263*M210/1000*1013.25*100/EXP(17.67*D210/(D210+273.16-29.65)), 100)</f>
        <v>100</v>
      </c>
      <c r="X210" s="0" t="n">
        <f aca="false">(198.58*(1/(2/15*ACOS(-TAN(3.1416/180*$L$1)*TAN(3.1416/180*23.45*SIN((2*3.1416/365*(C210+284)))))/3.1416*180))^2+5.0551/(2/15*ACOS(-TAN(3.1416/180*$L$1)*TAN(3.1416/180*23.45*SIN((2*3.1416/365*(C210+284)))))/3.1416*180)+1.49)*G210*2.02</f>
        <v>1110.62891022723</v>
      </c>
      <c r="Y210" s="424" t="n">
        <f aca="false">H210</f>
        <v>0</v>
      </c>
      <c r="Z210" s="424" t="n">
        <f aca="false">I210</f>
        <v>1</v>
      </c>
    </row>
    <row r="211" customFormat="false" ht="15.75" hidden="false" customHeight="false" outlineLevel="0" collapsed="false">
      <c r="B211" s="0" t="n">
        <v>1950</v>
      </c>
      <c r="C211" s="424" t="n">
        <v>210</v>
      </c>
      <c r="D211" s="0" t="n">
        <v>13.03</v>
      </c>
      <c r="E211" s="0" t="n">
        <v>29.73</v>
      </c>
      <c r="F211" s="0" t="n">
        <v>67.85</v>
      </c>
      <c r="G211" s="0" t="n">
        <v>268</v>
      </c>
      <c r="H211" s="0" t="n">
        <v>0</v>
      </c>
      <c r="I211" s="0" t="n">
        <v>1</v>
      </c>
      <c r="M211" s="0" t="n">
        <f aca="false">F211/0.263*1000/1013.25/100*EXP(17.67*(D211+E211)/2/((D211+E211)/2+273.16-29.65))</f>
        <v>10.599021970108</v>
      </c>
      <c r="R211" s="424" t="n">
        <f aca="false">B211</f>
        <v>1950</v>
      </c>
      <c r="S211" s="424" t="n">
        <f aca="false">C211</f>
        <v>210</v>
      </c>
      <c r="T211" s="424" t="n">
        <f aca="false">D211</f>
        <v>13.03</v>
      </c>
      <c r="U211" s="424" t="n">
        <f aca="false">E211</f>
        <v>29.73</v>
      </c>
      <c r="V211" s="0" t="n">
        <f aca="false">MIN(0.263*M211/1000*1013.25*100/EXP(17.67*E211/(E211+273.16-29.65)), 100)</f>
        <v>41.3016077997905</v>
      </c>
      <c r="W211" s="0" t="n">
        <f aca="false">MIN(0.263*M211/1000*1013.25*100/EXP(17.67*D211/(D211+273.16-29.65)), 100)</f>
        <v>100</v>
      </c>
      <c r="X211" s="0" t="n">
        <f aca="false">(198.58*(1/(2/15*ACOS(-TAN(3.1416/180*$L$1)*TAN(3.1416/180*23.45*SIN((2*3.1416/365*(C211+284)))))/3.1416*180))^2+5.0551/(2/15*ACOS(-TAN(3.1416/180*$L$1)*TAN(3.1416/180*23.45*SIN((2*3.1416/365*(C211+284)))))/3.1416*180)+1.49)*G211*2.02</f>
        <v>1491.37637950973</v>
      </c>
      <c r="Y211" s="424" t="n">
        <f aca="false">H211</f>
        <v>0</v>
      </c>
      <c r="Z211" s="424" t="n">
        <f aca="false">I211</f>
        <v>1</v>
      </c>
    </row>
    <row r="212" customFormat="false" ht="15.75" hidden="false" customHeight="false" outlineLevel="0" collapsed="false">
      <c r="B212" s="0" t="n">
        <v>1950</v>
      </c>
      <c r="C212" s="424" t="n">
        <v>211</v>
      </c>
      <c r="D212" s="0" t="n">
        <v>13.38</v>
      </c>
      <c r="E212" s="0" t="n">
        <v>30</v>
      </c>
      <c r="F212" s="0" t="n">
        <v>71.105</v>
      </c>
      <c r="G212" s="0" t="n">
        <v>277</v>
      </c>
      <c r="H212" s="0" t="n">
        <v>0</v>
      </c>
      <c r="I212" s="0" t="n">
        <v>1</v>
      </c>
      <c r="M212" s="0" t="n">
        <f aca="false">F212/0.263*1000/1013.25/100*EXP(17.67*(D212+E212)/2/((D212+E212)/2+273.16-29.65))</f>
        <v>11.320416425592</v>
      </c>
      <c r="R212" s="424" t="n">
        <f aca="false">B212</f>
        <v>1950</v>
      </c>
      <c r="S212" s="424" t="n">
        <f aca="false">C212</f>
        <v>211</v>
      </c>
      <c r="T212" s="424" t="n">
        <f aca="false">D212</f>
        <v>13.38</v>
      </c>
      <c r="U212" s="424" t="n">
        <f aca="false">E212</f>
        <v>30</v>
      </c>
      <c r="V212" s="0" t="n">
        <f aca="false">MIN(0.263*M212/1000*1013.25*100/EXP(17.67*E212/(E212+273.16-29.65)), 100)</f>
        <v>43.4322494164984</v>
      </c>
      <c r="W212" s="0" t="n">
        <f aca="false">MIN(0.263*M212/1000*1013.25*100/EXP(17.67*D212/(D212+273.16-29.65)), 100)</f>
        <v>100</v>
      </c>
      <c r="X212" s="0" t="n">
        <f aca="false">(198.58*(1/(2/15*ACOS(-TAN(3.1416/180*$L$1)*TAN(3.1416/180*23.45*SIN((2*3.1416/365*(C212+284)))))/3.1416*180))^2+5.0551/(2/15*ACOS(-TAN(3.1416/180*$L$1)*TAN(3.1416/180*23.45*SIN((2*3.1416/365*(C212+284)))))/3.1416*180)+1.49)*G212*2.02</f>
        <v>1544.78245971755</v>
      </c>
      <c r="Y212" s="424" t="n">
        <f aca="false">H212</f>
        <v>0</v>
      </c>
      <c r="Z212" s="424" t="n">
        <f aca="false">I212</f>
        <v>1</v>
      </c>
    </row>
    <row r="213" customFormat="false" ht="15.75" hidden="false" customHeight="false" outlineLevel="0" collapsed="false">
      <c r="B213" s="0" t="n">
        <v>1950</v>
      </c>
      <c r="C213" s="424" t="n">
        <v>212</v>
      </c>
      <c r="D213" s="0" t="n">
        <v>15.46</v>
      </c>
      <c r="E213" s="0" t="n">
        <v>26.49</v>
      </c>
      <c r="F213" s="0" t="n">
        <v>78.54</v>
      </c>
      <c r="G213" s="0" t="n">
        <v>194</v>
      </c>
      <c r="H213" s="0" t="n">
        <v>0</v>
      </c>
      <c r="I213" s="0" t="n">
        <v>1</v>
      </c>
      <c r="M213" s="0" t="n">
        <f aca="false">F213/0.263*1000/1013.25/100*EXP(17.67*(D213+E213)/2/((D213+E213)/2+273.16-29.65))</f>
        <v>11.9675235989808</v>
      </c>
      <c r="R213" s="424" t="n">
        <f aca="false">B213</f>
        <v>1950</v>
      </c>
      <c r="S213" s="424" t="n">
        <f aca="false">C213</f>
        <v>212</v>
      </c>
      <c r="T213" s="424" t="n">
        <f aca="false">D213</f>
        <v>15.46</v>
      </c>
      <c r="U213" s="424" t="n">
        <f aca="false">E213</f>
        <v>26.49</v>
      </c>
      <c r="V213" s="0" t="n">
        <f aca="false">MIN(0.263*M213/1000*1013.25*100/EXP(17.67*E213/(E213+273.16-29.65)), 100)</f>
        <v>56.3343913016684</v>
      </c>
      <c r="W213" s="0" t="n">
        <f aca="false">MIN(0.263*M213/1000*1013.25*100/EXP(17.67*D213/(D213+273.16-29.65)), 100)</f>
        <v>100</v>
      </c>
      <c r="X213" s="0" t="n">
        <f aca="false">(198.58*(1/(2/15*ACOS(-TAN(3.1416/180*$L$1)*TAN(3.1416/180*23.45*SIN((2*3.1416/365*(C213+284)))))/3.1416*180))^2+5.0551/(2/15*ACOS(-TAN(3.1416/180*$L$1)*TAN(3.1416/180*23.45*SIN((2*3.1416/365*(C213+284)))))/3.1416*180)+1.49)*G213*2.02</f>
        <v>1084.29092322501</v>
      </c>
      <c r="Y213" s="424" t="n">
        <f aca="false">H213</f>
        <v>0</v>
      </c>
      <c r="Z213" s="424" t="n">
        <f aca="false">I213</f>
        <v>1</v>
      </c>
    </row>
    <row r="214" customFormat="false" ht="15.75" hidden="false" customHeight="false" outlineLevel="0" collapsed="false">
      <c r="B214" s="0" t="n">
        <v>1950</v>
      </c>
      <c r="C214" s="424" t="n">
        <v>213</v>
      </c>
      <c r="D214" s="0" t="n">
        <v>13.509999</v>
      </c>
      <c r="E214" s="0" t="n">
        <v>25.26</v>
      </c>
      <c r="F214" s="0" t="n">
        <v>72.770004</v>
      </c>
      <c r="G214" s="0" t="n">
        <v>206</v>
      </c>
      <c r="H214" s="0" t="n">
        <v>0</v>
      </c>
      <c r="I214" s="0" t="n">
        <v>1</v>
      </c>
      <c r="M214" s="0" t="n">
        <f aca="false">F214/0.263*1000/1013.25/100*EXP(17.67*(D214+E214)/2/((D214+E214)/2+273.16-29.65))</f>
        <v>10.0492571303529</v>
      </c>
      <c r="R214" s="424" t="n">
        <f aca="false">B214</f>
        <v>1950</v>
      </c>
      <c r="S214" s="424" t="n">
        <f aca="false">C214</f>
        <v>213</v>
      </c>
      <c r="T214" s="424" t="n">
        <f aca="false">D214</f>
        <v>13.509999</v>
      </c>
      <c r="U214" s="424" t="n">
        <f aca="false">E214</f>
        <v>25.26</v>
      </c>
      <c r="V214" s="0" t="n">
        <f aca="false">MIN(0.263*M214/1000*1013.25*100/EXP(17.67*E214/(E214+273.16-29.65)), 100)</f>
        <v>50.8834945355489</v>
      </c>
      <c r="W214" s="0" t="n">
        <f aca="false">MIN(0.263*M214/1000*1013.25*100/EXP(17.67*D214/(D214+273.16-29.65)), 100)</f>
        <v>100</v>
      </c>
      <c r="X214" s="0" t="n">
        <f aca="false">(198.58*(1/(2/15*ACOS(-TAN(3.1416/180*$L$1)*TAN(3.1416/180*23.45*SIN((2*3.1416/365*(C214+284)))))/3.1416*180))^2+5.0551/(2/15*ACOS(-TAN(3.1416/180*$L$1)*TAN(3.1416/180*23.45*SIN((2*3.1416/365*(C214+284)))))/3.1416*180)+1.49)*G214*2.02</f>
        <v>1153.95564390383</v>
      </c>
      <c r="Y214" s="424" t="n">
        <f aca="false">H214</f>
        <v>0</v>
      </c>
      <c r="Z214" s="424" t="n">
        <f aca="false">I214</f>
        <v>1</v>
      </c>
    </row>
    <row r="215" customFormat="false" ht="15.75" hidden="false" customHeight="false" outlineLevel="0" collapsed="false">
      <c r="B215" s="0" t="n">
        <v>1950</v>
      </c>
      <c r="C215" s="424" t="n">
        <v>214</v>
      </c>
      <c r="D215" s="0" t="n">
        <v>14.99</v>
      </c>
      <c r="E215" s="0" t="n">
        <v>23.019999</v>
      </c>
      <c r="F215" s="0" t="n">
        <v>73.095</v>
      </c>
      <c r="G215" s="0" t="n">
        <v>240</v>
      </c>
      <c r="H215" s="0" t="n">
        <v>2.8</v>
      </c>
      <c r="I215" s="0" t="n">
        <v>1</v>
      </c>
      <c r="M215" s="0" t="n">
        <f aca="false">F215/0.263*1000/1013.25/100*EXP(17.67*(D215+E215)/2/((D215+E215)/2+273.16-29.65))</f>
        <v>9.85779890490866</v>
      </c>
      <c r="R215" s="424" t="n">
        <f aca="false">B215</f>
        <v>1950</v>
      </c>
      <c r="S215" s="424" t="n">
        <f aca="false">C215</f>
        <v>214</v>
      </c>
      <c r="T215" s="424" t="n">
        <f aca="false">D215</f>
        <v>14.99</v>
      </c>
      <c r="U215" s="424" t="n">
        <f aca="false">E215</f>
        <v>23.019999</v>
      </c>
      <c r="V215" s="0" t="n">
        <f aca="false">MIN(0.263*M215/1000*1013.25*100/EXP(17.67*E215/(E215+273.16-29.65)), 100)</f>
        <v>57.1026197655753</v>
      </c>
      <c r="W215" s="0" t="n">
        <f aca="false">MIN(0.263*M215/1000*1013.25*100/EXP(17.67*D215/(D215+273.16-29.65)), 100)</f>
        <v>94.2866775456214</v>
      </c>
      <c r="X215" s="0" t="n">
        <f aca="false">(198.58*(1/(2/15*ACOS(-TAN(3.1416/180*$L$1)*TAN(3.1416/180*23.45*SIN((2*3.1416/365*(C215+284)))))/3.1416*180))^2+5.0551/(2/15*ACOS(-TAN(3.1416/180*$L$1)*TAN(3.1416/180*23.45*SIN((2*3.1416/365*(C215+284)))))/3.1416*180)+1.49)*G215*2.02</f>
        <v>1347.5101549608</v>
      </c>
      <c r="Y215" s="424" t="n">
        <f aca="false">H215</f>
        <v>2.8</v>
      </c>
      <c r="Z215" s="424" t="n">
        <f aca="false">I215</f>
        <v>1</v>
      </c>
    </row>
    <row r="216" customFormat="false" ht="15.75" hidden="false" customHeight="false" outlineLevel="0" collapsed="false">
      <c r="B216" s="0" t="n">
        <v>1950</v>
      </c>
      <c r="C216" s="424" t="n">
        <v>215</v>
      </c>
      <c r="D216" s="0" t="n">
        <v>13.25</v>
      </c>
      <c r="E216" s="0" t="n">
        <v>22.4</v>
      </c>
      <c r="F216" s="0" t="n">
        <v>77.715004</v>
      </c>
      <c r="G216" s="0" t="n">
        <v>142</v>
      </c>
      <c r="H216" s="0" t="n">
        <v>0</v>
      </c>
      <c r="I216" s="0" t="n">
        <v>1</v>
      </c>
      <c r="M216" s="0" t="n">
        <f aca="false">F216/0.263*1000/1013.25/100*EXP(17.67*(D216+E216)/2/((D216+E216)/2+273.16-29.65))</f>
        <v>9.73319750506075</v>
      </c>
      <c r="R216" s="424" t="n">
        <f aca="false">B216</f>
        <v>1950</v>
      </c>
      <c r="S216" s="424" t="n">
        <f aca="false">C216</f>
        <v>215</v>
      </c>
      <c r="T216" s="424" t="n">
        <f aca="false">D216</f>
        <v>13.25</v>
      </c>
      <c r="U216" s="424" t="n">
        <f aca="false">E216</f>
        <v>22.4</v>
      </c>
      <c r="V216" s="0" t="n">
        <f aca="false">MIN(0.263*M216/1000*1013.25*100/EXP(17.67*E216/(E216+273.16-29.65)), 100)</f>
        <v>58.5435406617709</v>
      </c>
      <c r="W216" s="0" t="n">
        <f aca="false">MIN(0.263*M216/1000*1013.25*100/EXP(17.67*D216/(D216+273.16-29.65)), 100)</f>
        <v>100</v>
      </c>
      <c r="X216" s="0" t="n">
        <f aca="false">(198.58*(1/(2/15*ACOS(-TAN(3.1416/180*$L$1)*TAN(3.1416/180*23.45*SIN((2*3.1416/365*(C216+284)))))/3.1416*180))^2+5.0551/(2/15*ACOS(-TAN(3.1416/180*$L$1)*TAN(3.1416/180*23.45*SIN((2*3.1416/365*(C216+284)))))/3.1416*180)+1.49)*G216*2.02</f>
        <v>799.151289217748</v>
      </c>
      <c r="Y216" s="424" t="n">
        <f aca="false">H216</f>
        <v>0</v>
      </c>
      <c r="Z216" s="424" t="n">
        <f aca="false">I216</f>
        <v>1</v>
      </c>
    </row>
    <row r="217" customFormat="false" ht="15.75" hidden="false" customHeight="false" outlineLevel="0" collapsed="false">
      <c r="B217" s="0" t="n">
        <v>1950</v>
      </c>
      <c r="C217" s="424" t="n">
        <v>216</v>
      </c>
      <c r="D217" s="0" t="n">
        <v>9.78</v>
      </c>
      <c r="E217" s="0" t="n">
        <v>25</v>
      </c>
      <c r="F217" s="0" t="n">
        <v>67.630005</v>
      </c>
      <c r="G217" s="0" t="n">
        <v>317</v>
      </c>
      <c r="H217" s="0" t="n">
        <v>0</v>
      </c>
      <c r="I217" s="0" t="n">
        <v>1</v>
      </c>
      <c r="M217" s="0" t="n">
        <f aca="false">F217/0.263*1000/1013.25/100*EXP(17.67*(D217+E217)/2/((D217+E217)/2+273.16-29.65))</f>
        <v>8.24077227985924</v>
      </c>
      <c r="R217" s="424" t="n">
        <f aca="false">B217</f>
        <v>1950</v>
      </c>
      <c r="S217" s="424" t="n">
        <f aca="false">C217</f>
        <v>216</v>
      </c>
      <c r="T217" s="424" t="n">
        <f aca="false">D217</f>
        <v>9.78</v>
      </c>
      <c r="U217" s="424" t="n">
        <f aca="false">E217</f>
        <v>25</v>
      </c>
      <c r="V217" s="0" t="n">
        <f aca="false">MIN(0.263*M217/1000*1013.25*100/EXP(17.67*E217/(E217+273.16-29.65)), 100)</f>
        <v>42.3782756950356</v>
      </c>
      <c r="W217" s="0" t="n">
        <f aca="false">MIN(0.263*M217/1000*1013.25*100/EXP(17.67*D217/(D217+273.16-29.65)), 100)</f>
        <v>100</v>
      </c>
      <c r="X217" s="0" t="n">
        <f aca="false">(198.58*(1/(2/15*ACOS(-TAN(3.1416/180*$L$1)*TAN(3.1416/180*23.45*SIN((2*3.1416/365*(C217+284)))))/3.1416*180))^2+5.0551/(2/15*ACOS(-TAN(3.1416/180*$L$1)*TAN(3.1416/180*23.45*SIN((2*3.1416/365*(C217+284)))))/3.1416*180)+1.49)*G217*2.02</f>
        <v>1788.30076944503</v>
      </c>
      <c r="Y217" s="424" t="n">
        <f aca="false">H217</f>
        <v>0</v>
      </c>
      <c r="Z217" s="424" t="n">
        <f aca="false">I217</f>
        <v>1</v>
      </c>
    </row>
    <row r="218" customFormat="false" ht="15.75" hidden="false" customHeight="false" outlineLevel="0" collapsed="false">
      <c r="B218" s="0" t="n">
        <v>1950</v>
      </c>
      <c r="C218" s="424" t="n">
        <v>217</v>
      </c>
      <c r="D218" s="0" t="n">
        <v>12.259999</v>
      </c>
      <c r="E218" s="0" t="n">
        <v>30.269999</v>
      </c>
      <c r="F218" s="0" t="n">
        <v>54.595</v>
      </c>
      <c r="G218" s="0" t="n">
        <v>303</v>
      </c>
      <c r="H218" s="0" t="n">
        <v>0</v>
      </c>
      <c r="I218" s="0" t="n">
        <v>1</v>
      </c>
      <c r="M218" s="0" t="n">
        <f aca="false">F218/0.263*1000/1013.25/100*EXP(17.67*(D218+E218)/2/((D218+E218)/2+273.16-29.65))</f>
        <v>8.46846612083523</v>
      </c>
      <c r="R218" s="424" t="n">
        <f aca="false">B218</f>
        <v>1950</v>
      </c>
      <c r="S218" s="424" t="n">
        <f aca="false">C218</f>
        <v>217</v>
      </c>
      <c r="T218" s="424" t="n">
        <f aca="false">D218</f>
        <v>12.259999</v>
      </c>
      <c r="U218" s="424" t="n">
        <f aca="false">E218</f>
        <v>30.269999</v>
      </c>
      <c r="V218" s="0" t="n">
        <f aca="false">MIN(0.263*M218/1000*1013.25*100/EXP(17.67*E218/(E218+273.16-29.65)), 100)</f>
        <v>31.9901862906733</v>
      </c>
      <c r="W218" s="0" t="n">
        <f aca="false">MIN(0.263*M218/1000*1013.25*100/EXP(17.67*D218/(D218+273.16-29.65)), 100)</f>
        <v>96.7463957905896</v>
      </c>
      <c r="X218" s="0" t="n">
        <f aca="false">(198.58*(1/(2/15*ACOS(-TAN(3.1416/180*$L$1)*TAN(3.1416/180*23.45*SIN((2*3.1416/365*(C218+284)))))/3.1416*180))^2+5.0551/(2/15*ACOS(-TAN(3.1416/180*$L$1)*TAN(3.1416/180*23.45*SIN((2*3.1416/365*(C218+284)))))/3.1416*180)+1.49)*G218*2.02</f>
        <v>1713.50430931396</v>
      </c>
      <c r="Y218" s="424" t="n">
        <f aca="false">H218</f>
        <v>0</v>
      </c>
      <c r="Z218" s="424" t="n">
        <f aca="false">I218</f>
        <v>1</v>
      </c>
    </row>
    <row r="219" customFormat="false" ht="15.75" hidden="false" customHeight="false" outlineLevel="0" collapsed="false">
      <c r="B219" s="0" t="n">
        <v>1950</v>
      </c>
      <c r="C219" s="424" t="n">
        <v>218</v>
      </c>
      <c r="D219" s="0" t="n">
        <v>12.139999</v>
      </c>
      <c r="E219" s="0" t="n">
        <v>31.179998</v>
      </c>
      <c r="F219" s="0" t="n">
        <v>61.375</v>
      </c>
      <c r="G219" s="0" t="n">
        <v>274</v>
      </c>
      <c r="H219" s="0" t="n">
        <v>3.6000001</v>
      </c>
      <c r="I219" s="0" t="n">
        <v>1</v>
      </c>
      <c r="M219" s="0" t="n">
        <f aca="false">F219/0.263*1000/1013.25/100*EXP(17.67*(D219+E219)/2/((D219+E219)/2+273.16-29.65))</f>
        <v>9.75341130280489</v>
      </c>
      <c r="R219" s="424" t="n">
        <f aca="false">B219</f>
        <v>1950</v>
      </c>
      <c r="S219" s="424" t="n">
        <f aca="false">C219</f>
        <v>218</v>
      </c>
      <c r="T219" s="424" t="n">
        <f aca="false">D219</f>
        <v>12.139999</v>
      </c>
      <c r="U219" s="424" t="n">
        <f aca="false">E219</f>
        <v>31.179998</v>
      </c>
      <c r="V219" s="0" t="n">
        <f aca="false">MIN(0.263*M219/1000*1013.25*100/EXP(17.67*E219/(E219+273.16-29.65)), 100)</f>
        <v>34.9749266253886</v>
      </c>
      <c r="W219" s="0" t="n">
        <f aca="false">MIN(0.263*M219/1000*1013.25*100/EXP(17.67*D219/(D219+273.16-29.65)), 100)</f>
        <v>100</v>
      </c>
      <c r="X219" s="0" t="n">
        <f aca="false">(198.58*(1/(2/15*ACOS(-TAN(3.1416/180*$L$1)*TAN(3.1416/180*23.45*SIN((2*3.1416/365*(C219+284)))))/3.1416*180))^2+5.0551/(2/15*ACOS(-TAN(3.1416/180*$L$1)*TAN(3.1416/180*23.45*SIN((2*3.1416/365*(C219+284)))))/3.1416*180)+1.49)*G219*2.02</f>
        <v>1553.36989383682</v>
      </c>
      <c r="Y219" s="424" t="n">
        <f aca="false">H219</f>
        <v>3.6000001</v>
      </c>
      <c r="Z219" s="424" t="n">
        <f aca="false">I219</f>
        <v>1</v>
      </c>
    </row>
    <row r="220" customFormat="false" ht="15.75" hidden="false" customHeight="false" outlineLevel="0" collapsed="false">
      <c r="B220" s="0" t="n">
        <v>1950</v>
      </c>
      <c r="C220" s="424" t="n">
        <v>219</v>
      </c>
      <c r="D220" s="0" t="n">
        <v>16.449999</v>
      </c>
      <c r="E220" s="0" t="n">
        <v>24.06</v>
      </c>
      <c r="F220" s="0" t="n">
        <v>85.32</v>
      </c>
      <c r="G220" s="0" t="n">
        <v>189</v>
      </c>
      <c r="H220" s="0" t="n">
        <v>1.8000001</v>
      </c>
      <c r="I220" s="0" t="n">
        <v>1</v>
      </c>
      <c r="M220" s="0" t="n">
        <f aca="false">F220/0.263*1000/1013.25/100*EXP(17.67*(D220+E220)/2/((D220+E220)/2+273.16-29.65))</f>
        <v>12.4359164200534</v>
      </c>
      <c r="R220" s="424" t="n">
        <f aca="false">B220</f>
        <v>1950</v>
      </c>
      <c r="S220" s="424" t="n">
        <f aca="false">C220</f>
        <v>219</v>
      </c>
      <c r="T220" s="424" t="n">
        <f aca="false">D220</f>
        <v>16.449999</v>
      </c>
      <c r="U220" s="424" t="n">
        <f aca="false">E220</f>
        <v>24.06</v>
      </c>
      <c r="V220" s="0" t="n">
        <f aca="false">MIN(0.263*M220/1000*1013.25*100/EXP(17.67*E220/(E220+273.16-29.65)), 100)</f>
        <v>67.6554101032194</v>
      </c>
      <c r="W220" s="0" t="n">
        <f aca="false">MIN(0.263*M220/1000*1013.25*100/EXP(17.67*D220/(D220+273.16-29.65)), 100)</f>
        <v>100</v>
      </c>
      <c r="X220" s="0" t="n">
        <f aca="false">(198.58*(1/(2/15*ACOS(-TAN(3.1416/180*$L$1)*TAN(3.1416/180*23.45*SIN((2*3.1416/365*(C220+284)))))/3.1416*180))^2+5.0551/(2/15*ACOS(-TAN(3.1416/180*$L$1)*TAN(3.1416/180*23.45*SIN((2*3.1416/365*(C220+284)))))/3.1416*180)+1.49)*G220*2.02</f>
        <v>1074.20755151221</v>
      </c>
      <c r="Y220" s="424" t="n">
        <f aca="false">H220</f>
        <v>1.8000001</v>
      </c>
      <c r="Z220" s="424" t="n">
        <f aca="false">I220</f>
        <v>1</v>
      </c>
    </row>
    <row r="221" customFormat="false" ht="15.75" hidden="false" customHeight="false" outlineLevel="0" collapsed="false">
      <c r="B221" s="0" t="n">
        <v>1950</v>
      </c>
      <c r="C221" s="424" t="n">
        <v>220</v>
      </c>
      <c r="D221" s="0" t="n">
        <v>12.87</v>
      </c>
      <c r="E221" s="0" t="n">
        <v>27.74</v>
      </c>
      <c r="F221" s="0" t="n">
        <v>76.11</v>
      </c>
      <c r="G221" s="0" t="n">
        <v>326</v>
      </c>
      <c r="H221" s="0" t="n">
        <v>0</v>
      </c>
      <c r="I221" s="0" t="n">
        <v>1</v>
      </c>
      <c r="M221" s="0" t="n">
        <f aca="false">F221/0.263*1000/1013.25/100*EXP(17.67*(D221+E221)/2/((D221+E221)/2+273.16-29.65))</f>
        <v>11.1278540344966</v>
      </c>
      <c r="R221" s="424" t="n">
        <f aca="false">B221</f>
        <v>1950</v>
      </c>
      <c r="S221" s="424" t="n">
        <f aca="false">C221</f>
        <v>220</v>
      </c>
      <c r="T221" s="424" t="n">
        <f aca="false">D221</f>
        <v>12.87</v>
      </c>
      <c r="U221" s="424" t="n">
        <f aca="false">E221</f>
        <v>27.74</v>
      </c>
      <c r="V221" s="0" t="n">
        <f aca="false">MIN(0.263*M221/1000*1013.25*100/EXP(17.67*E221/(E221+273.16-29.65)), 100)</f>
        <v>48.6728026111996</v>
      </c>
      <c r="W221" s="0" t="n">
        <f aca="false">MIN(0.263*M221/1000*1013.25*100/EXP(17.67*D221/(D221+273.16-29.65)), 100)</f>
        <v>100</v>
      </c>
      <c r="X221" s="0" t="n">
        <f aca="false">(198.58*(1/(2/15*ACOS(-TAN(3.1416/180*$L$1)*TAN(3.1416/180*23.45*SIN((2*3.1416/365*(C221+284)))))/3.1416*180))^2+5.0551/(2/15*ACOS(-TAN(3.1416/180*$L$1)*TAN(3.1416/180*23.45*SIN((2*3.1416/365*(C221+284)))))/3.1416*180)+1.49)*G221*2.02</f>
        <v>1857.66010457912</v>
      </c>
      <c r="Y221" s="424" t="n">
        <f aca="false">H221</f>
        <v>0</v>
      </c>
      <c r="Z221" s="424" t="n">
        <f aca="false">I221</f>
        <v>1</v>
      </c>
    </row>
    <row r="222" customFormat="false" ht="15.75" hidden="false" customHeight="false" outlineLevel="0" collapsed="false">
      <c r="B222" s="0" t="n">
        <v>1950</v>
      </c>
      <c r="C222" s="424" t="n">
        <v>221</v>
      </c>
      <c r="D222" s="0" t="n">
        <v>13.62</v>
      </c>
      <c r="E222" s="0" t="n">
        <v>30.63</v>
      </c>
      <c r="F222" s="0" t="n">
        <v>75.825</v>
      </c>
      <c r="G222" s="0" t="n">
        <v>301</v>
      </c>
      <c r="H222" s="0" t="n">
        <v>7.3</v>
      </c>
      <c r="I222" s="0" t="n">
        <v>1</v>
      </c>
      <c r="M222" s="0" t="n">
        <f aca="false">F222/0.263*1000/1013.25/100*EXP(17.67*(D222+E222)/2/((D222+E222)/2+273.16-29.65))</f>
        <v>12.3969165896838</v>
      </c>
      <c r="R222" s="424" t="n">
        <f aca="false">B222</f>
        <v>1950</v>
      </c>
      <c r="S222" s="424" t="n">
        <f aca="false">C222</f>
        <v>221</v>
      </c>
      <c r="T222" s="424" t="n">
        <f aca="false">D222</f>
        <v>13.62</v>
      </c>
      <c r="U222" s="424" t="n">
        <f aca="false">E222</f>
        <v>30.63</v>
      </c>
      <c r="V222" s="0" t="n">
        <f aca="false">MIN(0.263*M222/1000*1013.25*100/EXP(17.67*E222/(E222+273.16-29.65)), 100)</f>
        <v>45.8735561358155</v>
      </c>
      <c r="W222" s="0" t="n">
        <f aca="false">MIN(0.263*M222/1000*1013.25*100/EXP(17.67*D222/(D222+273.16-29.65)), 100)</f>
        <v>100</v>
      </c>
      <c r="X222" s="0" t="n">
        <f aca="false">(198.58*(1/(2/15*ACOS(-TAN(3.1416/180*$L$1)*TAN(3.1416/180*23.45*SIN((2*3.1416/365*(C222+284)))))/3.1416*180))^2+5.0551/(2/15*ACOS(-TAN(3.1416/180*$L$1)*TAN(3.1416/180*23.45*SIN((2*3.1416/365*(C222+284)))))/3.1416*180)+1.49)*G222*2.02</f>
        <v>1719.71882621284</v>
      </c>
      <c r="Y222" s="424" t="n">
        <f aca="false">H222</f>
        <v>7.3</v>
      </c>
      <c r="Z222" s="424" t="n">
        <f aca="false">I222</f>
        <v>1</v>
      </c>
    </row>
    <row r="223" customFormat="false" ht="15.75" hidden="false" customHeight="false" outlineLevel="0" collapsed="false">
      <c r="B223" s="0" t="n">
        <v>1950</v>
      </c>
      <c r="C223" s="424" t="n">
        <v>222</v>
      </c>
      <c r="D223" s="0" t="n">
        <v>15.49</v>
      </c>
      <c r="E223" s="0" t="n">
        <v>21.88</v>
      </c>
      <c r="F223" s="0" t="n">
        <v>87.005005</v>
      </c>
      <c r="G223" s="0" t="n">
        <v>95</v>
      </c>
      <c r="H223" s="0" t="n">
        <v>7.4</v>
      </c>
      <c r="I223" s="0" t="n">
        <v>1</v>
      </c>
      <c r="M223" s="0" t="n">
        <f aca="false">F223/0.263*1000/1013.25/100*EXP(17.67*(D223+E223)/2/((D223+E223)/2+273.16-29.65))</f>
        <v>11.5013480996045</v>
      </c>
      <c r="R223" s="424" t="n">
        <f aca="false">B223</f>
        <v>1950</v>
      </c>
      <c r="S223" s="424" t="n">
        <f aca="false">C223</f>
        <v>222</v>
      </c>
      <c r="T223" s="424" t="n">
        <f aca="false">D223</f>
        <v>15.49</v>
      </c>
      <c r="U223" s="424" t="n">
        <f aca="false">E223</f>
        <v>21.88</v>
      </c>
      <c r="V223" s="0" t="n">
        <f aca="false">MIN(0.263*M223/1000*1013.25*100/EXP(17.67*E223/(E223+273.16-29.65)), 100)</f>
        <v>71.4071682681827</v>
      </c>
      <c r="W223" s="0" t="n">
        <f aca="false">MIN(0.263*M223/1000*1013.25*100/EXP(17.67*D223/(D223+273.16-29.65)), 100)</f>
        <v>100</v>
      </c>
      <c r="X223" s="0" t="n">
        <f aca="false">(198.58*(1/(2/15*ACOS(-TAN(3.1416/180*$L$1)*TAN(3.1416/180*23.45*SIN((2*3.1416/365*(C223+284)))))/3.1416*180))^2+5.0551/(2/15*ACOS(-TAN(3.1416/180*$L$1)*TAN(3.1416/180*23.45*SIN((2*3.1416/365*(C223+284)))))/3.1416*180)+1.49)*G223*2.02</f>
        <v>544.222823136435</v>
      </c>
      <c r="Y223" s="424" t="n">
        <f aca="false">H223</f>
        <v>7.4</v>
      </c>
      <c r="Z223" s="424" t="n">
        <f aca="false">I223</f>
        <v>1</v>
      </c>
    </row>
    <row r="224" customFormat="false" ht="15.75" hidden="false" customHeight="false" outlineLevel="0" collapsed="false">
      <c r="B224" s="0" t="n">
        <v>1950</v>
      </c>
      <c r="C224" s="424" t="n">
        <v>223</v>
      </c>
      <c r="D224" s="0" t="n">
        <v>12.75</v>
      </c>
      <c r="E224" s="0" t="n">
        <v>25.4</v>
      </c>
      <c r="F224" s="0" t="n">
        <v>72.845</v>
      </c>
      <c r="G224" s="0" t="n">
        <v>191</v>
      </c>
      <c r="H224" s="0" t="n">
        <v>0</v>
      </c>
      <c r="I224" s="0" t="n">
        <v>1</v>
      </c>
      <c r="M224" s="0" t="n">
        <f aca="false">F224/0.263*1000/1013.25/100*EXP(17.67*(D224+E224)/2/((D224+E224)/2+273.16-29.65))</f>
        <v>9.86710331992494</v>
      </c>
      <c r="R224" s="424" t="n">
        <f aca="false">B224</f>
        <v>1950</v>
      </c>
      <c r="S224" s="424" t="n">
        <f aca="false">C224</f>
        <v>223</v>
      </c>
      <c r="T224" s="424" t="n">
        <f aca="false">D224</f>
        <v>12.75</v>
      </c>
      <c r="U224" s="424" t="n">
        <f aca="false">E224</f>
        <v>25.4</v>
      </c>
      <c r="V224" s="0" t="n">
        <f aca="false">MIN(0.263*M224/1000*1013.25*100/EXP(17.67*E224/(E224+273.16-29.65)), 100)</f>
        <v>49.546490996721</v>
      </c>
      <c r="W224" s="0" t="n">
        <f aca="false">MIN(0.263*M224/1000*1013.25*100/EXP(17.67*D224/(D224+273.16-29.65)), 100)</f>
        <v>100</v>
      </c>
      <c r="X224" s="0" t="n">
        <f aca="false">(198.58*(1/(2/15*ACOS(-TAN(3.1416/180*$L$1)*TAN(3.1416/180*23.45*SIN((2*3.1416/365*(C224+284)))))/3.1416*180))^2+5.0551/(2/15*ACOS(-TAN(3.1416/180*$L$1)*TAN(3.1416/180*23.45*SIN((2*3.1416/365*(C224+284)))))/3.1416*180)+1.49)*G224*2.02</f>
        <v>1097.15622856381</v>
      </c>
      <c r="Y224" s="424" t="n">
        <f aca="false">H224</f>
        <v>0</v>
      </c>
      <c r="Z224" s="424" t="n">
        <f aca="false">I224</f>
        <v>1</v>
      </c>
    </row>
    <row r="225" customFormat="false" ht="15.75" hidden="false" customHeight="false" outlineLevel="0" collapsed="false">
      <c r="B225" s="0" t="n">
        <v>1950</v>
      </c>
      <c r="C225" s="424" t="n">
        <v>224</v>
      </c>
      <c r="D225" s="0" t="n">
        <v>11.429999</v>
      </c>
      <c r="E225" s="0" t="n">
        <v>26.84</v>
      </c>
      <c r="F225" s="0" t="n">
        <v>69.105</v>
      </c>
      <c r="G225" s="0" t="n">
        <v>294</v>
      </c>
      <c r="H225" s="0" t="n">
        <v>0</v>
      </c>
      <c r="I225" s="0" t="n">
        <v>1</v>
      </c>
      <c r="M225" s="0" t="n">
        <f aca="false">F225/0.263*1000/1013.25/100*EXP(17.67*(D225+E225)/2/((D225+E225)/2+273.16-29.65))</f>
        <v>9.39561302551327</v>
      </c>
      <c r="R225" s="424" t="n">
        <f aca="false">B225</f>
        <v>1950</v>
      </c>
      <c r="S225" s="424" t="n">
        <f aca="false">C225</f>
        <v>224</v>
      </c>
      <c r="T225" s="424" t="n">
        <f aca="false">D225</f>
        <v>11.429999</v>
      </c>
      <c r="U225" s="424" t="n">
        <f aca="false">E225</f>
        <v>26.84</v>
      </c>
      <c r="V225" s="0" t="n">
        <f aca="false">MIN(0.263*M225/1000*1013.25*100/EXP(17.67*E225/(E225+273.16-29.65)), 100)</f>
        <v>43.3245717871272</v>
      </c>
      <c r="W225" s="0" t="n">
        <f aca="false">MIN(0.263*M225/1000*1013.25*100/EXP(17.67*D225/(D225+273.16-29.65)), 100)</f>
        <v>100</v>
      </c>
      <c r="X225" s="0" t="n">
        <f aca="false">(198.58*(1/(2/15*ACOS(-TAN(3.1416/180*$L$1)*TAN(3.1416/180*23.45*SIN((2*3.1416/365*(C225+284)))))/3.1416*180))^2+5.0551/(2/15*ACOS(-TAN(3.1416/180*$L$1)*TAN(3.1416/180*23.45*SIN((2*3.1416/365*(C225+284)))))/3.1416*180)+1.49)*G225*2.02</f>
        <v>1693.49543192965</v>
      </c>
      <c r="Y225" s="424" t="n">
        <f aca="false">H225</f>
        <v>0</v>
      </c>
      <c r="Z225" s="424" t="n">
        <f aca="false">I225</f>
        <v>1</v>
      </c>
    </row>
    <row r="226" customFormat="false" ht="15.75" hidden="false" customHeight="false" outlineLevel="0" collapsed="false">
      <c r="B226" s="0" t="n">
        <v>1950</v>
      </c>
      <c r="C226" s="424" t="n">
        <v>225</v>
      </c>
      <c r="D226" s="0" t="n">
        <v>11.759999</v>
      </c>
      <c r="E226" s="0" t="n">
        <v>26.72</v>
      </c>
      <c r="F226" s="0" t="n">
        <v>75.31</v>
      </c>
      <c r="G226" s="0" t="n">
        <v>250</v>
      </c>
      <c r="H226" s="0" t="n">
        <v>0</v>
      </c>
      <c r="I226" s="0" t="n">
        <v>1</v>
      </c>
      <c r="M226" s="0" t="n">
        <f aca="false">F226/0.263*1000/1013.25/100*EXP(17.67*(D226+E226)/2/((D226+E226)/2+273.16-29.65))</f>
        <v>10.3065080769699</v>
      </c>
      <c r="R226" s="424" t="n">
        <f aca="false">B226</f>
        <v>1950</v>
      </c>
      <c r="S226" s="424" t="n">
        <f aca="false">C226</f>
        <v>225</v>
      </c>
      <c r="T226" s="424" t="n">
        <f aca="false">D226</f>
        <v>11.759999</v>
      </c>
      <c r="U226" s="424" t="n">
        <f aca="false">E226</f>
        <v>26.72</v>
      </c>
      <c r="V226" s="0" t="n">
        <f aca="false">MIN(0.263*M226/1000*1013.25*100/EXP(17.67*E226/(E226+273.16-29.65)), 100)</f>
        <v>47.861923061543</v>
      </c>
      <c r="W226" s="0" t="n">
        <f aca="false">MIN(0.263*M226/1000*1013.25*100/EXP(17.67*D226/(D226+273.16-29.65)), 100)</f>
        <v>100</v>
      </c>
      <c r="X226" s="0" t="n">
        <f aca="false">(198.58*(1/(2/15*ACOS(-TAN(3.1416/180*$L$1)*TAN(3.1416/180*23.45*SIN((2*3.1416/365*(C226+284)))))/3.1416*180))^2+5.0551/(2/15*ACOS(-TAN(3.1416/180*$L$1)*TAN(3.1416/180*23.45*SIN((2*3.1416/365*(C226+284)))))/3.1416*180)+1.49)*G226*2.02</f>
        <v>1444.1017929394</v>
      </c>
      <c r="Y226" s="424" t="n">
        <f aca="false">H226</f>
        <v>0</v>
      </c>
      <c r="Z226" s="424" t="n">
        <f aca="false">I226</f>
        <v>1</v>
      </c>
    </row>
    <row r="227" customFormat="false" ht="15.75" hidden="false" customHeight="false" outlineLevel="0" collapsed="false">
      <c r="B227" s="0" t="n">
        <v>1950</v>
      </c>
      <c r="C227" s="424" t="n">
        <v>226</v>
      </c>
      <c r="D227" s="0" t="n">
        <v>14.96</v>
      </c>
      <c r="E227" s="0" t="n">
        <v>26.43</v>
      </c>
      <c r="F227" s="0" t="n">
        <v>77.785</v>
      </c>
      <c r="G227" s="0" t="n">
        <v>276</v>
      </c>
      <c r="H227" s="0" t="n">
        <v>0</v>
      </c>
      <c r="I227" s="0" t="n">
        <v>1</v>
      </c>
      <c r="M227" s="0" t="n">
        <f aca="false">F227/0.263*1000/1013.25/100*EXP(17.67*(D227+E227)/2/((D227+E227)/2+273.16-29.65))</f>
        <v>11.6498802806229</v>
      </c>
      <c r="R227" s="424" t="n">
        <f aca="false">B227</f>
        <v>1950</v>
      </c>
      <c r="S227" s="424" t="n">
        <f aca="false">C227</f>
        <v>226</v>
      </c>
      <c r="T227" s="424" t="n">
        <f aca="false">D227</f>
        <v>14.96</v>
      </c>
      <c r="U227" s="424" t="n">
        <f aca="false">E227</f>
        <v>26.43</v>
      </c>
      <c r="V227" s="0" t="n">
        <f aca="false">MIN(0.263*M227/1000*1013.25*100/EXP(17.67*E227/(E227+273.16-29.65)), 100)</f>
        <v>55.0337536756722</v>
      </c>
      <c r="W227" s="0" t="n">
        <f aca="false">MIN(0.263*M227/1000*1013.25*100/EXP(17.67*D227/(D227+273.16-29.65)), 100)</f>
        <v>100</v>
      </c>
      <c r="X227" s="0" t="n">
        <f aca="false">(198.58*(1/(2/15*ACOS(-TAN(3.1416/180*$L$1)*TAN(3.1416/180*23.45*SIN((2*3.1416/365*(C227+284)))))/3.1416*180))^2+5.0551/(2/15*ACOS(-TAN(3.1416/180*$L$1)*TAN(3.1416/180*23.45*SIN((2*3.1416/365*(C227+284)))))/3.1416*180)+1.49)*G227*2.02</f>
        <v>1598.8486803402</v>
      </c>
      <c r="Y227" s="424" t="n">
        <f aca="false">H227</f>
        <v>0</v>
      </c>
      <c r="Z227" s="424" t="n">
        <f aca="false">I227</f>
        <v>1</v>
      </c>
    </row>
    <row r="228" customFormat="false" ht="15.75" hidden="false" customHeight="false" outlineLevel="0" collapsed="false">
      <c r="B228" s="0" t="n">
        <v>1950</v>
      </c>
      <c r="C228" s="424" t="n">
        <v>227</v>
      </c>
      <c r="D228" s="0" t="n">
        <v>12.349999</v>
      </c>
      <c r="E228" s="0" t="n">
        <v>26.789999</v>
      </c>
      <c r="F228" s="0" t="n">
        <v>74.115</v>
      </c>
      <c r="G228" s="0" t="n">
        <v>235</v>
      </c>
      <c r="H228" s="0" t="n">
        <v>0</v>
      </c>
      <c r="I228" s="0" t="n">
        <v>1</v>
      </c>
      <c r="M228" s="0" t="n">
        <f aca="false">F228/0.263*1000/1013.25/100*EXP(17.67*(D228+E228)/2/((D228+E228)/2+273.16-29.65))</f>
        <v>10.3534753528093</v>
      </c>
      <c r="R228" s="424" t="n">
        <f aca="false">B228</f>
        <v>1950</v>
      </c>
      <c r="S228" s="424" t="n">
        <f aca="false">C228</f>
        <v>227</v>
      </c>
      <c r="T228" s="424" t="n">
        <f aca="false">D228</f>
        <v>12.349999</v>
      </c>
      <c r="U228" s="424" t="n">
        <f aca="false">E228</f>
        <v>26.789999</v>
      </c>
      <c r="V228" s="0" t="n">
        <f aca="false">MIN(0.263*M228/1000*1013.25*100/EXP(17.67*E228/(E228+273.16-29.65)), 100)</f>
        <v>47.8821826272843</v>
      </c>
      <c r="W228" s="0" t="n">
        <f aca="false">MIN(0.263*M228/1000*1013.25*100/EXP(17.67*D228/(D228+273.16-29.65)), 100)</f>
        <v>100</v>
      </c>
      <c r="X228" s="0" t="n">
        <f aca="false">(198.58*(1/(2/15*ACOS(-TAN(3.1416/180*$L$1)*TAN(3.1416/180*23.45*SIN((2*3.1416/365*(C228+284)))))/3.1416*180))^2+5.0551/(2/15*ACOS(-TAN(3.1416/180*$L$1)*TAN(3.1416/180*23.45*SIN((2*3.1416/365*(C228+284)))))/3.1416*180)+1.49)*G228*2.02</f>
        <v>1365.29307964431</v>
      </c>
      <c r="Y228" s="424" t="n">
        <f aca="false">H228</f>
        <v>0</v>
      </c>
      <c r="Z228" s="424" t="n">
        <f aca="false">I228</f>
        <v>1</v>
      </c>
    </row>
    <row r="229" customFormat="false" ht="15.75" hidden="false" customHeight="false" outlineLevel="0" collapsed="false">
      <c r="B229" s="0" t="n">
        <v>1950</v>
      </c>
      <c r="C229" s="424" t="n">
        <v>228</v>
      </c>
      <c r="D229" s="0" t="n">
        <v>15.04</v>
      </c>
      <c r="E229" s="0" t="n">
        <v>22</v>
      </c>
      <c r="F229" s="0" t="n">
        <v>87.950005</v>
      </c>
      <c r="G229" s="0" t="n">
        <v>178</v>
      </c>
      <c r="H229" s="0" t="n">
        <v>11.5</v>
      </c>
      <c r="I229" s="0" t="n">
        <v>1</v>
      </c>
      <c r="M229" s="0" t="n">
        <f aca="false">F229/0.263*1000/1013.25/100*EXP(17.67*(D229+E229)/2/((D229+E229)/2+273.16-29.65))</f>
        <v>11.5067439456477</v>
      </c>
      <c r="R229" s="424" t="n">
        <f aca="false">B229</f>
        <v>1950</v>
      </c>
      <c r="S229" s="424" t="n">
        <f aca="false">C229</f>
        <v>228</v>
      </c>
      <c r="T229" s="424" t="n">
        <f aca="false">D229</f>
        <v>15.04</v>
      </c>
      <c r="U229" s="424" t="n">
        <f aca="false">E229</f>
        <v>22</v>
      </c>
      <c r="V229" s="0" t="n">
        <f aca="false">MIN(0.263*M229/1000*1013.25*100/EXP(17.67*E229/(E229+273.16-29.65)), 100)</f>
        <v>70.9190846458275</v>
      </c>
      <c r="W229" s="0" t="n">
        <f aca="false">MIN(0.263*M229/1000*1013.25*100/EXP(17.67*D229/(D229+273.16-29.65)), 100)</f>
        <v>100</v>
      </c>
      <c r="X229" s="0" t="n">
        <f aca="false">(198.58*(1/(2/15*ACOS(-TAN(3.1416/180*$L$1)*TAN(3.1416/180*23.45*SIN((2*3.1416/365*(C229+284)))))/3.1416*180))^2+5.0551/(2/15*ACOS(-TAN(3.1416/180*$L$1)*TAN(3.1416/180*23.45*SIN((2*3.1416/365*(C229+284)))))/3.1416*180)+1.49)*G229*2.02</f>
        <v>1037.18666258876</v>
      </c>
      <c r="Y229" s="424" t="n">
        <f aca="false">H229</f>
        <v>11.5</v>
      </c>
      <c r="Z229" s="424" t="n">
        <f aca="false">I229</f>
        <v>1</v>
      </c>
    </row>
    <row r="230" customFormat="false" ht="15.75" hidden="false" customHeight="false" outlineLevel="0" collapsed="false">
      <c r="B230" s="0" t="n">
        <v>1950</v>
      </c>
      <c r="C230" s="424" t="n">
        <v>229</v>
      </c>
      <c r="D230" s="0" t="n">
        <v>11.17</v>
      </c>
      <c r="E230" s="0" t="n">
        <v>21.369999</v>
      </c>
      <c r="F230" s="0" t="n">
        <v>85.405</v>
      </c>
      <c r="G230" s="0" t="n">
        <v>208</v>
      </c>
      <c r="H230" s="0" t="n">
        <v>8.7</v>
      </c>
      <c r="I230" s="0" t="n">
        <v>1</v>
      </c>
      <c r="M230" s="0" t="n">
        <f aca="false">F230/0.263*1000/1013.25/100*EXP(17.67*(D230+E230)/2/((D230+E230)/2+273.16-29.65))</f>
        <v>9.69241221861339</v>
      </c>
      <c r="R230" s="424" t="n">
        <f aca="false">B230</f>
        <v>1950</v>
      </c>
      <c r="S230" s="424" t="n">
        <f aca="false">C230</f>
        <v>229</v>
      </c>
      <c r="T230" s="424" t="n">
        <f aca="false">D230</f>
        <v>11.17</v>
      </c>
      <c r="U230" s="424" t="n">
        <f aca="false">E230</f>
        <v>21.369999</v>
      </c>
      <c r="V230" s="0" t="n">
        <f aca="false">MIN(0.263*M230/1000*1013.25*100/EXP(17.67*E230/(E230+273.16-29.65)), 100)</f>
        <v>62.0843722767115</v>
      </c>
      <c r="W230" s="0" t="n">
        <f aca="false">MIN(0.263*M230/1000*1013.25*100/EXP(17.67*D230/(D230+273.16-29.65)), 100)</f>
        <v>100</v>
      </c>
      <c r="X230" s="0" t="n">
        <f aca="false">(198.58*(1/(2/15*ACOS(-TAN(3.1416/180*$L$1)*TAN(3.1416/180*23.45*SIN((2*3.1416/365*(C230+284)))))/3.1416*180))^2+5.0551/(2/15*ACOS(-TAN(3.1416/180*$L$1)*TAN(3.1416/180*23.45*SIN((2*3.1416/365*(C230+284)))))/3.1416*180)+1.49)*G230*2.02</f>
        <v>1215.62098431757</v>
      </c>
      <c r="Y230" s="424" t="n">
        <f aca="false">H230</f>
        <v>8.7</v>
      </c>
      <c r="Z230" s="424" t="n">
        <f aca="false">I230</f>
        <v>1</v>
      </c>
    </row>
    <row r="231" customFormat="false" ht="15.75" hidden="false" customHeight="false" outlineLevel="0" collapsed="false">
      <c r="B231" s="0" t="n">
        <v>1950</v>
      </c>
      <c r="C231" s="424" t="n">
        <v>230</v>
      </c>
      <c r="D231" s="0" t="n">
        <v>12.62</v>
      </c>
      <c r="E231" s="0" t="n">
        <v>21.689999</v>
      </c>
      <c r="F231" s="0" t="n">
        <v>78.63</v>
      </c>
      <c r="G231" s="0" t="n">
        <v>217</v>
      </c>
      <c r="H231" s="0" t="n">
        <v>2.9</v>
      </c>
      <c r="I231" s="0" t="n">
        <v>1</v>
      </c>
      <c r="M231" s="0" t="n">
        <f aca="false">F231/0.263*1000/1013.25/100*EXP(17.67*(D231+E231)/2/((D231+E231)/2+273.16-29.65))</f>
        <v>9.43972818351655</v>
      </c>
      <c r="R231" s="424" t="n">
        <f aca="false">B231</f>
        <v>1950</v>
      </c>
      <c r="S231" s="424" t="n">
        <f aca="false">C231</f>
        <v>230</v>
      </c>
      <c r="T231" s="424" t="n">
        <f aca="false">D231</f>
        <v>12.62</v>
      </c>
      <c r="U231" s="424" t="n">
        <f aca="false">E231</f>
        <v>21.689999</v>
      </c>
      <c r="V231" s="0" t="n">
        <f aca="false">MIN(0.263*M231/1000*1013.25*100/EXP(17.67*E231/(E231+273.16-29.65)), 100)</f>
        <v>59.2921574895414</v>
      </c>
      <c r="W231" s="0" t="n">
        <f aca="false">MIN(0.263*M231/1000*1013.25*100/EXP(17.67*D231/(D231+273.16-29.65)), 100)</f>
        <v>100</v>
      </c>
      <c r="X231" s="0" t="n">
        <f aca="false">(198.58*(1/(2/15*ACOS(-TAN(3.1416/180*$L$1)*TAN(3.1416/180*23.45*SIN((2*3.1416/365*(C231+284)))))/3.1416*180))^2+5.0551/(2/15*ACOS(-TAN(3.1416/180*$L$1)*TAN(3.1416/180*23.45*SIN((2*3.1416/365*(C231+284)))))/3.1416*180)+1.49)*G231*2.02</f>
        <v>1272.07128875853</v>
      </c>
      <c r="Y231" s="424" t="n">
        <f aca="false">H231</f>
        <v>2.9</v>
      </c>
      <c r="Z231" s="424" t="n">
        <f aca="false">I231</f>
        <v>1</v>
      </c>
    </row>
    <row r="232" customFormat="false" ht="15.75" hidden="false" customHeight="false" outlineLevel="0" collapsed="false">
      <c r="B232" s="0" t="n">
        <v>1950</v>
      </c>
      <c r="C232" s="424" t="n">
        <v>231</v>
      </c>
      <c r="D232" s="0" t="n">
        <v>14.5199995</v>
      </c>
      <c r="E232" s="0" t="n">
        <v>25.35</v>
      </c>
      <c r="F232" s="0" t="n">
        <v>76.29</v>
      </c>
      <c r="G232" s="0" t="n">
        <v>238</v>
      </c>
      <c r="H232" s="0" t="n">
        <v>0</v>
      </c>
      <c r="I232" s="0" t="n">
        <v>1</v>
      </c>
      <c r="M232" s="0" t="n">
        <f aca="false">F232/0.263*1000/1013.25/100*EXP(17.67*(D232+E232)/2/((D232+E232)/2+273.16-29.65))</f>
        <v>10.9015683515973</v>
      </c>
      <c r="R232" s="424" t="n">
        <f aca="false">B232</f>
        <v>1950</v>
      </c>
      <c r="S232" s="424" t="n">
        <f aca="false">C232</f>
        <v>231</v>
      </c>
      <c r="T232" s="424" t="n">
        <f aca="false">D232</f>
        <v>14.5199995</v>
      </c>
      <c r="U232" s="424" t="n">
        <f aca="false">E232</f>
        <v>25.35</v>
      </c>
      <c r="V232" s="0" t="n">
        <f aca="false">MIN(0.263*M232/1000*1013.25*100/EXP(17.67*E232/(E232+273.16-29.65)), 100)</f>
        <v>54.9040702657312</v>
      </c>
      <c r="W232" s="0" t="n">
        <f aca="false">MIN(0.263*M232/1000*1013.25*100/EXP(17.67*D232/(D232+273.16-29.65)), 100)</f>
        <v>100</v>
      </c>
      <c r="X232" s="0" t="n">
        <f aca="false">(198.58*(1/(2/15*ACOS(-TAN(3.1416/180*$L$1)*TAN(3.1416/180*23.45*SIN((2*3.1416/365*(C232+284)))))/3.1416*180))^2+5.0551/(2/15*ACOS(-TAN(3.1416/180*$L$1)*TAN(3.1416/180*23.45*SIN((2*3.1416/365*(C232+284)))))/3.1416*180)+1.49)*G232*2.02</f>
        <v>1399.47248853106</v>
      </c>
      <c r="Y232" s="424" t="n">
        <f aca="false">H232</f>
        <v>0</v>
      </c>
      <c r="Z232" s="424" t="n">
        <f aca="false">I232</f>
        <v>1</v>
      </c>
    </row>
    <row r="233" customFormat="false" ht="15.75" hidden="false" customHeight="false" outlineLevel="0" collapsed="false">
      <c r="B233" s="0" t="n">
        <v>1950</v>
      </c>
      <c r="C233" s="424" t="n">
        <v>232</v>
      </c>
      <c r="D233" s="0" t="n">
        <v>14.5</v>
      </c>
      <c r="E233" s="0" t="n">
        <v>33.26</v>
      </c>
      <c r="F233" s="0" t="n">
        <v>65.255</v>
      </c>
      <c r="G233" s="0" t="n">
        <v>243</v>
      </c>
      <c r="H233" s="0" t="n">
        <v>0</v>
      </c>
      <c r="I233" s="0" t="n">
        <v>1</v>
      </c>
      <c r="M233" s="0" t="n">
        <f aca="false">F233/0.263*1000/1013.25/100*EXP(17.67*(D233+E233)/2/((D233+E233)/2+273.16-29.65))</f>
        <v>11.8655439823471</v>
      </c>
      <c r="R233" s="424" t="n">
        <f aca="false">B233</f>
        <v>1950</v>
      </c>
      <c r="S233" s="424" t="n">
        <f aca="false">C233</f>
        <v>232</v>
      </c>
      <c r="T233" s="424" t="n">
        <f aca="false">D233</f>
        <v>14.5</v>
      </c>
      <c r="U233" s="424" t="n">
        <f aca="false">E233</f>
        <v>33.26</v>
      </c>
      <c r="V233" s="0" t="n">
        <f aca="false">MIN(0.263*M233/1000*1013.25*100/EXP(17.67*E233/(E233+273.16-29.65)), 100)</f>
        <v>37.8235417225443</v>
      </c>
      <c r="W233" s="0" t="n">
        <f aca="false">MIN(0.263*M233/1000*1013.25*100/EXP(17.67*D233/(D233+273.16-29.65)), 100)</f>
        <v>100</v>
      </c>
      <c r="X233" s="0" t="n">
        <f aca="false">(198.58*(1/(2/15*ACOS(-TAN(3.1416/180*$L$1)*TAN(3.1416/180*23.45*SIN((2*3.1416/365*(C233+284)))))/3.1416*180))^2+5.0551/(2/15*ACOS(-TAN(3.1416/180*$L$1)*TAN(3.1416/180*23.45*SIN((2*3.1416/365*(C233+284)))))/3.1416*180)+1.49)*G233*2.02</f>
        <v>1433.33631177504</v>
      </c>
      <c r="Y233" s="424" t="n">
        <f aca="false">H233</f>
        <v>0</v>
      </c>
      <c r="Z233" s="424" t="n">
        <f aca="false">I233</f>
        <v>1</v>
      </c>
    </row>
    <row r="234" customFormat="false" ht="15.75" hidden="false" customHeight="false" outlineLevel="0" collapsed="false">
      <c r="B234" s="0" t="n">
        <v>1950</v>
      </c>
      <c r="C234" s="424" t="n">
        <v>233</v>
      </c>
      <c r="D234" s="0" t="n">
        <v>18.07</v>
      </c>
      <c r="E234" s="0" t="n">
        <v>30.869999</v>
      </c>
      <c r="F234" s="0" t="n">
        <v>79.665</v>
      </c>
      <c r="G234" s="0" t="n">
        <v>199</v>
      </c>
      <c r="H234" s="0" t="n">
        <v>4.2000003</v>
      </c>
      <c r="I234" s="0" t="n">
        <v>1</v>
      </c>
      <c r="M234" s="0" t="n">
        <f aca="false">F234/0.263*1000/1013.25/100*EXP(17.67*(D234+E234)/2/((D234+E234)/2+273.16-29.65))</f>
        <v>15.0081785567032</v>
      </c>
      <c r="R234" s="424" t="n">
        <f aca="false">B234</f>
        <v>1950</v>
      </c>
      <c r="S234" s="424" t="n">
        <f aca="false">C234</f>
        <v>233</v>
      </c>
      <c r="T234" s="424" t="n">
        <f aca="false">D234</f>
        <v>18.07</v>
      </c>
      <c r="U234" s="424" t="n">
        <f aca="false">E234</f>
        <v>30.869999</v>
      </c>
      <c r="V234" s="0" t="n">
        <f aca="false">MIN(0.263*M234/1000*1013.25*100/EXP(17.67*E234/(E234+273.16-29.65)), 100)</f>
        <v>54.7790254312604</v>
      </c>
      <c r="W234" s="0" t="n">
        <f aca="false">MIN(0.263*M234/1000*1013.25*100/EXP(17.67*D234/(D234+273.16-29.65)), 100)</f>
        <v>100</v>
      </c>
      <c r="X234" s="0" t="n">
        <f aca="false">(198.58*(1/(2/15*ACOS(-TAN(3.1416/180*$L$1)*TAN(3.1416/180*23.45*SIN((2*3.1416/365*(C234+284)))))/3.1416*180))^2+5.0551/(2/15*ACOS(-TAN(3.1416/180*$L$1)*TAN(3.1416/180*23.45*SIN((2*3.1416/365*(C234+284)))))/3.1416*180)+1.49)*G234*2.02</f>
        <v>1177.51910695126</v>
      </c>
      <c r="Y234" s="424" t="n">
        <f aca="false">H234</f>
        <v>4.2000003</v>
      </c>
      <c r="Z234" s="424" t="n">
        <f aca="false">I234</f>
        <v>1</v>
      </c>
    </row>
    <row r="235" customFormat="false" ht="15.75" hidden="false" customHeight="false" outlineLevel="0" collapsed="false">
      <c r="B235" s="0" t="n">
        <v>1950</v>
      </c>
      <c r="C235" s="424" t="n">
        <v>234</v>
      </c>
      <c r="D235" s="0" t="n">
        <v>17.18</v>
      </c>
      <c r="E235" s="0" t="n">
        <v>31.119999</v>
      </c>
      <c r="F235" s="0" t="n">
        <v>80.44</v>
      </c>
      <c r="G235" s="0" t="n">
        <v>147</v>
      </c>
      <c r="H235" s="0" t="n">
        <v>5.5</v>
      </c>
      <c r="I235" s="0" t="n">
        <v>1</v>
      </c>
      <c r="M235" s="0" t="n">
        <f aca="false">F235/0.263*1000/1013.25/100*EXP(17.67*(D235+E235)/2/((D235+E235)/2+273.16-29.65))</f>
        <v>14.8660518542852</v>
      </c>
      <c r="R235" s="424" t="n">
        <f aca="false">B235</f>
        <v>1950</v>
      </c>
      <c r="S235" s="424" t="n">
        <f aca="false">C235</f>
        <v>234</v>
      </c>
      <c r="T235" s="424" t="n">
        <f aca="false">D235</f>
        <v>17.18</v>
      </c>
      <c r="U235" s="424" t="n">
        <f aca="false">E235</f>
        <v>31.119999</v>
      </c>
      <c r="V235" s="0" t="n">
        <f aca="false">MIN(0.263*M235/1000*1013.25*100/EXP(17.67*E235/(E235+273.16-29.65)), 100)</f>
        <v>53.4911781069091</v>
      </c>
      <c r="W235" s="0" t="n">
        <f aca="false">MIN(0.263*M235/1000*1013.25*100/EXP(17.67*D235/(D235+273.16-29.65)), 100)</f>
        <v>100</v>
      </c>
      <c r="X235" s="0" t="n">
        <f aca="false">(198.58*(1/(2/15*ACOS(-TAN(3.1416/180*$L$1)*TAN(3.1416/180*23.45*SIN((2*3.1416/365*(C235+284)))))/3.1416*180))^2+5.0551/(2/15*ACOS(-TAN(3.1416/180*$L$1)*TAN(3.1416/180*23.45*SIN((2*3.1416/365*(C235+284)))))/3.1416*180)+1.49)*G235*2.02</f>
        <v>872.617308199128</v>
      </c>
      <c r="Y235" s="424" t="n">
        <f aca="false">H235</f>
        <v>5.5</v>
      </c>
      <c r="Z235" s="424" t="n">
        <f aca="false">I235</f>
        <v>1</v>
      </c>
    </row>
    <row r="236" customFormat="false" ht="15.75" hidden="false" customHeight="false" outlineLevel="0" collapsed="false">
      <c r="B236" s="0" t="n">
        <v>1950</v>
      </c>
      <c r="C236" s="424" t="n">
        <v>235</v>
      </c>
      <c r="D236" s="0" t="n">
        <v>16.72</v>
      </c>
      <c r="E236" s="0" t="n">
        <v>25.34</v>
      </c>
      <c r="F236" s="0" t="n">
        <v>88.98</v>
      </c>
      <c r="G236" s="0" t="n">
        <v>166</v>
      </c>
      <c r="H236" s="0" t="n">
        <v>0</v>
      </c>
      <c r="I236" s="0" t="n">
        <v>1</v>
      </c>
      <c r="M236" s="0" t="n">
        <f aca="false">F236/0.263*1000/1013.25/100*EXP(17.67*(D236+E236)/2/((D236+E236)/2+273.16-29.65))</f>
        <v>13.6042545739619</v>
      </c>
      <c r="R236" s="424" t="n">
        <f aca="false">B236</f>
        <v>1950</v>
      </c>
      <c r="S236" s="424" t="n">
        <f aca="false">C236</f>
        <v>235</v>
      </c>
      <c r="T236" s="424" t="n">
        <f aca="false">D236</f>
        <v>16.72</v>
      </c>
      <c r="U236" s="424" t="n">
        <f aca="false">E236</f>
        <v>25.34</v>
      </c>
      <c r="V236" s="0" t="n">
        <f aca="false">MIN(0.263*M236/1000*1013.25*100/EXP(17.67*E236/(E236+273.16-29.65)), 100)</f>
        <v>68.5565310320776</v>
      </c>
      <c r="W236" s="0" t="n">
        <f aca="false">MIN(0.263*M236/1000*1013.25*100/EXP(17.67*D236/(D236+273.16-29.65)), 100)</f>
        <v>100</v>
      </c>
      <c r="X236" s="0" t="n">
        <f aca="false">(198.58*(1/(2/15*ACOS(-TAN(3.1416/180*$L$1)*TAN(3.1416/180*23.45*SIN((2*3.1416/365*(C236+284)))))/3.1416*180))^2+5.0551/(2/15*ACOS(-TAN(3.1416/180*$L$1)*TAN(3.1416/180*23.45*SIN((2*3.1416/365*(C236+284)))))/3.1416*180)+1.49)*G236*2.02</f>
        <v>988.609173555837</v>
      </c>
      <c r="Y236" s="424" t="n">
        <f aca="false">H236</f>
        <v>0</v>
      </c>
      <c r="Z236" s="424" t="n">
        <f aca="false">I236</f>
        <v>1</v>
      </c>
    </row>
    <row r="237" customFormat="false" ht="15.75" hidden="false" customHeight="false" outlineLevel="0" collapsed="false">
      <c r="B237" s="0" t="n">
        <v>1950</v>
      </c>
      <c r="C237" s="424" t="n">
        <v>236</v>
      </c>
      <c r="D237" s="0" t="n">
        <v>16.52</v>
      </c>
      <c r="E237" s="0" t="n">
        <v>21.76</v>
      </c>
      <c r="F237" s="0" t="n">
        <v>82.795006</v>
      </c>
      <c r="G237" s="0" t="n">
        <v>109</v>
      </c>
      <c r="H237" s="0" t="n">
        <v>0</v>
      </c>
      <c r="I237" s="0" t="n">
        <v>1</v>
      </c>
      <c r="M237" s="0" t="n">
        <f aca="false">F237/0.263*1000/1013.25/100*EXP(17.67*(D237+E237)/2/((D237+E237)/2+273.16-29.65))</f>
        <v>11.2604371240894</v>
      </c>
      <c r="R237" s="424" t="n">
        <f aca="false">B237</f>
        <v>1950</v>
      </c>
      <c r="S237" s="424" t="n">
        <f aca="false">C237</f>
        <v>236</v>
      </c>
      <c r="T237" s="424" t="n">
        <f aca="false">D237</f>
        <v>16.52</v>
      </c>
      <c r="U237" s="424" t="n">
        <f aca="false">E237</f>
        <v>21.76</v>
      </c>
      <c r="V237" s="0" t="n">
        <f aca="false">MIN(0.263*M237/1000*1013.25*100/EXP(17.67*E237/(E237+273.16-29.65)), 100)</f>
        <v>70.4260908528783</v>
      </c>
      <c r="W237" s="0" t="n">
        <f aca="false">MIN(0.263*M237/1000*1013.25*100/EXP(17.67*D237/(D237+273.16-29.65)), 100)</f>
        <v>97.6541625303055</v>
      </c>
      <c r="X237" s="0" t="n">
        <f aca="false">(198.58*(1/(2/15*ACOS(-TAN(3.1416/180*$L$1)*TAN(3.1416/180*23.45*SIN((2*3.1416/365*(C237+284)))))/3.1416*180))^2+5.0551/(2/15*ACOS(-TAN(3.1416/180*$L$1)*TAN(3.1416/180*23.45*SIN((2*3.1416/365*(C237+284)))))/3.1416*180)+1.49)*G237*2.02</f>
        <v>651.285608093418</v>
      </c>
      <c r="Y237" s="424" t="n">
        <f aca="false">H237</f>
        <v>0</v>
      </c>
      <c r="Z237" s="424" t="n">
        <f aca="false">I237</f>
        <v>1</v>
      </c>
    </row>
    <row r="238" customFormat="false" ht="15.75" hidden="false" customHeight="false" outlineLevel="0" collapsed="false">
      <c r="B238" s="0" t="n">
        <v>1950</v>
      </c>
      <c r="C238" s="424" t="n">
        <v>237</v>
      </c>
      <c r="D238" s="0" t="n">
        <v>12.66</v>
      </c>
      <c r="E238" s="0" t="n">
        <v>27.38</v>
      </c>
      <c r="F238" s="0" t="n">
        <v>77.3</v>
      </c>
      <c r="G238" s="0" t="n">
        <v>212</v>
      </c>
      <c r="H238" s="0" t="n">
        <v>0</v>
      </c>
      <c r="I238" s="0" t="n">
        <v>1</v>
      </c>
      <c r="M238" s="0" t="n">
        <f aca="false">F238/0.263*1000/1013.25/100*EXP(17.67*(D238+E238)/2/((D238+E238)/2+273.16-29.65))</f>
        <v>11.1042380975064</v>
      </c>
      <c r="R238" s="424" t="n">
        <f aca="false">B238</f>
        <v>1950</v>
      </c>
      <c r="S238" s="424" t="n">
        <f aca="false">C238</f>
        <v>237</v>
      </c>
      <c r="T238" s="424" t="n">
        <f aca="false">D238</f>
        <v>12.66</v>
      </c>
      <c r="U238" s="424" t="n">
        <f aca="false">E238</f>
        <v>27.38</v>
      </c>
      <c r="V238" s="0" t="n">
        <f aca="false">MIN(0.263*M238/1000*1013.25*100/EXP(17.67*E238/(E238+273.16-29.65)), 100)</f>
        <v>49.6042744243355</v>
      </c>
      <c r="W238" s="0" t="n">
        <f aca="false">MIN(0.263*M238/1000*1013.25*100/EXP(17.67*D238/(D238+273.16-29.65)), 100)</f>
        <v>100</v>
      </c>
      <c r="X238" s="0" t="n">
        <f aca="false">(198.58*(1/(2/15*ACOS(-TAN(3.1416/180*$L$1)*TAN(3.1416/180*23.45*SIN((2*3.1416/365*(C238+284)))))/3.1416*180))^2+5.0551/(2/15*ACOS(-TAN(3.1416/180*$L$1)*TAN(3.1416/180*23.45*SIN((2*3.1416/365*(C238+284)))))/3.1416*180)+1.49)*G238*2.02</f>
        <v>1270.94739771557</v>
      </c>
      <c r="Y238" s="424" t="n">
        <f aca="false">H238</f>
        <v>0</v>
      </c>
      <c r="Z238" s="424" t="n">
        <f aca="false">I238</f>
        <v>1</v>
      </c>
    </row>
    <row r="239" customFormat="false" ht="15.75" hidden="false" customHeight="false" outlineLevel="0" collapsed="false">
      <c r="B239" s="0" t="n">
        <v>1950</v>
      </c>
      <c r="C239" s="424" t="n">
        <v>238</v>
      </c>
      <c r="D239" s="0" t="n">
        <v>14.809999</v>
      </c>
      <c r="E239" s="0" t="n">
        <v>25.43</v>
      </c>
      <c r="F239" s="0" t="n">
        <v>75.37</v>
      </c>
      <c r="G239" s="0" t="n">
        <v>206</v>
      </c>
      <c r="H239" s="0" t="n">
        <v>0</v>
      </c>
      <c r="I239" s="0" t="n">
        <v>1</v>
      </c>
      <c r="M239" s="0" t="n">
        <f aca="false">F239/0.263*1000/1013.25/100*EXP(17.67*(D239+E239)/2/((D239+E239)/2+273.16-29.65))</f>
        <v>10.8942548006333</v>
      </c>
      <c r="R239" s="424" t="n">
        <f aca="false">B239</f>
        <v>1950</v>
      </c>
      <c r="S239" s="424" t="n">
        <f aca="false">C239</f>
        <v>238</v>
      </c>
      <c r="T239" s="424" t="n">
        <f aca="false">D239</f>
        <v>14.809999</v>
      </c>
      <c r="U239" s="424" t="n">
        <f aca="false">E239</f>
        <v>25.43</v>
      </c>
      <c r="V239" s="0" t="n">
        <f aca="false">MIN(0.263*M239/1000*1013.25*100/EXP(17.67*E239/(E239+273.16-29.65)), 100)</f>
        <v>54.6066564467661</v>
      </c>
      <c r="W239" s="0" t="n">
        <f aca="false">MIN(0.263*M239/1000*1013.25*100/EXP(17.67*D239/(D239+273.16-29.65)), 100)</f>
        <v>100</v>
      </c>
      <c r="X239" s="0" t="n">
        <f aca="false">(198.58*(1/(2/15*ACOS(-TAN(3.1416/180*$L$1)*TAN(3.1416/180*23.45*SIN((2*3.1416/365*(C239+284)))))/3.1416*180))^2+5.0551/(2/15*ACOS(-TAN(3.1416/180*$L$1)*TAN(3.1416/180*23.45*SIN((2*3.1416/365*(C239+284)))))/3.1416*180)+1.49)*G239*2.02</f>
        <v>1239.15002103159</v>
      </c>
      <c r="Y239" s="424" t="n">
        <f aca="false">H239</f>
        <v>0</v>
      </c>
      <c r="Z239" s="424" t="n">
        <f aca="false">I239</f>
        <v>1</v>
      </c>
    </row>
    <row r="240" customFormat="false" ht="15.75" hidden="false" customHeight="false" outlineLevel="0" collapsed="false">
      <c r="B240" s="0" t="n">
        <v>1950</v>
      </c>
      <c r="C240" s="424" t="n">
        <v>239</v>
      </c>
      <c r="D240" s="0" t="n">
        <v>14.75</v>
      </c>
      <c r="E240" s="0" t="n">
        <v>25.849998</v>
      </c>
      <c r="F240" s="0" t="n">
        <v>76.16</v>
      </c>
      <c r="G240" s="0" t="n">
        <v>215</v>
      </c>
      <c r="H240" s="0" t="n">
        <v>2.4</v>
      </c>
      <c r="I240" s="0" t="n">
        <v>1</v>
      </c>
      <c r="M240" s="0" t="n">
        <f aca="false">F240/0.263*1000/1013.25/100*EXP(17.67*(D240+E240)/2/((D240+E240)/2+273.16-29.65))</f>
        <v>11.1317221083315</v>
      </c>
      <c r="R240" s="424" t="n">
        <f aca="false">B240</f>
        <v>1950</v>
      </c>
      <c r="S240" s="424" t="n">
        <f aca="false">C240</f>
        <v>239</v>
      </c>
      <c r="T240" s="424" t="n">
        <f aca="false">D240</f>
        <v>14.75</v>
      </c>
      <c r="U240" s="424" t="n">
        <f aca="false">E240</f>
        <v>25.849998</v>
      </c>
      <c r="V240" s="0" t="n">
        <f aca="false">MIN(0.263*M240/1000*1013.25*100/EXP(17.67*E240/(E240+273.16-29.65)), 100)</f>
        <v>54.422216380622</v>
      </c>
      <c r="W240" s="0" t="n">
        <f aca="false">MIN(0.263*M240/1000*1013.25*100/EXP(17.67*D240/(D240+273.16-29.65)), 100)</f>
        <v>100</v>
      </c>
      <c r="X240" s="0" t="n">
        <f aca="false">(198.58*(1/(2/15*ACOS(-TAN(3.1416/180*$L$1)*TAN(3.1416/180*23.45*SIN((2*3.1416/365*(C240+284)))))/3.1416*180))^2+5.0551/(2/15*ACOS(-TAN(3.1416/180*$L$1)*TAN(3.1416/180*23.45*SIN((2*3.1416/365*(C240+284)))))/3.1416*180)+1.49)*G240*2.02</f>
        <v>1297.71172961699</v>
      </c>
      <c r="Y240" s="424" t="n">
        <f aca="false">H240</f>
        <v>2.4</v>
      </c>
      <c r="Z240" s="424" t="n">
        <f aca="false">I240</f>
        <v>1</v>
      </c>
    </row>
    <row r="241" customFormat="false" ht="15.75" hidden="false" customHeight="false" outlineLevel="0" collapsed="false">
      <c r="B241" s="0" t="n">
        <v>1950</v>
      </c>
      <c r="C241" s="424" t="n">
        <v>240</v>
      </c>
      <c r="D241" s="0" t="n">
        <v>15</v>
      </c>
      <c r="E241" s="0" t="n">
        <v>21.84</v>
      </c>
      <c r="F241" s="0" t="n">
        <v>85.595</v>
      </c>
      <c r="G241" s="0" t="n">
        <v>149</v>
      </c>
      <c r="H241" s="0" t="n">
        <v>3.9</v>
      </c>
      <c r="I241" s="0" t="n">
        <v>1</v>
      </c>
      <c r="M241" s="0" t="n">
        <f aca="false">F241/0.263*1000/1013.25/100*EXP(17.67*(D241+E241)/2/((D241+E241)/2+273.16-29.65))</f>
        <v>11.1286444348538</v>
      </c>
      <c r="R241" s="424" t="n">
        <f aca="false">B241</f>
        <v>1950</v>
      </c>
      <c r="S241" s="424" t="n">
        <f aca="false">C241</f>
        <v>240</v>
      </c>
      <c r="T241" s="424" t="n">
        <f aca="false">D241</f>
        <v>15</v>
      </c>
      <c r="U241" s="424" t="n">
        <f aca="false">E241</f>
        <v>21.84</v>
      </c>
      <c r="V241" s="0" t="n">
        <f aca="false">MIN(0.263*M241/1000*1013.25*100/EXP(17.67*E241/(E241+273.16-29.65)), 100)</f>
        <v>69.2622772056582</v>
      </c>
      <c r="W241" s="0" t="n">
        <f aca="false">MIN(0.263*M241/1000*1013.25*100/EXP(17.67*D241/(D241+273.16-29.65)), 100)</f>
        <v>100</v>
      </c>
      <c r="X241" s="0" t="n">
        <f aca="false">(198.58*(1/(2/15*ACOS(-TAN(3.1416/180*$L$1)*TAN(3.1416/180*23.45*SIN((2*3.1416/365*(C241+284)))))/3.1416*180))^2+5.0551/(2/15*ACOS(-TAN(3.1416/180*$L$1)*TAN(3.1416/180*23.45*SIN((2*3.1416/365*(C241+284)))))/3.1416*180)+1.49)*G241*2.02</f>
        <v>902.458460890029</v>
      </c>
      <c r="Y241" s="424" t="n">
        <f aca="false">H241</f>
        <v>3.9</v>
      </c>
      <c r="Z241" s="424" t="n">
        <f aca="false">I241</f>
        <v>1</v>
      </c>
    </row>
    <row r="242" customFormat="false" ht="15.75" hidden="false" customHeight="false" outlineLevel="0" collapsed="false">
      <c r="B242" s="0" t="n">
        <v>1950</v>
      </c>
      <c r="C242" s="424" t="n">
        <v>241</v>
      </c>
      <c r="D242" s="0" t="n">
        <v>10.88</v>
      </c>
      <c r="E242" s="0" t="n">
        <v>22.85</v>
      </c>
      <c r="F242" s="0" t="n">
        <v>75.94</v>
      </c>
      <c r="G242" s="0" t="n">
        <v>266</v>
      </c>
      <c r="H242" s="0" t="n">
        <v>0</v>
      </c>
      <c r="I242" s="0" t="n">
        <v>1</v>
      </c>
      <c r="M242" s="0" t="n">
        <f aca="false">F242/0.263*1000/1013.25/100*EXP(17.67*(D242+E242)/2/((D242+E242)/2+273.16-29.65))</f>
        <v>8.95070432202608</v>
      </c>
      <c r="R242" s="424" t="n">
        <f aca="false">B242</f>
        <v>1950</v>
      </c>
      <c r="S242" s="424" t="n">
        <f aca="false">C242</f>
        <v>241</v>
      </c>
      <c r="T242" s="424" t="n">
        <f aca="false">D242</f>
        <v>10.88</v>
      </c>
      <c r="U242" s="424" t="n">
        <f aca="false">E242</f>
        <v>22.85</v>
      </c>
      <c r="V242" s="0" t="n">
        <f aca="false">MIN(0.263*M242/1000*1013.25*100/EXP(17.67*E242/(E242+273.16-29.65)), 100)</f>
        <v>52.3851318401173</v>
      </c>
      <c r="W242" s="0" t="n">
        <f aca="false">MIN(0.263*M242/1000*1013.25*100/EXP(17.67*D242/(D242+273.16-29.65)), 100)</f>
        <v>100</v>
      </c>
      <c r="X242" s="0" t="n">
        <f aca="false">(198.58*(1/(2/15*ACOS(-TAN(3.1416/180*$L$1)*TAN(3.1416/180*23.45*SIN((2*3.1416/365*(C242+284)))))/3.1416*180))^2+5.0551/(2/15*ACOS(-TAN(3.1416/180*$L$1)*TAN(3.1416/180*23.45*SIN((2*3.1416/365*(C242+284)))))/3.1416*180)+1.49)*G242*2.02</f>
        <v>1616.74596759993</v>
      </c>
      <c r="Y242" s="424" t="n">
        <f aca="false">H242</f>
        <v>0</v>
      </c>
      <c r="Z242" s="424" t="n">
        <f aca="false">I242</f>
        <v>1</v>
      </c>
    </row>
    <row r="243" customFormat="false" ht="15.75" hidden="false" customHeight="false" outlineLevel="0" collapsed="false">
      <c r="B243" s="0" t="n">
        <v>1950</v>
      </c>
      <c r="C243" s="424" t="n">
        <v>242</v>
      </c>
      <c r="D243" s="0" t="n">
        <v>11.71</v>
      </c>
      <c r="E243" s="0" t="n">
        <v>28.97</v>
      </c>
      <c r="F243" s="0" t="n">
        <v>65.975</v>
      </c>
      <c r="G243" s="0" t="n">
        <v>226</v>
      </c>
      <c r="H243" s="0" t="n">
        <v>1.7</v>
      </c>
      <c r="I243" s="0" t="n">
        <v>1</v>
      </c>
      <c r="M243" s="0" t="n">
        <f aca="false">F243/0.263*1000/1013.25/100*EXP(17.67*(D243+E243)/2/((D243+E243)/2+273.16-29.65))</f>
        <v>9.66693304289335</v>
      </c>
      <c r="R243" s="424" t="n">
        <f aca="false">B243</f>
        <v>1950</v>
      </c>
      <c r="S243" s="424" t="n">
        <f aca="false">C243</f>
        <v>242</v>
      </c>
      <c r="T243" s="424" t="n">
        <f aca="false">D243</f>
        <v>11.71</v>
      </c>
      <c r="U243" s="424" t="n">
        <f aca="false">E243</f>
        <v>28.97</v>
      </c>
      <c r="V243" s="0" t="n">
        <f aca="false">MIN(0.263*M243/1000*1013.25*100/EXP(17.67*E243/(E243+273.16-29.65)), 100)</f>
        <v>39.3609180235646</v>
      </c>
      <c r="W243" s="0" t="n">
        <f aca="false">MIN(0.263*M243/1000*1013.25*100/EXP(17.67*D243/(D243+273.16-29.65)), 100)</f>
        <v>100</v>
      </c>
      <c r="X243" s="0" t="n">
        <f aca="false">(198.58*(1/(2/15*ACOS(-TAN(3.1416/180*$L$1)*TAN(3.1416/180*23.45*SIN((2*3.1416/365*(C243+284)))))/3.1416*180))^2+5.0551/(2/15*ACOS(-TAN(3.1416/180*$L$1)*TAN(3.1416/180*23.45*SIN((2*3.1416/365*(C243+284)))))/3.1416*180)+1.49)*G243*2.02</f>
        <v>1378.49672445816</v>
      </c>
      <c r="Y243" s="424" t="n">
        <f aca="false">H243</f>
        <v>1.7</v>
      </c>
      <c r="Z243" s="424" t="n">
        <f aca="false">I243</f>
        <v>1</v>
      </c>
    </row>
    <row r="244" customFormat="false" ht="15.75" hidden="false" customHeight="false" outlineLevel="0" collapsed="false">
      <c r="B244" s="0" t="n">
        <v>1950</v>
      </c>
      <c r="C244" s="424" t="n">
        <v>243</v>
      </c>
      <c r="D244" s="0" t="n">
        <v>14.92</v>
      </c>
      <c r="E244" s="0" t="n">
        <v>20.09</v>
      </c>
      <c r="F244" s="0" t="n">
        <v>83.815</v>
      </c>
      <c r="G244" s="0" t="n">
        <v>88</v>
      </c>
      <c r="H244" s="0" t="n">
        <v>23.9</v>
      </c>
      <c r="I244" s="0" t="n">
        <v>1</v>
      </c>
      <c r="M244" s="0" t="n">
        <f aca="false">F244/0.263*1000/1013.25/100*EXP(17.67*(D244+E244)/2/((D244+E244)/2+273.16-29.65))</f>
        <v>10.2874075392768</v>
      </c>
      <c r="R244" s="424" t="n">
        <f aca="false">B244</f>
        <v>1950</v>
      </c>
      <c r="S244" s="424" t="n">
        <f aca="false">C244</f>
        <v>243</v>
      </c>
      <c r="T244" s="424" t="n">
        <f aca="false">D244</f>
        <v>14.92</v>
      </c>
      <c r="U244" s="424" t="n">
        <f aca="false">E244</f>
        <v>20.09</v>
      </c>
      <c r="V244" s="0" t="n">
        <f aca="false">MIN(0.263*M244/1000*1013.25*100/EXP(17.67*E244/(E244+273.16-29.65)), 100)</f>
        <v>71.3039568122465</v>
      </c>
      <c r="W244" s="0" t="n">
        <f aca="false">MIN(0.263*M244/1000*1013.25*100/EXP(17.67*D244/(D244+273.16-29.65)), 100)</f>
        <v>98.8403810316632</v>
      </c>
      <c r="X244" s="0" t="n">
        <f aca="false">(198.58*(1/(2/15*ACOS(-TAN(3.1416/180*$L$1)*TAN(3.1416/180*23.45*SIN((2*3.1416/365*(C244+284)))))/3.1416*180))^2+5.0551/(2/15*ACOS(-TAN(3.1416/180*$L$1)*TAN(3.1416/180*23.45*SIN((2*3.1416/365*(C244+284)))))/3.1416*180)+1.49)*G244*2.02</f>
        <v>538.685162478698</v>
      </c>
      <c r="Y244" s="424" t="n">
        <f aca="false">H244</f>
        <v>23.9</v>
      </c>
      <c r="Z244" s="424" t="n">
        <f aca="false">I244</f>
        <v>1</v>
      </c>
    </row>
    <row r="245" customFormat="false" ht="15.75" hidden="false" customHeight="false" outlineLevel="0" collapsed="false">
      <c r="B245" s="0" t="n">
        <v>1950</v>
      </c>
      <c r="C245" s="424" t="n">
        <v>244</v>
      </c>
      <c r="D245" s="0" t="n">
        <v>13.04</v>
      </c>
      <c r="E245" s="0" t="n">
        <v>19.48</v>
      </c>
      <c r="F245" s="0" t="n">
        <v>91.525</v>
      </c>
      <c r="G245" s="0" t="n">
        <v>241</v>
      </c>
      <c r="H245" s="0" t="n">
        <v>7.5</v>
      </c>
      <c r="I245" s="0" t="n">
        <v>1</v>
      </c>
      <c r="M245" s="0" t="n">
        <f aca="false">F245/0.263*1000/1013.25/100*EXP(17.67*(D245+E245)/2/((D245+E245)/2+273.16-29.65))</f>
        <v>10.3803361594255</v>
      </c>
      <c r="R245" s="424" t="n">
        <f aca="false">B245</f>
        <v>1950</v>
      </c>
      <c r="S245" s="424" t="n">
        <f aca="false">C245</f>
        <v>244</v>
      </c>
      <c r="T245" s="424" t="n">
        <f aca="false">D245</f>
        <v>13.04</v>
      </c>
      <c r="U245" s="424" t="n">
        <f aca="false">E245</f>
        <v>19.48</v>
      </c>
      <c r="V245" s="0" t="n">
        <f aca="false">MIN(0.263*M245/1000*1013.25*100/EXP(17.67*E245/(E245+273.16-29.65)), 100)</f>
        <v>74.7243544308198</v>
      </c>
      <c r="W245" s="0" t="n">
        <f aca="false">MIN(0.263*M245/1000*1013.25*100/EXP(17.67*D245/(D245+273.16-29.65)), 100)</f>
        <v>100</v>
      </c>
      <c r="X245" s="0" t="n">
        <f aca="false">(198.58*(1/(2/15*ACOS(-TAN(3.1416/180*$L$1)*TAN(3.1416/180*23.45*SIN((2*3.1416/365*(C245+284)))))/3.1416*180))^2+5.0551/(2/15*ACOS(-TAN(3.1416/180*$L$1)*TAN(3.1416/180*23.45*SIN((2*3.1416/365*(C245+284)))))/3.1416*180)+1.49)*G245*2.02</f>
        <v>1480.61539656388</v>
      </c>
      <c r="Y245" s="424" t="n">
        <f aca="false">H245</f>
        <v>7.5</v>
      </c>
      <c r="Z245" s="424" t="n">
        <f aca="false">I245</f>
        <v>1</v>
      </c>
    </row>
    <row r="246" customFormat="false" ht="15.75" hidden="false" customHeight="false" outlineLevel="0" collapsed="false">
      <c r="B246" s="0" t="n">
        <v>1950</v>
      </c>
      <c r="C246" s="424" t="n">
        <v>245</v>
      </c>
      <c r="D246" s="0" t="n">
        <v>13.49</v>
      </c>
      <c r="E246" s="0" t="n">
        <v>20.449999</v>
      </c>
      <c r="F246" s="0" t="n">
        <v>89.340004</v>
      </c>
      <c r="G246" s="0" t="n">
        <v>118</v>
      </c>
      <c r="H246" s="0" t="n">
        <v>1.4</v>
      </c>
      <c r="I246" s="0" t="n">
        <v>1</v>
      </c>
      <c r="M246" s="0" t="n">
        <f aca="false">F246/0.263*1000/1013.25/100*EXP(17.67*(D246+E246)/2/((D246+E246)/2+273.16-29.65))</f>
        <v>10.6004817882215</v>
      </c>
      <c r="R246" s="424" t="n">
        <f aca="false">B246</f>
        <v>1950</v>
      </c>
      <c r="S246" s="424" t="n">
        <f aca="false">C246</f>
        <v>245</v>
      </c>
      <c r="T246" s="424" t="n">
        <f aca="false">D246</f>
        <v>13.49</v>
      </c>
      <c r="U246" s="424" t="n">
        <f aca="false">E246</f>
        <v>20.449999</v>
      </c>
      <c r="V246" s="0" t="n">
        <f aca="false">MIN(0.263*M246/1000*1013.25*100/EXP(17.67*E246/(E246+273.16-29.65)), 100)</f>
        <v>71.8563034093446</v>
      </c>
      <c r="W246" s="0" t="n">
        <f aca="false">MIN(0.263*M246/1000*1013.25*100/EXP(17.67*D246/(D246+273.16-29.65)), 100)</f>
        <v>100</v>
      </c>
      <c r="X246" s="0" t="n">
        <f aca="false">(198.58*(1/(2/15*ACOS(-TAN(3.1416/180*$L$1)*TAN(3.1416/180*23.45*SIN((2*3.1416/365*(C246+284)))))/3.1416*180))^2+5.0551/(2/15*ACOS(-TAN(3.1416/180*$L$1)*TAN(3.1416/180*23.45*SIN((2*3.1416/365*(C246+284)))))/3.1416*180)+1.49)*G246*2.02</f>
        <v>727.608700231731</v>
      </c>
      <c r="Y246" s="424" t="n">
        <f aca="false">H246</f>
        <v>1.4</v>
      </c>
      <c r="Z246" s="424" t="n">
        <f aca="false">I246</f>
        <v>1</v>
      </c>
    </row>
    <row r="247" customFormat="false" ht="15.75" hidden="false" customHeight="false" outlineLevel="0" collapsed="false">
      <c r="B247" s="0" t="n">
        <v>1950</v>
      </c>
      <c r="C247" s="424" t="n">
        <v>246</v>
      </c>
      <c r="D247" s="0" t="n">
        <v>10.54</v>
      </c>
      <c r="E247" s="0" t="n">
        <v>20.98</v>
      </c>
      <c r="F247" s="0" t="n">
        <v>79.090004</v>
      </c>
      <c r="G247" s="0" t="n">
        <v>230</v>
      </c>
      <c r="H247" s="0" t="n">
        <v>0</v>
      </c>
      <c r="I247" s="0" t="n">
        <v>1</v>
      </c>
      <c r="M247" s="0" t="n">
        <f aca="false">F247/0.263*1000/1013.25/100*EXP(17.67*(D247+E247)/2/((D247+E247)/2+273.16-29.65))</f>
        <v>8.68801186218518</v>
      </c>
      <c r="R247" s="424" t="n">
        <f aca="false">B247</f>
        <v>1950</v>
      </c>
      <c r="S247" s="424" t="n">
        <f aca="false">C247</f>
        <v>246</v>
      </c>
      <c r="T247" s="424" t="n">
        <f aca="false">D247</f>
        <v>10.54</v>
      </c>
      <c r="U247" s="424" t="n">
        <f aca="false">E247</f>
        <v>20.98</v>
      </c>
      <c r="V247" s="0" t="n">
        <f aca="false">MIN(0.263*M247/1000*1013.25*100/EXP(17.67*E247/(E247+273.16-29.65)), 100)</f>
        <v>56.9998146107455</v>
      </c>
      <c r="W247" s="0" t="n">
        <f aca="false">MIN(0.263*M247/1000*1013.25*100/EXP(17.67*D247/(D247+273.16-29.65)), 100)</f>
        <v>100</v>
      </c>
      <c r="X247" s="0" t="n">
        <f aca="false">(198.58*(1/(2/15*ACOS(-TAN(3.1416/180*$L$1)*TAN(3.1416/180*23.45*SIN((2*3.1416/365*(C247+284)))))/3.1416*180))^2+5.0551/(2/15*ACOS(-TAN(3.1416/180*$L$1)*TAN(3.1416/180*23.45*SIN((2*3.1416/365*(C247+284)))))/3.1416*180)+1.49)*G247*2.02</f>
        <v>1423.4823837291</v>
      </c>
      <c r="Y247" s="424" t="n">
        <f aca="false">H247</f>
        <v>0</v>
      </c>
      <c r="Z247" s="424" t="n">
        <f aca="false">I247</f>
        <v>1</v>
      </c>
    </row>
    <row r="248" customFormat="false" ht="15.75" hidden="false" customHeight="false" outlineLevel="0" collapsed="false">
      <c r="B248" s="0" t="n">
        <v>1950</v>
      </c>
      <c r="C248" s="424" t="n">
        <v>247</v>
      </c>
      <c r="D248" s="0" t="n">
        <v>15.65</v>
      </c>
      <c r="E248" s="0" t="n">
        <v>23.289999</v>
      </c>
      <c r="F248" s="0" t="n">
        <v>90.375</v>
      </c>
      <c r="G248" s="0" t="n">
        <v>133</v>
      </c>
      <c r="H248" s="0" t="n">
        <v>1</v>
      </c>
      <c r="I248" s="0" t="n">
        <v>1</v>
      </c>
      <c r="M248" s="0" t="n">
        <f aca="false">F248/0.263*1000/1013.25/100*EXP(17.67*(D248+E248)/2/((D248+E248)/2+273.16-29.65))</f>
        <v>12.5466374616531</v>
      </c>
      <c r="R248" s="424" t="n">
        <f aca="false">B248</f>
        <v>1950</v>
      </c>
      <c r="S248" s="424" t="n">
        <f aca="false">C248</f>
        <v>247</v>
      </c>
      <c r="T248" s="424" t="n">
        <f aca="false">D248</f>
        <v>15.65</v>
      </c>
      <c r="U248" s="424" t="n">
        <f aca="false">E248</f>
        <v>23.289999</v>
      </c>
      <c r="V248" s="0" t="n">
        <f aca="false">MIN(0.263*M248/1000*1013.25*100/EXP(17.67*E248/(E248+273.16-29.65)), 100)</f>
        <v>71.5003468462903</v>
      </c>
      <c r="W248" s="0" t="n">
        <f aca="false">MIN(0.263*M248/1000*1013.25*100/EXP(17.67*D248/(D248+273.16-29.65)), 100)</f>
        <v>100</v>
      </c>
      <c r="X248" s="0" t="n">
        <f aca="false">(198.58*(1/(2/15*ACOS(-TAN(3.1416/180*$L$1)*TAN(3.1416/180*23.45*SIN((2*3.1416/365*(C248+284)))))/3.1416*180))^2+5.0551/(2/15*ACOS(-TAN(3.1416/180*$L$1)*TAN(3.1416/180*23.45*SIN((2*3.1416/365*(C248+284)))))/3.1416*180)+1.49)*G248*2.02</f>
        <v>826.231907939024</v>
      </c>
      <c r="Y248" s="424" t="n">
        <f aca="false">H248</f>
        <v>1</v>
      </c>
      <c r="Z248" s="424" t="n">
        <f aca="false">I248</f>
        <v>1</v>
      </c>
    </row>
    <row r="249" customFormat="false" ht="15.75" hidden="false" customHeight="false" outlineLevel="0" collapsed="false">
      <c r="B249" s="0" t="n">
        <v>1950</v>
      </c>
      <c r="C249" s="424" t="n">
        <v>248</v>
      </c>
      <c r="D249" s="0" t="n">
        <v>16.27</v>
      </c>
      <c r="E249" s="0" t="n">
        <v>22.439999</v>
      </c>
      <c r="F249" s="0" t="n">
        <v>89.935005</v>
      </c>
      <c r="G249" s="0" t="n">
        <v>135</v>
      </c>
      <c r="H249" s="0" t="n">
        <v>0</v>
      </c>
      <c r="I249" s="0" t="n">
        <v>1</v>
      </c>
      <c r="M249" s="0" t="n">
        <f aca="false">F249/0.263*1000/1013.25/100*EXP(17.67*(D249+E249)/2/((D249+E249)/2+273.16-29.65))</f>
        <v>12.3965002453399</v>
      </c>
      <c r="R249" s="424" t="n">
        <f aca="false">B249</f>
        <v>1950</v>
      </c>
      <c r="S249" s="424" t="n">
        <f aca="false">C249</f>
        <v>248</v>
      </c>
      <c r="T249" s="424" t="n">
        <f aca="false">D249</f>
        <v>16.27</v>
      </c>
      <c r="U249" s="424" t="n">
        <f aca="false">E249</f>
        <v>22.439999</v>
      </c>
      <c r="V249" s="0" t="n">
        <f aca="false">MIN(0.263*M249/1000*1013.25*100/EXP(17.67*E249/(E249+273.16-29.65)), 100)</f>
        <v>74.3816139367846</v>
      </c>
      <c r="W249" s="0" t="n">
        <f aca="false">MIN(0.263*M249/1000*1013.25*100/EXP(17.67*D249/(D249+273.16-29.65)), 100)</f>
        <v>100</v>
      </c>
      <c r="X249" s="0" t="n">
        <f aca="false">(198.58*(1/(2/15*ACOS(-TAN(3.1416/180*$L$1)*TAN(3.1416/180*23.45*SIN((2*3.1416/365*(C249+284)))))/3.1416*180))^2+5.0551/(2/15*ACOS(-TAN(3.1416/180*$L$1)*TAN(3.1416/180*23.45*SIN((2*3.1416/365*(C249+284)))))/3.1416*180)+1.49)*G249*2.02</f>
        <v>841.836550436558</v>
      </c>
      <c r="Y249" s="424" t="n">
        <f aca="false">H249</f>
        <v>0</v>
      </c>
      <c r="Z249" s="424" t="n">
        <f aca="false">I249</f>
        <v>1</v>
      </c>
    </row>
    <row r="250" customFormat="false" ht="15.75" hidden="false" customHeight="false" outlineLevel="0" collapsed="false">
      <c r="B250" s="0" t="n">
        <v>1950</v>
      </c>
      <c r="C250" s="424" t="n">
        <v>249</v>
      </c>
      <c r="D250" s="0" t="n">
        <v>15.559999</v>
      </c>
      <c r="E250" s="0" t="n">
        <v>23.93</v>
      </c>
      <c r="F250" s="0" t="n">
        <v>84.49</v>
      </c>
      <c r="G250" s="0" t="n">
        <v>180</v>
      </c>
      <c r="H250" s="0" t="n">
        <v>0</v>
      </c>
      <c r="I250" s="0" t="n">
        <v>1</v>
      </c>
      <c r="M250" s="0" t="n">
        <f aca="false">F250/0.263*1000/1013.25/100*EXP(17.67*(D250+E250)/2/((D250+E250)/2+273.16-29.65))</f>
        <v>11.9318340489534</v>
      </c>
      <c r="R250" s="424" t="n">
        <f aca="false">B250</f>
        <v>1950</v>
      </c>
      <c r="S250" s="424" t="n">
        <f aca="false">C250</f>
        <v>249</v>
      </c>
      <c r="T250" s="424" t="n">
        <f aca="false">D250</f>
        <v>15.559999</v>
      </c>
      <c r="U250" s="424" t="n">
        <f aca="false">E250</f>
        <v>23.93</v>
      </c>
      <c r="V250" s="0" t="n">
        <f aca="false">MIN(0.263*M250/1000*1013.25*100/EXP(17.67*E250/(E250+273.16-29.65)), 100)</f>
        <v>65.4224440680578</v>
      </c>
      <c r="W250" s="0" t="n">
        <f aca="false">MIN(0.263*M250/1000*1013.25*100/EXP(17.67*D250/(D250+273.16-29.65)), 100)</f>
        <v>100</v>
      </c>
      <c r="X250" s="0" t="n">
        <f aca="false">(198.58*(1/(2/15*ACOS(-TAN(3.1416/180*$L$1)*TAN(3.1416/180*23.45*SIN((2*3.1416/365*(C250+284)))))/3.1416*180))^2+5.0551/(2/15*ACOS(-TAN(3.1416/180*$L$1)*TAN(3.1416/180*23.45*SIN((2*3.1416/365*(C250+284)))))/3.1416*180)+1.49)*G250*2.02</f>
        <v>1126.75055298061</v>
      </c>
      <c r="Y250" s="424" t="n">
        <f aca="false">H250</f>
        <v>0</v>
      </c>
      <c r="Z250" s="424" t="n">
        <f aca="false">I250</f>
        <v>1</v>
      </c>
    </row>
    <row r="251" customFormat="false" ht="15.75" hidden="false" customHeight="false" outlineLevel="0" collapsed="false">
      <c r="B251" s="0" t="n">
        <v>1950</v>
      </c>
      <c r="C251" s="424" t="n">
        <v>250</v>
      </c>
      <c r="D251" s="0" t="n">
        <v>12.79</v>
      </c>
      <c r="E251" s="0" t="n">
        <v>21.55</v>
      </c>
      <c r="F251" s="0" t="n">
        <v>93.62858</v>
      </c>
      <c r="G251" s="0" t="n">
        <v>146</v>
      </c>
      <c r="H251" s="0" t="n">
        <v>1.9</v>
      </c>
      <c r="I251" s="0" t="n">
        <v>1</v>
      </c>
      <c r="M251" s="0" t="n">
        <f aca="false">F251/0.263*1000/1013.25/100*EXP(17.67*(D251+E251)/2/((D251+E251)/2+273.16-29.65))</f>
        <v>11.2510272790817</v>
      </c>
      <c r="R251" s="424" t="n">
        <f aca="false">B251</f>
        <v>1950</v>
      </c>
      <c r="S251" s="424" t="n">
        <f aca="false">C251</f>
        <v>250</v>
      </c>
      <c r="T251" s="424" t="n">
        <f aca="false">D251</f>
        <v>12.79</v>
      </c>
      <c r="U251" s="424" t="n">
        <f aca="false">E251</f>
        <v>21.55</v>
      </c>
      <c r="V251" s="0" t="n">
        <f aca="false">MIN(0.263*M251/1000*1013.25*100/EXP(17.67*E251/(E251+273.16-29.65)), 100)</f>
        <v>71.2773709300896</v>
      </c>
      <c r="W251" s="0" t="n">
        <f aca="false">MIN(0.263*M251/1000*1013.25*100/EXP(17.67*D251/(D251+273.16-29.65)), 100)</f>
        <v>100</v>
      </c>
      <c r="X251" s="0" t="n">
        <f aca="false">(198.58*(1/(2/15*ACOS(-TAN(3.1416/180*$L$1)*TAN(3.1416/180*23.45*SIN((2*3.1416/365*(C251+284)))))/3.1416*180))^2+5.0551/(2/15*ACOS(-TAN(3.1416/180*$L$1)*TAN(3.1416/180*23.45*SIN((2*3.1416/365*(C251+284)))))/3.1416*180)+1.49)*G251*2.02</f>
        <v>917.459551607506</v>
      </c>
      <c r="Y251" s="424" t="n">
        <f aca="false">H251</f>
        <v>1.9</v>
      </c>
      <c r="Z251" s="424" t="n">
        <f aca="false">I251</f>
        <v>1</v>
      </c>
    </row>
    <row r="252" customFormat="false" ht="15.75" hidden="false" customHeight="false" outlineLevel="0" collapsed="false">
      <c r="B252" s="0" t="n">
        <v>1950</v>
      </c>
      <c r="C252" s="424" t="n">
        <v>251</v>
      </c>
      <c r="D252" s="0" t="n">
        <v>13.75</v>
      </c>
      <c r="E252" s="0" t="n">
        <v>23.529999</v>
      </c>
      <c r="F252" s="0" t="n">
        <v>81.125</v>
      </c>
      <c r="G252" s="0" t="n">
        <v>214</v>
      </c>
      <c r="H252" s="0" t="n">
        <v>0</v>
      </c>
      <c r="I252" s="0" t="n">
        <v>1</v>
      </c>
      <c r="M252" s="0" t="n">
        <f aca="false">F252/0.263*1000/1013.25/100*EXP(17.67*(D252+E252)/2/((D252+E252)/2+273.16-29.65))</f>
        <v>10.6938918328891</v>
      </c>
      <c r="R252" s="424" t="n">
        <f aca="false">B252</f>
        <v>1950</v>
      </c>
      <c r="S252" s="424" t="n">
        <f aca="false">C252</f>
        <v>251</v>
      </c>
      <c r="T252" s="424" t="n">
        <f aca="false">D252</f>
        <v>13.75</v>
      </c>
      <c r="U252" s="424" t="n">
        <f aca="false">E252</f>
        <v>23.529999</v>
      </c>
      <c r="V252" s="0" t="n">
        <f aca="false">MIN(0.263*M252/1000*1013.25*100/EXP(17.67*E252/(E252+273.16-29.65)), 100)</f>
        <v>60.0650325074371</v>
      </c>
      <c r="W252" s="0" t="n">
        <f aca="false">MIN(0.263*M252/1000*1013.25*100/EXP(17.67*D252/(D252+273.16-29.65)), 100)</f>
        <v>100</v>
      </c>
      <c r="X252" s="0" t="n">
        <f aca="false">(198.58*(1/(2/15*ACOS(-TAN(3.1416/180*$L$1)*TAN(3.1416/180*23.45*SIN((2*3.1416/365*(C252+284)))))/3.1416*180))^2+5.0551/(2/15*ACOS(-TAN(3.1416/180*$L$1)*TAN(3.1416/180*23.45*SIN((2*3.1416/365*(C252+284)))))/3.1416*180)+1.49)*G252*2.02</f>
        <v>1350.03218776713</v>
      </c>
      <c r="Y252" s="424" t="n">
        <f aca="false">H252</f>
        <v>0</v>
      </c>
      <c r="Z252" s="424" t="n">
        <f aca="false">I252</f>
        <v>1</v>
      </c>
    </row>
    <row r="253" customFormat="false" ht="15.75" hidden="false" customHeight="false" outlineLevel="0" collapsed="false">
      <c r="B253" s="0" t="n">
        <v>1950</v>
      </c>
      <c r="C253" s="424" t="n">
        <v>252</v>
      </c>
      <c r="D253" s="0" t="n">
        <v>11.28</v>
      </c>
      <c r="E253" s="0" t="n">
        <v>26.13</v>
      </c>
      <c r="F253" s="0" t="n">
        <v>82.135</v>
      </c>
      <c r="G253" s="0" t="n">
        <v>110</v>
      </c>
      <c r="H253" s="0" t="n">
        <v>0</v>
      </c>
      <c r="I253" s="0" t="n">
        <v>1</v>
      </c>
      <c r="M253" s="0" t="n">
        <f aca="false">F253/0.263*1000/1013.25/100*EXP(17.67*(D253+E253)/2/((D253+E253)/2+273.16-29.65))</f>
        <v>10.8711723493256</v>
      </c>
      <c r="R253" s="424" t="n">
        <f aca="false">B253</f>
        <v>1950</v>
      </c>
      <c r="S253" s="424" t="n">
        <f aca="false">C253</f>
        <v>252</v>
      </c>
      <c r="T253" s="424" t="n">
        <f aca="false">D253</f>
        <v>11.28</v>
      </c>
      <c r="U253" s="424" t="n">
        <f aca="false">E253</f>
        <v>26.13</v>
      </c>
      <c r="V253" s="0" t="n">
        <f aca="false">MIN(0.263*M253/1000*1013.25*100/EXP(17.67*E253/(E253+273.16-29.65)), 100)</f>
        <v>52.2740468047743</v>
      </c>
      <c r="W253" s="0" t="n">
        <f aca="false">MIN(0.263*M253/1000*1013.25*100/EXP(17.67*D253/(D253+273.16-29.65)), 100)</f>
        <v>100</v>
      </c>
      <c r="X253" s="0" t="n">
        <f aca="false">(198.58*(1/(2/15*ACOS(-TAN(3.1416/180*$L$1)*TAN(3.1416/180*23.45*SIN((2*3.1416/365*(C253+284)))))/3.1416*180))^2+5.0551/(2/15*ACOS(-TAN(3.1416/180*$L$1)*TAN(3.1416/180*23.45*SIN((2*3.1416/365*(C253+284)))))/3.1416*180)+1.49)*G253*2.02</f>
        <v>696.68546587447</v>
      </c>
      <c r="Y253" s="424" t="n">
        <f aca="false">H253</f>
        <v>0</v>
      </c>
      <c r="Z253" s="424" t="n">
        <f aca="false">I253</f>
        <v>1</v>
      </c>
    </row>
    <row r="254" customFormat="false" ht="15.75" hidden="false" customHeight="false" outlineLevel="0" collapsed="false">
      <c r="B254" s="0" t="n">
        <v>1950</v>
      </c>
      <c r="C254" s="424" t="n">
        <v>253</v>
      </c>
      <c r="D254" s="0" t="n">
        <v>11.82</v>
      </c>
      <c r="E254" s="0" t="n">
        <v>25.82</v>
      </c>
      <c r="F254" s="0" t="n">
        <v>86.090004</v>
      </c>
      <c r="G254" s="0" t="n">
        <v>121</v>
      </c>
      <c r="H254" s="0" t="n">
        <v>0</v>
      </c>
      <c r="I254" s="0" t="n">
        <v>1</v>
      </c>
      <c r="M254" s="0" t="n">
        <f aca="false">F254/0.263*1000/1013.25/100*EXP(17.67*(D254+E254)/2/((D254+E254)/2+273.16-29.65))</f>
        <v>11.4769102143997</v>
      </c>
      <c r="R254" s="424" t="n">
        <f aca="false">B254</f>
        <v>1950</v>
      </c>
      <c r="S254" s="424" t="n">
        <f aca="false">C254</f>
        <v>253</v>
      </c>
      <c r="T254" s="424" t="n">
        <f aca="false">D254</f>
        <v>11.82</v>
      </c>
      <c r="U254" s="424" t="n">
        <f aca="false">E254</f>
        <v>25.82</v>
      </c>
      <c r="V254" s="0" t="n">
        <f aca="false">MIN(0.263*M254/1000*1013.25*100/EXP(17.67*E254/(E254+273.16-29.65)), 100)</f>
        <v>56.2097372115088</v>
      </c>
      <c r="W254" s="0" t="n">
        <f aca="false">MIN(0.263*M254/1000*1013.25*100/EXP(17.67*D254/(D254+273.16-29.65)), 100)</f>
        <v>100</v>
      </c>
      <c r="X254" s="0" t="n">
        <f aca="false">(198.58*(1/(2/15*ACOS(-TAN(3.1416/180*$L$1)*TAN(3.1416/180*23.45*SIN((2*3.1416/365*(C254+284)))))/3.1416*180))^2+5.0551/(2/15*ACOS(-TAN(3.1416/180*$L$1)*TAN(3.1416/180*23.45*SIN((2*3.1416/365*(C254+284)))))/3.1416*180)+1.49)*G254*2.02</f>
        <v>769.414807685149</v>
      </c>
      <c r="Y254" s="424" t="n">
        <f aca="false">H254</f>
        <v>0</v>
      </c>
      <c r="Z254" s="424" t="n">
        <f aca="false">I254</f>
        <v>1</v>
      </c>
    </row>
    <row r="255" customFormat="false" ht="15.75" hidden="false" customHeight="false" outlineLevel="0" collapsed="false">
      <c r="B255" s="0" t="n">
        <v>1950</v>
      </c>
      <c r="C255" s="424" t="n">
        <v>254</v>
      </c>
      <c r="D255" s="0" t="n">
        <v>14.889999</v>
      </c>
      <c r="E255" s="0" t="n">
        <v>29.9</v>
      </c>
      <c r="F255" s="0" t="n">
        <v>84.935</v>
      </c>
      <c r="G255" s="0" t="n">
        <v>140</v>
      </c>
      <c r="H255" s="0" t="n">
        <v>0</v>
      </c>
      <c r="I255" s="0" t="n">
        <v>1</v>
      </c>
      <c r="M255" s="0" t="n">
        <f aca="false">F255/0.263*1000/1013.25/100*EXP(17.67*(D255+E255)/2/((D255+E255)/2+273.16-29.65))</f>
        <v>14.1166317479592</v>
      </c>
      <c r="R255" s="424" t="n">
        <f aca="false">B255</f>
        <v>1950</v>
      </c>
      <c r="S255" s="424" t="n">
        <f aca="false">C255</f>
        <v>254</v>
      </c>
      <c r="T255" s="424" t="n">
        <f aca="false">D255</f>
        <v>14.889999</v>
      </c>
      <c r="U255" s="424" t="n">
        <f aca="false">E255</f>
        <v>29.9</v>
      </c>
      <c r="V255" s="0" t="n">
        <f aca="false">MIN(0.263*M255/1000*1013.25*100/EXP(17.67*E255/(E255+273.16-29.65)), 100)</f>
        <v>54.4728267089688</v>
      </c>
      <c r="W255" s="0" t="n">
        <f aca="false">MIN(0.263*M255/1000*1013.25*100/EXP(17.67*D255/(D255+273.16-29.65)), 100)</f>
        <v>100</v>
      </c>
      <c r="X255" s="0" t="n">
        <f aca="false">(198.58*(1/(2/15*ACOS(-TAN(3.1416/180*$L$1)*TAN(3.1416/180*23.45*SIN((2*3.1416/365*(C255+284)))))/3.1416*180))^2+5.0551/(2/15*ACOS(-TAN(3.1416/180*$L$1)*TAN(3.1416/180*23.45*SIN((2*3.1416/365*(C255+284)))))/3.1416*180)+1.49)*G255*2.02</f>
        <v>893.823258583968</v>
      </c>
      <c r="Y255" s="424" t="n">
        <f aca="false">H255</f>
        <v>0</v>
      </c>
      <c r="Z255" s="424" t="n">
        <f aca="false">I255</f>
        <v>1</v>
      </c>
    </row>
    <row r="256" customFormat="false" ht="15.75" hidden="false" customHeight="false" outlineLevel="0" collapsed="false">
      <c r="B256" s="0" t="n">
        <v>1950</v>
      </c>
      <c r="C256" s="424" t="n">
        <v>255</v>
      </c>
      <c r="D256" s="0" t="n">
        <v>16.119999</v>
      </c>
      <c r="E256" s="0" t="n">
        <v>23.14</v>
      </c>
      <c r="F256" s="0" t="n">
        <v>83.835</v>
      </c>
      <c r="G256" s="0" t="n">
        <v>177</v>
      </c>
      <c r="H256" s="0" t="n">
        <v>0</v>
      </c>
      <c r="I256" s="0" t="n">
        <v>1</v>
      </c>
      <c r="M256" s="0" t="n">
        <f aca="false">F256/0.263*1000/1013.25/100*EXP(17.67*(D256+E256)/2/((D256+E256)/2+273.16-29.65))</f>
        <v>11.7550653330489</v>
      </c>
      <c r="R256" s="424" t="n">
        <f aca="false">B256</f>
        <v>1950</v>
      </c>
      <c r="S256" s="424" t="n">
        <f aca="false">C256</f>
        <v>255</v>
      </c>
      <c r="T256" s="424" t="n">
        <f aca="false">D256</f>
        <v>16.119999</v>
      </c>
      <c r="U256" s="424" t="n">
        <f aca="false">E256</f>
        <v>23.14</v>
      </c>
      <c r="V256" s="0" t="n">
        <f aca="false">MIN(0.263*M256/1000*1013.25*100/EXP(17.67*E256/(E256+273.16-29.65)), 100)</f>
        <v>67.5998711816698</v>
      </c>
      <c r="W256" s="0" t="n">
        <f aca="false">MIN(0.263*M256/1000*1013.25*100/EXP(17.67*D256/(D256+273.16-29.65)), 100)</f>
        <v>100</v>
      </c>
      <c r="X256" s="0" t="n">
        <f aca="false">(198.58*(1/(2/15*ACOS(-TAN(3.1416/180*$L$1)*TAN(3.1416/180*23.45*SIN((2*3.1416/365*(C256+284)))))/3.1416*180))^2+5.0551/(2/15*ACOS(-TAN(3.1416/180*$L$1)*TAN(3.1416/180*23.45*SIN((2*3.1416/365*(C256+284)))))/3.1416*180)+1.49)*G256*2.02</f>
        <v>1134.65183635187</v>
      </c>
      <c r="Y256" s="424" t="n">
        <f aca="false">H256</f>
        <v>0</v>
      </c>
      <c r="Z256" s="424" t="n">
        <f aca="false">I256</f>
        <v>1</v>
      </c>
    </row>
    <row r="257" customFormat="false" ht="15.75" hidden="false" customHeight="false" outlineLevel="0" collapsed="false">
      <c r="B257" s="0" t="n">
        <v>1950</v>
      </c>
      <c r="C257" s="424" t="n">
        <v>256</v>
      </c>
      <c r="D257" s="0" t="n">
        <v>10.059999</v>
      </c>
      <c r="E257" s="0" t="n">
        <v>27.609999</v>
      </c>
      <c r="F257" s="0" t="n">
        <v>76.215004</v>
      </c>
      <c r="G257" s="0" t="n">
        <v>204</v>
      </c>
      <c r="H257" s="0" t="n">
        <v>0</v>
      </c>
      <c r="I257" s="0" t="n">
        <v>1</v>
      </c>
      <c r="M257" s="0" t="n">
        <f aca="false">F257/0.263*1000/1013.25/100*EXP(17.67*(D257+E257)/2/((D257+E257)/2+273.16-29.65))</f>
        <v>10.1699776819223</v>
      </c>
      <c r="R257" s="424" t="n">
        <f aca="false">B257</f>
        <v>1950</v>
      </c>
      <c r="S257" s="424" t="n">
        <f aca="false">C257</f>
        <v>256</v>
      </c>
      <c r="T257" s="424" t="n">
        <f aca="false">D257</f>
        <v>10.059999</v>
      </c>
      <c r="U257" s="424" t="n">
        <f aca="false">E257</f>
        <v>27.609999</v>
      </c>
      <c r="V257" s="0" t="n">
        <f aca="false">MIN(0.263*M257/1000*1013.25*100/EXP(17.67*E257/(E257+273.16-29.65)), 100)</f>
        <v>44.8227266309901</v>
      </c>
      <c r="W257" s="0" t="n">
        <f aca="false">MIN(0.263*M257/1000*1013.25*100/EXP(17.67*D257/(D257+273.16-29.65)), 100)</f>
        <v>100</v>
      </c>
      <c r="X257" s="0" t="n">
        <f aca="false">(198.58*(1/(2/15*ACOS(-TAN(3.1416/180*$L$1)*TAN(3.1416/180*23.45*SIN((2*3.1416/365*(C257+284)))))/3.1416*180))^2+5.0551/(2/15*ACOS(-TAN(3.1416/180*$L$1)*TAN(3.1416/180*23.45*SIN((2*3.1416/365*(C257+284)))))/3.1416*180)+1.49)*G257*2.02</f>
        <v>1313.11421118914</v>
      </c>
      <c r="Y257" s="424" t="n">
        <f aca="false">H257</f>
        <v>0</v>
      </c>
      <c r="Z257" s="424" t="n">
        <f aca="false">I257</f>
        <v>1</v>
      </c>
    </row>
    <row r="258" customFormat="false" ht="15.75" hidden="false" customHeight="false" outlineLevel="0" collapsed="false">
      <c r="B258" s="0" t="n">
        <v>1950</v>
      </c>
      <c r="C258" s="424" t="n">
        <v>257</v>
      </c>
      <c r="D258" s="0" t="n">
        <v>15.25</v>
      </c>
      <c r="E258" s="0" t="n">
        <v>22.619999</v>
      </c>
      <c r="F258" s="0" t="n">
        <v>88.18</v>
      </c>
      <c r="G258" s="0" t="n">
        <v>89</v>
      </c>
      <c r="H258" s="0" t="n">
        <v>2.9</v>
      </c>
      <c r="I258" s="0" t="n">
        <v>1</v>
      </c>
      <c r="M258" s="0" t="n">
        <f aca="false">F258/0.263*1000/1013.25/100*EXP(17.67*(D258+E258)/2/((D258+E258)/2+273.16-29.65))</f>
        <v>11.8403280637705</v>
      </c>
      <c r="R258" s="424" t="n">
        <f aca="false">B258</f>
        <v>1950</v>
      </c>
      <c r="S258" s="424" t="n">
        <f aca="false">C258</f>
        <v>257</v>
      </c>
      <c r="T258" s="424" t="n">
        <f aca="false">D258</f>
        <v>15.25</v>
      </c>
      <c r="U258" s="424" t="n">
        <f aca="false">E258</f>
        <v>22.619999</v>
      </c>
      <c r="V258" s="0" t="n">
        <f aca="false">MIN(0.263*M258/1000*1013.25*100/EXP(17.67*E258/(E258+273.16-29.65)), 100)</f>
        <v>70.2712700958861</v>
      </c>
      <c r="W258" s="0" t="n">
        <f aca="false">MIN(0.263*M258/1000*1013.25*100/EXP(17.67*D258/(D258+273.16-29.65)), 100)</f>
        <v>100</v>
      </c>
      <c r="X258" s="0" t="n">
        <f aca="false">(198.58*(1/(2/15*ACOS(-TAN(3.1416/180*$L$1)*TAN(3.1416/180*23.45*SIN((2*3.1416/365*(C258+284)))))/3.1416*180))^2+5.0551/(2/15*ACOS(-TAN(3.1416/180*$L$1)*TAN(3.1416/180*23.45*SIN((2*3.1416/365*(C258+284)))))/3.1416*180)+1.49)*G258*2.02</f>
        <v>575.257792388952</v>
      </c>
      <c r="Y258" s="424" t="n">
        <f aca="false">H258</f>
        <v>2.9</v>
      </c>
      <c r="Z258" s="424" t="n">
        <f aca="false">I258</f>
        <v>1</v>
      </c>
    </row>
    <row r="259" customFormat="false" ht="15.75" hidden="false" customHeight="false" outlineLevel="0" collapsed="false">
      <c r="B259" s="0" t="n">
        <v>1950</v>
      </c>
      <c r="C259" s="424" t="n">
        <v>258</v>
      </c>
      <c r="D259" s="0" t="n">
        <v>12.25</v>
      </c>
      <c r="E259" s="0" t="n">
        <v>19.57</v>
      </c>
      <c r="F259" s="0" t="n">
        <v>80.235</v>
      </c>
      <c r="G259" s="0" t="n">
        <v>117</v>
      </c>
      <c r="H259" s="0" t="n">
        <v>12.900001</v>
      </c>
      <c r="I259" s="0" t="n">
        <v>1</v>
      </c>
      <c r="M259" s="0" t="n">
        <f aca="false">F259/0.263*1000/1013.25/100*EXP(17.67*(D259+E259)/2/((D259+E259)/2+273.16-29.65))</f>
        <v>8.89877326815224</v>
      </c>
      <c r="R259" s="424" t="n">
        <f aca="false">B259</f>
        <v>1950</v>
      </c>
      <c r="S259" s="424" t="n">
        <f aca="false">C259</f>
        <v>258</v>
      </c>
      <c r="T259" s="424" t="n">
        <f aca="false">D259</f>
        <v>12.25</v>
      </c>
      <c r="U259" s="424" t="n">
        <f aca="false">E259</f>
        <v>19.57</v>
      </c>
      <c r="V259" s="0" t="n">
        <f aca="false">MIN(0.263*M259/1000*1013.25*100/EXP(17.67*E259/(E259+273.16-29.65)), 100)</f>
        <v>63.7015608084977</v>
      </c>
      <c r="W259" s="0" t="n">
        <f aca="false">MIN(0.263*M259/1000*1013.25*100/EXP(17.67*D259/(D259+273.16-29.65)), 100)</f>
        <v>100</v>
      </c>
      <c r="X259" s="0" t="n">
        <f aca="false">(198.58*(1/(2/15*ACOS(-TAN(3.1416/180*$L$1)*TAN(3.1416/180*23.45*SIN((2*3.1416/365*(C259+284)))))/3.1416*180))^2+5.0551/(2/15*ACOS(-TAN(3.1416/180*$L$1)*TAN(3.1416/180*23.45*SIN((2*3.1416/365*(C259+284)))))/3.1416*180)+1.49)*G259*2.02</f>
        <v>759.408877035148</v>
      </c>
      <c r="Y259" s="424" t="n">
        <f aca="false">H259</f>
        <v>12.900001</v>
      </c>
      <c r="Z259" s="424" t="n">
        <f aca="false">I259</f>
        <v>1</v>
      </c>
    </row>
    <row r="260" customFormat="false" ht="15.75" hidden="false" customHeight="false" outlineLevel="0" collapsed="false">
      <c r="B260" s="0" t="n">
        <v>1950</v>
      </c>
      <c r="C260" s="424" t="n">
        <v>259</v>
      </c>
      <c r="D260" s="0" t="n">
        <v>8.86</v>
      </c>
      <c r="E260" s="0" t="n">
        <v>22.13</v>
      </c>
      <c r="F260" s="0" t="n">
        <v>75.585</v>
      </c>
      <c r="G260" s="0" t="n">
        <v>222</v>
      </c>
      <c r="H260" s="0" t="n">
        <v>0</v>
      </c>
      <c r="I260" s="0" t="n">
        <v>1</v>
      </c>
      <c r="M260" s="0" t="n">
        <f aca="false">F260/0.263*1000/1013.25/100*EXP(17.67*(D260+E260)/2/((D260+E260)/2+273.16-29.65))</f>
        <v>8.16319339912192</v>
      </c>
      <c r="R260" s="424" t="n">
        <f aca="false">B260</f>
        <v>1950</v>
      </c>
      <c r="S260" s="424" t="n">
        <f aca="false">C260</f>
        <v>259</v>
      </c>
      <c r="T260" s="424" t="n">
        <f aca="false">D260</f>
        <v>8.86</v>
      </c>
      <c r="U260" s="424" t="n">
        <f aca="false">E260</f>
        <v>22.13</v>
      </c>
      <c r="V260" s="0" t="n">
        <f aca="false">MIN(0.263*M260/1000*1013.25*100/EXP(17.67*E260/(E260+273.16-29.65)), 100)</f>
        <v>49.9144641445493</v>
      </c>
      <c r="W260" s="0" t="n">
        <f aca="false">MIN(0.263*M260/1000*1013.25*100/EXP(17.67*D260/(D260+273.16-29.65)), 100)</f>
        <v>100</v>
      </c>
      <c r="X260" s="0" t="n">
        <f aca="false">(198.58*(1/(2/15*ACOS(-TAN(3.1416/180*$L$1)*TAN(3.1416/180*23.45*SIN((2*3.1416/365*(C260+284)))))/3.1416*180))^2+5.0551/(2/15*ACOS(-TAN(3.1416/180*$L$1)*TAN(3.1416/180*23.45*SIN((2*3.1416/365*(C260+284)))))/3.1416*180)+1.49)*G260*2.02</f>
        <v>1447.02875980587</v>
      </c>
      <c r="Y260" s="424" t="n">
        <f aca="false">H260</f>
        <v>0</v>
      </c>
      <c r="Z260" s="424" t="n">
        <f aca="false">I260</f>
        <v>1</v>
      </c>
    </row>
    <row r="261" customFormat="false" ht="15.75" hidden="false" customHeight="false" outlineLevel="0" collapsed="false">
      <c r="B261" s="0" t="n">
        <v>1950</v>
      </c>
      <c r="C261" s="424" t="n">
        <v>260</v>
      </c>
      <c r="D261" s="0" t="n">
        <v>12.349999</v>
      </c>
      <c r="E261" s="0" t="n">
        <v>21.39</v>
      </c>
      <c r="F261" s="0" t="n">
        <v>76.905</v>
      </c>
      <c r="G261" s="0" t="n">
        <v>144</v>
      </c>
      <c r="H261" s="0" t="n">
        <v>0</v>
      </c>
      <c r="I261" s="0" t="n">
        <v>1</v>
      </c>
      <c r="M261" s="0" t="n">
        <f aca="false">F261/0.263*1000/1013.25/100*EXP(17.67*(D261+E261)/2/((D261+E261)/2+273.16-29.65))</f>
        <v>9.06732113142175</v>
      </c>
      <c r="R261" s="424" t="n">
        <f aca="false">B261</f>
        <v>1950</v>
      </c>
      <c r="S261" s="424" t="n">
        <f aca="false">C261</f>
        <v>260</v>
      </c>
      <c r="T261" s="424" t="n">
        <f aca="false">D261</f>
        <v>12.349999</v>
      </c>
      <c r="U261" s="424" t="n">
        <f aca="false">E261</f>
        <v>21.39</v>
      </c>
      <c r="V261" s="0" t="n">
        <f aca="false">MIN(0.263*M261/1000*1013.25*100/EXP(17.67*E261/(E261+273.16-29.65)), 100)</f>
        <v>58.0091824914103</v>
      </c>
      <c r="W261" s="0" t="n">
        <f aca="false">MIN(0.263*M261/1000*1013.25*100/EXP(17.67*D261/(D261+273.16-29.65)), 100)</f>
        <v>100</v>
      </c>
      <c r="X261" s="0" t="n">
        <f aca="false">(198.58*(1/(2/15*ACOS(-TAN(3.1416/180*$L$1)*TAN(3.1416/180*23.45*SIN((2*3.1416/365*(C261+284)))))/3.1416*180))^2+5.0551/(2/15*ACOS(-TAN(3.1416/180*$L$1)*TAN(3.1416/180*23.45*SIN((2*3.1416/365*(C261+284)))))/3.1416*180)+1.49)*G261*2.02</f>
        <v>942.623095267581</v>
      </c>
      <c r="Y261" s="424" t="n">
        <f aca="false">H261</f>
        <v>0</v>
      </c>
      <c r="Z261" s="424" t="n">
        <f aca="false">I261</f>
        <v>1</v>
      </c>
    </row>
    <row r="262" customFormat="false" ht="15.75" hidden="false" customHeight="false" outlineLevel="0" collapsed="false">
      <c r="B262" s="0" t="n">
        <v>1950</v>
      </c>
      <c r="C262" s="424" t="n">
        <v>261</v>
      </c>
      <c r="D262" s="0" t="n">
        <v>10.12</v>
      </c>
      <c r="E262" s="0" t="n">
        <v>21.09</v>
      </c>
      <c r="F262" s="0" t="n">
        <v>79.82</v>
      </c>
      <c r="G262" s="0" t="n">
        <v>99</v>
      </c>
      <c r="H262" s="0" t="n">
        <v>0</v>
      </c>
      <c r="I262" s="0" t="n">
        <v>1</v>
      </c>
      <c r="M262" s="0" t="n">
        <f aca="false">F262/0.263*1000/1013.25/100*EXP(17.67*(D262+E262)/2/((D262+E262)/2+273.16-29.65))</f>
        <v>8.68158595341543</v>
      </c>
      <c r="R262" s="424" t="n">
        <f aca="false">B262</f>
        <v>1950</v>
      </c>
      <c r="S262" s="424" t="n">
        <f aca="false">C262</f>
        <v>261</v>
      </c>
      <c r="T262" s="424" t="n">
        <f aca="false">D262</f>
        <v>10.12</v>
      </c>
      <c r="U262" s="424" t="n">
        <f aca="false">E262</f>
        <v>21.09</v>
      </c>
      <c r="V262" s="0" t="n">
        <f aca="false">MIN(0.263*M262/1000*1013.25*100/EXP(17.67*E262/(E262+273.16-29.65)), 100)</f>
        <v>56.5737442320767</v>
      </c>
      <c r="W262" s="0" t="n">
        <f aca="false">MIN(0.263*M262/1000*1013.25*100/EXP(17.67*D262/(D262+273.16-29.65)), 100)</f>
        <v>100</v>
      </c>
      <c r="X262" s="0" t="n">
        <f aca="false">(198.58*(1/(2/15*ACOS(-TAN(3.1416/180*$L$1)*TAN(3.1416/180*23.45*SIN((2*3.1416/365*(C262+284)))))/3.1416*180))^2+5.0551/(2/15*ACOS(-TAN(3.1416/180*$L$1)*TAN(3.1416/180*23.45*SIN((2*3.1416/365*(C262+284)))))/3.1416*180)+1.49)*G262*2.02</f>
        <v>650.84732458558</v>
      </c>
      <c r="Y262" s="424" t="n">
        <f aca="false">H262</f>
        <v>0</v>
      </c>
      <c r="Z262" s="424" t="n">
        <f aca="false">I262</f>
        <v>1</v>
      </c>
    </row>
    <row r="263" customFormat="false" ht="15.75" hidden="false" customHeight="false" outlineLevel="0" collapsed="false">
      <c r="B263" s="0" t="n">
        <v>1950</v>
      </c>
      <c r="C263" s="424" t="n">
        <v>262</v>
      </c>
      <c r="D263" s="0" t="n">
        <v>12.059999</v>
      </c>
      <c r="E263" s="0" t="n">
        <v>20.68</v>
      </c>
      <c r="F263" s="0" t="n">
        <v>88.345</v>
      </c>
      <c r="G263" s="0" t="n">
        <v>131</v>
      </c>
      <c r="H263" s="0" t="n">
        <v>1.8000001</v>
      </c>
      <c r="I263" s="0" t="n">
        <v>1</v>
      </c>
      <c r="M263" s="0" t="n">
        <f aca="false">F263/0.263*1000/1013.25/100*EXP(17.67*(D263+E263)/2/((D263+E263)/2+273.16-29.65))</f>
        <v>10.0901706174273</v>
      </c>
      <c r="R263" s="424" t="n">
        <f aca="false">B263</f>
        <v>1950</v>
      </c>
      <c r="S263" s="424" t="n">
        <f aca="false">C263</f>
        <v>262</v>
      </c>
      <c r="T263" s="424" t="n">
        <f aca="false">D263</f>
        <v>12.059999</v>
      </c>
      <c r="U263" s="424" t="n">
        <f aca="false">E263</f>
        <v>20.68</v>
      </c>
      <c r="V263" s="0" t="n">
        <f aca="false">MIN(0.263*M263/1000*1013.25*100/EXP(17.67*E263/(E263+273.16-29.65)), 100)</f>
        <v>67.4333108187232</v>
      </c>
      <c r="W263" s="0" t="n">
        <f aca="false">MIN(0.263*M263/1000*1013.25*100/EXP(17.67*D263/(D263+273.16-29.65)), 100)</f>
        <v>100</v>
      </c>
      <c r="X263" s="0" t="n">
        <f aca="false">(198.58*(1/(2/15*ACOS(-TAN(3.1416/180*$L$1)*TAN(3.1416/180*23.45*SIN((2*3.1416/365*(C263+284)))))/3.1416*180))^2+5.0551/(2/15*ACOS(-TAN(3.1416/180*$L$1)*TAN(3.1416/180*23.45*SIN((2*3.1416/365*(C263+284)))))/3.1416*180)+1.49)*G263*2.02</f>
        <v>864.968813773595</v>
      </c>
      <c r="Y263" s="424" t="n">
        <f aca="false">H263</f>
        <v>1.8000001</v>
      </c>
      <c r="Z263" s="424" t="n">
        <f aca="false">I263</f>
        <v>1</v>
      </c>
    </row>
    <row r="264" customFormat="false" ht="15.75" hidden="false" customHeight="false" outlineLevel="0" collapsed="false">
      <c r="B264" s="0" t="n">
        <v>1950</v>
      </c>
      <c r="C264" s="424" t="n">
        <v>263</v>
      </c>
      <c r="D264" s="0" t="n">
        <v>13.139999</v>
      </c>
      <c r="E264" s="0" t="n">
        <v>19.789999</v>
      </c>
      <c r="F264" s="0" t="n">
        <v>87.630005</v>
      </c>
      <c r="G264" s="0" t="n">
        <v>161</v>
      </c>
      <c r="H264" s="0" t="n">
        <v>1.6</v>
      </c>
      <c r="I264" s="0" t="n">
        <v>1</v>
      </c>
      <c r="M264" s="0" t="n">
        <f aca="false">F264/0.263*1000/1013.25/100*EXP(17.67*(D264+E264)/2/((D264+E264)/2+273.16-29.65))</f>
        <v>10.0692458055429</v>
      </c>
      <c r="R264" s="424" t="n">
        <f aca="false">B264</f>
        <v>1950</v>
      </c>
      <c r="S264" s="424" t="n">
        <f aca="false">C264</f>
        <v>263</v>
      </c>
      <c r="T264" s="424" t="n">
        <f aca="false">D264</f>
        <v>13.139999</v>
      </c>
      <c r="U264" s="424" t="n">
        <f aca="false">E264</f>
        <v>19.789999</v>
      </c>
      <c r="V264" s="0" t="n">
        <f aca="false">MIN(0.263*M264/1000*1013.25*100/EXP(17.67*E264/(E264+273.16-29.65)), 100)</f>
        <v>71.1020117945538</v>
      </c>
      <c r="W264" s="0" t="n">
        <f aca="false">MIN(0.263*M264/1000*1013.25*100/EXP(17.67*D264/(D264+273.16-29.65)), 100)</f>
        <v>100</v>
      </c>
      <c r="X264" s="0" t="n">
        <f aca="false">(198.58*(1/(2/15*ACOS(-TAN(3.1416/180*$L$1)*TAN(3.1416/180*23.45*SIN((2*3.1416/365*(C264+284)))))/3.1416*180))^2+5.0551/(2/15*ACOS(-TAN(3.1416/180*$L$1)*TAN(3.1416/180*23.45*SIN((2*3.1416/365*(C264+284)))))/3.1416*180)+1.49)*G264*2.02</f>
        <v>1067.71921281571</v>
      </c>
      <c r="Y264" s="424" t="n">
        <f aca="false">H264</f>
        <v>1.6</v>
      </c>
      <c r="Z264" s="424" t="n">
        <f aca="false">I264</f>
        <v>1</v>
      </c>
    </row>
    <row r="265" customFormat="false" ht="15.75" hidden="false" customHeight="false" outlineLevel="0" collapsed="false">
      <c r="B265" s="0" t="n">
        <v>1950</v>
      </c>
      <c r="C265" s="424" t="n">
        <v>264</v>
      </c>
      <c r="D265" s="0" t="n">
        <v>12.0199995</v>
      </c>
      <c r="E265" s="0" t="n">
        <v>18.6</v>
      </c>
      <c r="F265" s="0" t="n">
        <v>82.665</v>
      </c>
      <c r="G265" s="0" t="n">
        <v>135</v>
      </c>
      <c r="H265" s="0" t="n">
        <v>0</v>
      </c>
      <c r="I265" s="0" t="n">
        <v>1</v>
      </c>
      <c r="M265" s="0" t="n">
        <f aca="false">F265/0.263*1000/1013.25/100*EXP(17.67*(D265+E265)/2/((D265+E265)/2+273.16-29.65))</f>
        <v>8.82244697659951</v>
      </c>
      <c r="R265" s="424" t="n">
        <f aca="false">B265</f>
        <v>1950</v>
      </c>
      <c r="S265" s="424" t="n">
        <f aca="false">C265</f>
        <v>264</v>
      </c>
      <c r="T265" s="424" t="n">
        <f aca="false">D265</f>
        <v>12.0199995</v>
      </c>
      <c r="U265" s="424" t="n">
        <f aca="false">E265</f>
        <v>18.6</v>
      </c>
      <c r="V265" s="0" t="n">
        <f aca="false">MIN(0.263*M265/1000*1013.25*100/EXP(17.67*E265/(E265+273.16-29.65)), 100)</f>
        <v>67.0958724007045</v>
      </c>
      <c r="W265" s="0" t="n">
        <f aca="false">MIN(0.263*M265/1000*1013.25*100/EXP(17.67*D265/(D265+273.16-29.65)), 100)</f>
        <v>100</v>
      </c>
      <c r="X265" s="0" t="n">
        <f aca="false">(198.58*(1/(2/15*ACOS(-TAN(3.1416/180*$L$1)*TAN(3.1416/180*23.45*SIN((2*3.1416/365*(C265+284)))))/3.1416*180))^2+5.0551/(2/15*ACOS(-TAN(3.1416/180*$L$1)*TAN(3.1416/180*23.45*SIN((2*3.1416/365*(C265+284)))))/3.1416*180)+1.49)*G265*2.02</f>
        <v>899.256736267671</v>
      </c>
      <c r="Y265" s="424" t="n">
        <f aca="false">H265</f>
        <v>0</v>
      </c>
      <c r="Z265" s="424" t="n">
        <f aca="false">I265</f>
        <v>1</v>
      </c>
    </row>
    <row r="266" customFormat="false" ht="15.75" hidden="false" customHeight="false" outlineLevel="0" collapsed="false">
      <c r="B266" s="0" t="n">
        <v>1950</v>
      </c>
      <c r="C266" s="424" t="n">
        <v>265</v>
      </c>
      <c r="D266" s="0" t="n">
        <v>5.89</v>
      </c>
      <c r="E266" s="0" t="n">
        <v>18.869999</v>
      </c>
      <c r="F266" s="0" t="n">
        <v>83</v>
      </c>
      <c r="G266" s="0" t="n">
        <v>191</v>
      </c>
      <c r="H266" s="0" t="n">
        <v>0</v>
      </c>
      <c r="I266" s="0" t="n">
        <v>1</v>
      </c>
      <c r="M266" s="0" t="n">
        <f aca="false">F266/0.263*1000/1013.25/100*EXP(17.67*(D266+E266)/2/((D266+E266)/2+273.16-29.65))</f>
        <v>7.3227514291686</v>
      </c>
      <c r="R266" s="424" t="n">
        <f aca="false">B266</f>
        <v>1950</v>
      </c>
      <c r="S266" s="424" t="n">
        <f aca="false">C266</f>
        <v>265</v>
      </c>
      <c r="T266" s="424" t="n">
        <f aca="false">D266</f>
        <v>5.89</v>
      </c>
      <c r="U266" s="424" t="n">
        <f aca="false">E266</f>
        <v>18.869999</v>
      </c>
      <c r="V266" s="0" t="n">
        <f aca="false">MIN(0.263*M266/1000*1013.25*100/EXP(17.67*E266/(E266+273.16-29.65)), 100)</f>
        <v>54.7576242440602</v>
      </c>
      <c r="W266" s="0" t="n">
        <f aca="false">MIN(0.263*M266/1000*1013.25*100/EXP(17.67*D266/(D266+273.16-29.65)), 100)</f>
        <v>100</v>
      </c>
      <c r="X266" s="0" t="n">
        <f aca="false">(198.58*(1/(2/15*ACOS(-TAN(3.1416/180*$L$1)*TAN(3.1416/180*23.45*SIN((2*3.1416/365*(C266+284)))))/3.1416*180))^2+5.0551/(2/15*ACOS(-TAN(3.1416/180*$L$1)*TAN(3.1416/180*23.45*SIN((2*3.1416/365*(C266+284)))))/3.1416*180)+1.49)*G266*2.02</f>
        <v>1277.96418185048</v>
      </c>
      <c r="Y266" s="424" t="n">
        <f aca="false">H266</f>
        <v>0</v>
      </c>
      <c r="Z266" s="424" t="n">
        <f aca="false">I266</f>
        <v>1</v>
      </c>
    </row>
    <row r="267" customFormat="false" ht="15.75" hidden="false" customHeight="false" outlineLevel="0" collapsed="false">
      <c r="B267" s="0" t="n">
        <v>1950</v>
      </c>
      <c r="C267" s="424" t="n">
        <v>266</v>
      </c>
      <c r="D267" s="0" t="n">
        <v>5.38</v>
      </c>
      <c r="E267" s="0" t="n">
        <v>20.439999</v>
      </c>
      <c r="F267" s="0" t="n">
        <v>78.93</v>
      </c>
      <c r="G267" s="0" t="n">
        <v>201</v>
      </c>
      <c r="H267" s="0" t="n">
        <v>0</v>
      </c>
      <c r="I267" s="0" t="n">
        <v>1</v>
      </c>
      <c r="M267" s="0" t="n">
        <f aca="false">F267/0.263*1000/1013.25/100*EXP(17.67*(D267+E267)/2/((D267+E267)/2+273.16-29.65))</f>
        <v>7.2099531202859</v>
      </c>
      <c r="R267" s="424" t="n">
        <f aca="false">B267</f>
        <v>1950</v>
      </c>
      <c r="S267" s="424" t="n">
        <f aca="false">C267</f>
        <v>266</v>
      </c>
      <c r="T267" s="424" t="n">
        <f aca="false">D267</f>
        <v>5.38</v>
      </c>
      <c r="U267" s="424" t="n">
        <f aca="false">E267</f>
        <v>20.439999</v>
      </c>
      <c r="V267" s="0" t="n">
        <f aca="false">MIN(0.263*M267/1000*1013.25*100/EXP(17.67*E267/(E267+273.16-29.65)), 100)</f>
        <v>48.9034974647869</v>
      </c>
      <c r="W267" s="0" t="n">
        <f aca="false">MIN(0.263*M267/1000*1013.25*100/EXP(17.67*D267/(D267+273.16-29.65)), 100)</f>
        <v>100</v>
      </c>
      <c r="X267" s="0" t="n">
        <f aca="false">(198.58*(1/(2/15*ACOS(-TAN(3.1416/180*$L$1)*TAN(3.1416/180*23.45*SIN((2*3.1416/365*(C267+284)))))/3.1416*180))^2+5.0551/(2/15*ACOS(-TAN(3.1416/180*$L$1)*TAN(3.1416/180*23.45*SIN((2*3.1416/365*(C267+284)))))/3.1416*180)+1.49)*G267*2.02</f>
        <v>1350.93139061668</v>
      </c>
      <c r="Y267" s="424" t="n">
        <f aca="false">H267</f>
        <v>0</v>
      </c>
      <c r="Z267" s="424" t="n">
        <f aca="false">I267</f>
        <v>1</v>
      </c>
    </row>
    <row r="268" customFormat="false" ht="15.75" hidden="false" customHeight="false" outlineLevel="0" collapsed="false">
      <c r="B268" s="0" t="n">
        <v>1950</v>
      </c>
      <c r="C268" s="424" t="n">
        <v>267</v>
      </c>
      <c r="D268" s="0" t="n">
        <v>5.49</v>
      </c>
      <c r="E268" s="0" t="n">
        <v>25.619999</v>
      </c>
      <c r="F268" s="0" t="n">
        <v>79.845</v>
      </c>
      <c r="G268" s="0" t="n">
        <v>132</v>
      </c>
      <c r="H268" s="0" t="n">
        <v>0</v>
      </c>
      <c r="I268" s="0" t="n">
        <v>1</v>
      </c>
      <c r="M268" s="0" t="n">
        <f aca="false">F268/0.263*1000/1013.25/100*EXP(17.67*(D268+E268)/2/((D268+E268)/2+273.16-29.65))</f>
        <v>8.65651652873397</v>
      </c>
      <c r="R268" s="424" t="n">
        <f aca="false">B268</f>
        <v>1950</v>
      </c>
      <c r="S268" s="424" t="n">
        <f aca="false">C268</f>
        <v>267</v>
      </c>
      <c r="T268" s="424" t="n">
        <f aca="false">D268</f>
        <v>5.49</v>
      </c>
      <c r="U268" s="424" t="n">
        <f aca="false">E268</f>
        <v>25.619999</v>
      </c>
      <c r="V268" s="0" t="n">
        <f aca="false">MIN(0.263*M268/1000*1013.25*100/EXP(17.67*E268/(E268+273.16-29.65)), 100)</f>
        <v>42.9028213631229</v>
      </c>
      <c r="W268" s="0" t="n">
        <f aca="false">MIN(0.263*M268/1000*1013.25*100/EXP(17.67*D268/(D268+273.16-29.65)), 100)</f>
        <v>100</v>
      </c>
      <c r="X268" s="0" t="n">
        <f aca="false">(198.58*(1/(2/15*ACOS(-TAN(3.1416/180*$L$1)*TAN(3.1416/180*23.45*SIN((2*3.1416/365*(C268+284)))))/3.1416*180))^2+5.0551/(2/15*ACOS(-TAN(3.1416/180*$L$1)*TAN(3.1416/180*23.45*SIN((2*3.1416/365*(C268+284)))))/3.1416*180)+1.49)*G268*2.02</f>
        <v>891.208915395624</v>
      </c>
      <c r="Y268" s="424" t="n">
        <f aca="false">H268</f>
        <v>0</v>
      </c>
      <c r="Z268" s="424" t="n">
        <f aca="false">I268</f>
        <v>1</v>
      </c>
    </row>
    <row r="269" customFormat="false" ht="15.75" hidden="false" customHeight="false" outlineLevel="0" collapsed="false">
      <c r="B269" s="0" t="n">
        <v>1950</v>
      </c>
      <c r="C269" s="424" t="n">
        <v>268</v>
      </c>
      <c r="D269" s="0" t="n">
        <v>11.65</v>
      </c>
      <c r="E269" s="0" t="n">
        <v>20.63</v>
      </c>
      <c r="F269" s="0" t="n">
        <v>88.31</v>
      </c>
      <c r="G269" s="0" t="n">
        <v>96</v>
      </c>
      <c r="H269" s="0" t="n">
        <v>2.7</v>
      </c>
      <c r="I269" s="0" t="n">
        <v>1</v>
      </c>
      <c r="M269" s="0" t="n">
        <f aca="false">F269/0.263*1000/1013.25/100*EXP(17.67*(D269+E269)/2/((D269+E269)/2+273.16-29.65))</f>
        <v>9.93932630348166</v>
      </c>
      <c r="R269" s="424" t="n">
        <f aca="false">B269</f>
        <v>1950</v>
      </c>
      <c r="S269" s="424" t="n">
        <f aca="false">C269</f>
        <v>268</v>
      </c>
      <c r="T269" s="424" t="n">
        <f aca="false">D269</f>
        <v>11.65</v>
      </c>
      <c r="U269" s="424" t="n">
        <f aca="false">E269</f>
        <v>20.63</v>
      </c>
      <c r="V269" s="0" t="n">
        <f aca="false">MIN(0.263*M269/1000*1013.25*100/EXP(17.67*E269/(E269+273.16-29.65)), 100)</f>
        <v>66.630312377703</v>
      </c>
      <c r="W269" s="0" t="n">
        <f aca="false">MIN(0.263*M269/1000*1013.25*100/EXP(17.67*D269/(D269+273.16-29.65)), 100)</f>
        <v>100</v>
      </c>
      <c r="X269" s="0" t="n">
        <f aca="false">(198.58*(1/(2/15*ACOS(-TAN(3.1416/180*$L$1)*TAN(3.1416/180*23.45*SIN((2*3.1416/365*(C269+284)))))/3.1416*180))^2+5.0551/(2/15*ACOS(-TAN(3.1416/180*$L$1)*TAN(3.1416/180*23.45*SIN((2*3.1416/365*(C269+284)))))/3.1416*180)+1.49)*G269*2.02</f>
        <v>651.120698471536</v>
      </c>
      <c r="Y269" s="424" t="n">
        <f aca="false">H269</f>
        <v>2.7</v>
      </c>
      <c r="Z269" s="424" t="n">
        <f aca="false">I269</f>
        <v>1</v>
      </c>
    </row>
    <row r="270" customFormat="false" ht="15.75" hidden="false" customHeight="false" outlineLevel="0" collapsed="false">
      <c r="B270" s="0" t="n">
        <v>1950</v>
      </c>
      <c r="C270" s="424" t="n">
        <v>269</v>
      </c>
      <c r="D270" s="0" t="n">
        <v>10.219999</v>
      </c>
      <c r="E270" s="0" t="n">
        <v>17.369999</v>
      </c>
      <c r="F270" s="0" t="n">
        <v>89.425</v>
      </c>
      <c r="G270" s="0" t="n">
        <v>117</v>
      </c>
      <c r="H270" s="0" t="n">
        <v>5.9</v>
      </c>
      <c r="I270" s="0" t="n">
        <v>1</v>
      </c>
      <c r="M270" s="0" t="n">
        <f aca="false">F270/0.263*1000/1013.25/100*EXP(17.67*(D270+E270)/2/((D270+E270)/2+273.16-29.65))</f>
        <v>8.65396290119833</v>
      </c>
      <c r="R270" s="424" t="n">
        <f aca="false">B270</f>
        <v>1950</v>
      </c>
      <c r="S270" s="424" t="n">
        <f aca="false">C270</f>
        <v>269</v>
      </c>
      <c r="T270" s="424" t="n">
        <f aca="false">D270</f>
        <v>10.219999</v>
      </c>
      <c r="U270" s="424" t="n">
        <f aca="false">E270</f>
        <v>17.369999</v>
      </c>
      <c r="V270" s="0" t="n">
        <f aca="false">MIN(0.263*M270/1000*1013.25*100/EXP(17.67*E270/(E270+273.16-29.65)), 100)</f>
        <v>71.1108163709348</v>
      </c>
      <c r="W270" s="0" t="n">
        <f aca="false">MIN(0.263*M270/1000*1013.25*100/EXP(17.67*D270/(D270+273.16-29.65)), 100)</f>
        <v>100</v>
      </c>
      <c r="X270" s="0" t="n">
        <f aca="false">(198.58*(1/(2/15*ACOS(-TAN(3.1416/180*$L$1)*TAN(3.1416/180*23.45*SIN((2*3.1416/365*(C270+284)))))/3.1416*180))^2+5.0551/(2/15*ACOS(-TAN(3.1416/180*$L$1)*TAN(3.1416/180*23.45*SIN((2*3.1416/365*(C270+284)))))/3.1416*180)+1.49)*G270*2.02</f>
        <v>797.217836272885</v>
      </c>
      <c r="Y270" s="424" t="n">
        <f aca="false">H270</f>
        <v>5.9</v>
      </c>
      <c r="Z270" s="424" t="n">
        <f aca="false">I270</f>
        <v>1</v>
      </c>
    </row>
    <row r="271" customFormat="false" ht="15.75" hidden="false" customHeight="false" outlineLevel="0" collapsed="false">
      <c r="B271" s="0" t="n">
        <v>1950</v>
      </c>
      <c r="C271" s="424" t="n">
        <v>270</v>
      </c>
      <c r="D271" s="0" t="n">
        <v>4.88</v>
      </c>
      <c r="E271" s="0" t="n">
        <v>15.48</v>
      </c>
      <c r="F271" s="0" t="n">
        <v>92.52632</v>
      </c>
      <c r="G271" s="0" t="n">
        <v>58</v>
      </c>
      <c r="H271" s="0" t="n">
        <v>0</v>
      </c>
      <c r="I271" s="0" t="n">
        <v>1</v>
      </c>
      <c r="M271" s="0" t="n">
        <f aca="false">F271/0.263*1000/1013.25/100*EXP(17.67*(D271+E271)/2/((D271+E271)/2+273.16-29.65))</f>
        <v>7.05557399234179</v>
      </c>
      <c r="R271" s="424" t="n">
        <f aca="false">B271</f>
        <v>1950</v>
      </c>
      <c r="S271" s="424" t="n">
        <f aca="false">C271</f>
        <v>270</v>
      </c>
      <c r="T271" s="424" t="n">
        <f aca="false">D271</f>
        <v>4.88</v>
      </c>
      <c r="U271" s="424" t="n">
        <f aca="false">E271</f>
        <v>15.48</v>
      </c>
      <c r="V271" s="0" t="n">
        <f aca="false">MIN(0.263*M271/1000*1013.25*100/EXP(17.67*E271/(E271+273.16-29.65)), 100)</f>
        <v>65.3921699500205</v>
      </c>
      <c r="W271" s="0" t="n">
        <f aca="false">MIN(0.263*M271/1000*1013.25*100/EXP(17.67*D271/(D271+273.16-29.65)), 100)</f>
        <v>100</v>
      </c>
      <c r="X271" s="0" t="n">
        <f aca="false">(198.58*(1/(2/15*ACOS(-TAN(3.1416/180*$L$1)*TAN(3.1416/180*23.45*SIN((2*3.1416/365*(C271+284)))))/3.1416*180))^2+5.0551/(2/15*ACOS(-TAN(3.1416/180*$L$1)*TAN(3.1416/180*23.45*SIN((2*3.1416/365*(C271+284)))))/3.1416*180)+1.49)*G271*2.02</f>
        <v>397.041663710892</v>
      </c>
      <c r="Y271" s="424" t="n">
        <f aca="false">H271</f>
        <v>0</v>
      </c>
      <c r="Z271" s="424" t="n">
        <f aca="false">I271</f>
        <v>1</v>
      </c>
    </row>
    <row r="272" customFormat="false" ht="15.75" hidden="false" customHeight="false" outlineLevel="0" collapsed="false">
      <c r="B272" s="0" t="n">
        <v>1950</v>
      </c>
      <c r="C272" s="424" t="n">
        <v>271</v>
      </c>
      <c r="D272" s="0" t="n">
        <v>2.51</v>
      </c>
      <c r="E272" s="0" t="n">
        <v>18.039999</v>
      </c>
      <c r="F272" s="0" t="n">
        <v>86.93</v>
      </c>
      <c r="G272" s="0" t="n">
        <v>176</v>
      </c>
      <c r="H272" s="0" t="n">
        <v>0</v>
      </c>
      <c r="I272" s="0" t="n">
        <v>1</v>
      </c>
      <c r="M272" s="0" t="n">
        <f aca="false">F272/0.263*1000/1013.25/100*EXP(17.67*(D272+E272)/2/((D272+E272)/2+273.16-29.65))</f>
        <v>6.6710481720757</v>
      </c>
      <c r="R272" s="424" t="n">
        <f aca="false">B272</f>
        <v>1950</v>
      </c>
      <c r="S272" s="424" t="n">
        <f aca="false">C272</f>
        <v>271</v>
      </c>
      <c r="T272" s="424" t="n">
        <f aca="false">D272</f>
        <v>2.51</v>
      </c>
      <c r="U272" s="424" t="n">
        <f aca="false">E272</f>
        <v>18.039999</v>
      </c>
      <c r="V272" s="0" t="n">
        <f aca="false">MIN(0.263*M272/1000*1013.25*100/EXP(17.67*E272/(E272+273.16-29.65)), 100)</f>
        <v>52.5491287100928</v>
      </c>
      <c r="W272" s="0" t="n">
        <f aca="false">MIN(0.263*M272/1000*1013.25*100/EXP(17.67*D272/(D272+273.16-29.65)), 100)</f>
        <v>100</v>
      </c>
      <c r="X272" s="0" t="n">
        <f aca="false">(198.58*(1/(2/15*ACOS(-TAN(3.1416/180*$L$1)*TAN(3.1416/180*23.45*SIN((2*3.1416/365*(C272+284)))))/3.1416*180))^2+5.0551/(2/15*ACOS(-TAN(3.1416/180*$L$1)*TAN(3.1416/180*23.45*SIN((2*3.1416/365*(C272+284)))))/3.1416*180)+1.49)*G272*2.02</f>
        <v>1210.4688637171</v>
      </c>
      <c r="Y272" s="424" t="n">
        <f aca="false">H272</f>
        <v>0</v>
      </c>
      <c r="Z272" s="424" t="n">
        <f aca="false">I272</f>
        <v>1</v>
      </c>
    </row>
    <row r="273" customFormat="false" ht="15.75" hidden="false" customHeight="false" outlineLevel="0" collapsed="false">
      <c r="B273" s="0" t="n">
        <v>1950</v>
      </c>
      <c r="C273" s="424" t="n">
        <v>272</v>
      </c>
      <c r="D273" s="0" t="n">
        <v>5.77</v>
      </c>
      <c r="E273" s="0" t="n">
        <v>20.02</v>
      </c>
      <c r="F273" s="0" t="n">
        <v>79.39</v>
      </c>
      <c r="G273" s="0" t="n">
        <v>97</v>
      </c>
      <c r="H273" s="0" t="n">
        <v>1</v>
      </c>
      <c r="I273" s="0" t="n">
        <v>1</v>
      </c>
      <c r="M273" s="0" t="n">
        <f aca="false">F273/0.263*1000/1013.25/100*EXP(17.67*(D273+E273)/2/((D273+E273)/2+273.16-29.65))</f>
        <v>7.24485703297906</v>
      </c>
      <c r="R273" s="424" t="n">
        <f aca="false">B273</f>
        <v>1950</v>
      </c>
      <c r="S273" s="424" t="n">
        <f aca="false">C273</f>
        <v>272</v>
      </c>
      <c r="T273" s="424" t="n">
        <f aca="false">D273</f>
        <v>5.77</v>
      </c>
      <c r="U273" s="424" t="n">
        <f aca="false">E273</f>
        <v>20.02</v>
      </c>
      <c r="V273" s="0" t="n">
        <f aca="false">MIN(0.263*M273/1000*1013.25*100/EXP(17.67*E273/(E273+273.16-29.65)), 100)</f>
        <v>50.4336671937033</v>
      </c>
      <c r="W273" s="0" t="n">
        <f aca="false">MIN(0.263*M273/1000*1013.25*100/EXP(17.67*D273/(D273+273.16-29.65)), 100)</f>
        <v>100</v>
      </c>
      <c r="X273" s="0" t="n">
        <f aca="false">(198.58*(1/(2/15*ACOS(-TAN(3.1416/180*$L$1)*TAN(3.1416/180*23.45*SIN((2*3.1416/365*(C273+284)))))/3.1416*180))^2+5.0551/(2/15*ACOS(-TAN(3.1416/180*$L$1)*TAN(3.1416/180*23.45*SIN((2*3.1416/365*(C273+284)))))/3.1416*180)+1.49)*G273*2.02</f>
        <v>670.287812226938</v>
      </c>
      <c r="Y273" s="424" t="n">
        <f aca="false">H273</f>
        <v>1</v>
      </c>
      <c r="Z273" s="424" t="n">
        <f aca="false">I273</f>
        <v>1</v>
      </c>
    </row>
    <row r="274" customFormat="false" ht="15.75" hidden="false" customHeight="false" outlineLevel="0" collapsed="false">
      <c r="B274" s="0" t="n">
        <v>1950</v>
      </c>
      <c r="C274" s="424" t="n">
        <v>273</v>
      </c>
      <c r="D274" s="0" t="n">
        <v>11.67</v>
      </c>
      <c r="E274" s="0" t="n">
        <v>20.65</v>
      </c>
      <c r="F274" s="0" t="n">
        <v>87.775</v>
      </c>
      <c r="G274" s="0" t="n">
        <v>80</v>
      </c>
      <c r="H274" s="0" t="n">
        <v>4.4</v>
      </c>
      <c r="I274" s="0" t="n">
        <v>1</v>
      </c>
      <c r="M274" s="0" t="n">
        <f aca="false">F274/0.263*1000/1013.25/100*EXP(17.67*(D274+E274)/2/((D274+E274)/2+273.16-29.65))</f>
        <v>9.8917291918084</v>
      </c>
      <c r="R274" s="424" t="n">
        <f aca="false">B274</f>
        <v>1950</v>
      </c>
      <c r="S274" s="424" t="n">
        <f aca="false">C274</f>
        <v>273</v>
      </c>
      <c r="T274" s="424" t="n">
        <f aca="false">D274</f>
        <v>11.67</v>
      </c>
      <c r="U274" s="424" t="n">
        <f aca="false">E274</f>
        <v>20.65</v>
      </c>
      <c r="V274" s="0" t="n">
        <f aca="false">MIN(0.263*M274/1000*1013.25*100/EXP(17.67*E274/(E274+273.16-29.65)), 100)</f>
        <v>66.229501623587</v>
      </c>
      <c r="W274" s="0" t="n">
        <f aca="false">MIN(0.263*M274/1000*1013.25*100/EXP(17.67*D274/(D274+273.16-29.65)), 100)</f>
        <v>100</v>
      </c>
      <c r="X274" s="0" t="n">
        <f aca="false">(198.58*(1/(2/15*ACOS(-TAN(3.1416/180*$L$1)*TAN(3.1416/180*23.45*SIN((2*3.1416/365*(C274+284)))))/3.1416*180))^2+5.0551/(2/15*ACOS(-TAN(3.1416/180*$L$1)*TAN(3.1416/180*23.45*SIN((2*3.1416/365*(C274+284)))))/3.1416*180)+1.49)*G274*2.02</f>
        <v>555.448510928277</v>
      </c>
      <c r="Y274" s="424" t="n">
        <f aca="false">H274</f>
        <v>4.4</v>
      </c>
      <c r="Z274" s="424" t="n">
        <f aca="false">I274</f>
        <v>1</v>
      </c>
    </row>
    <row r="275" customFormat="false" ht="15.75" hidden="false" customHeight="false" outlineLevel="0" collapsed="false">
      <c r="B275" s="0" t="n">
        <v>1950</v>
      </c>
      <c r="C275" s="424" t="n">
        <v>274</v>
      </c>
      <c r="D275" s="0" t="n">
        <v>13.0199995</v>
      </c>
      <c r="E275" s="0" t="n">
        <v>18.43</v>
      </c>
      <c r="F275" s="0" t="n">
        <v>81.215004</v>
      </c>
      <c r="G275" s="0" t="n">
        <v>140</v>
      </c>
      <c r="H275" s="0" t="n">
        <v>1</v>
      </c>
      <c r="I275" s="0" t="n">
        <v>1</v>
      </c>
      <c r="M275" s="0" t="n">
        <f aca="false">F275/0.263*1000/1013.25/100*EXP(17.67*(D275+E275)/2/((D275+E275)/2+273.16-29.65))</f>
        <v>8.90147477691888</v>
      </c>
      <c r="R275" s="424" t="n">
        <f aca="false">B275</f>
        <v>1950</v>
      </c>
      <c r="S275" s="424" t="n">
        <f aca="false">C275</f>
        <v>274</v>
      </c>
      <c r="T275" s="424" t="n">
        <f aca="false">D275</f>
        <v>13.0199995</v>
      </c>
      <c r="U275" s="424" t="n">
        <f aca="false">E275</f>
        <v>18.43</v>
      </c>
      <c r="V275" s="0" t="n">
        <f aca="false">MIN(0.263*M275/1000*1013.25*100/EXP(17.67*E275/(E275+273.16-29.65)), 100)</f>
        <v>68.4219946314485</v>
      </c>
      <c r="W275" s="0" t="n">
        <f aca="false">MIN(0.263*M275/1000*1013.25*100/EXP(17.67*D275/(D275+273.16-29.65)), 100)</f>
        <v>96.7490473709857</v>
      </c>
      <c r="X275" s="0" t="n">
        <f aca="false">(198.58*(1/(2/15*ACOS(-TAN(3.1416/180*$L$1)*TAN(3.1416/180*23.45*SIN((2*3.1416/365*(C275+284)))))/3.1416*180))^2+5.0551/(2/15*ACOS(-TAN(3.1416/180*$L$1)*TAN(3.1416/180*23.45*SIN((2*3.1416/365*(C275+284)))))/3.1416*180)+1.49)*G275*2.02</f>
        <v>976.700706035021</v>
      </c>
      <c r="Y275" s="424" t="n">
        <f aca="false">H275</f>
        <v>1</v>
      </c>
      <c r="Z275" s="424" t="n">
        <f aca="false">I275</f>
        <v>1</v>
      </c>
    </row>
    <row r="276" customFormat="false" ht="15.75" hidden="false" customHeight="false" outlineLevel="0" collapsed="false">
      <c r="B276" s="0" t="n">
        <v>1950</v>
      </c>
      <c r="C276" s="424" t="n">
        <v>275</v>
      </c>
      <c r="D276" s="0" t="n">
        <v>10.679999</v>
      </c>
      <c r="E276" s="0" t="n">
        <v>18.939999</v>
      </c>
      <c r="F276" s="0" t="n">
        <v>85.355</v>
      </c>
      <c r="G276" s="0" t="n">
        <v>93</v>
      </c>
      <c r="H276" s="0" t="n">
        <v>2.4</v>
      </c>
      <c r="I276" s="0" t="n">
        <v>1</v>
      </c>
      <c r="M276" s="0" t="n">
        <f aca="false">F276/0.263*1000/1013.25/100*EXP(17.67*(D276+E276)/2/((D276+E276)/2+273.16-29.65))</f>
        <v>8.82107131049034</v>
      </c>
      <c r="R276" s="424" t="n">
        <f aca="false">B276</f>
        <v>1950</v>
      </c>
      <c r="S276" s="424" t="n">
        <f aca="false">C276</f>
        <v>275</v>
      </c>
      <c r="T276" s="424" t="n">
        <f aca="false">D276</f>
        <v>10.679999</v>
      </c>
      <c r="U276" s="424" t="n">
        <f aca="false">E276</f>
        <v>18.939999</v>
      </c>
      <c r="V276" s="0" t="n">
        <f aca="false">MIN(0.263*M276/1000*1013.25*100/EXP(17.67*E276/(E276+273.16-29.65)), 100)</f>
        <v>65.6737861422286</v>
      </c>
      <c r="W276" s="0" t="n">
        <f aca="false">MIN(0.263*M276/1000*1013.25*100/EXP(17.67*D276/(D276+273.16-29.65)), 100)</f>
        <v>100</v>
      </c>
      <c r="X276" s="0" t="n">
        <f aca="false">(198.58*(1/(2/15*ACOS(-TAN(3.1416/180*$L$1)*TAN(3.1416/180*23.45*SIN((2*3.1416/365*(C276+284)))))/3.1416*180))^2+5.0551/(2/15*ACOS(-TAN(3.1416/180*$L$1)*TAN(3.1416/180*23.45*SIN((2*3.1416/365*(C276+284)))))/3.1416*180)+1.49)*G276*2.02</f>
        <v>651.945478094548</v>
      </c>
      <c r="Y276" s="424" t="n">
        <f aca="false">H276</f>
        <v>2.4</v>
      </c>
      <c r="Z276" s="424" t="n">
        <f aca="false">I276</f>
        <v>1</v>
      </c>
    </row>
    <row r="277" customFormat="false" ht="15.75" hidden="false" customHeight="false" outlineLevel="0" collapsed="false">
      <c r="B277" s="0" t="n">
        <v>1950</v>
      </c>
      <c r="C277" s="424" t="n">
        <v>276</v>
      </c>
      <c r="D277" s="0" t="n">
        <v>12.059999</v>
      </c>
      <c r="E277" s="0" t="n">
        <v>20.48</v>
      </c>
      <c r="F277" s="0" t="n">
        <v>90.240005</v>
      </c>
      <c r="G277" s="0" t="n">
        <v>158</v>
      </c>
      <c r="H277" s="0" t="n">
        <v>0</v>
      </c>
      <c r="I277" s="0" t="n">
        <v>1</v>
      </c>
      <c r="M277" s="0" t="n">
        <f aca="false">F277/0.263*1000/1013.25/100*EXP(17.67*(D277+E277)/2/((D277+E277)/2+273.16-29.65))</f>
        <v>10.2411255438175</v>
      </c>
      <c r="R277" s="424" t="n">
        <f aca="false">B277</f>
        <v>1950</v>
      </c>
      <c r="S277" s="424" t="n">
        <f aca="false">C277</f>
        <v>276</v>
      </c>
      <c r="T277" s="424" t="n">
        <f aca="false">D277</f>
        <v>12.059999</v>
      </c>
      <c r="U277" s="424" t="n">
        <f aca="false">E277</f>
        <v>20.48</v>
      </c>
      <c r="V277" s="0" t="n">
        <f aca="false">MIN(0.263*M277/1000*1013.25*100/EXP(17.67*E277/(E277+273.16-29.65)), 100)</f>
        <v>69.2918915620705</v>
      </c>
      <c r="W277" s="0" t="n">
        <f aca="false">MIN(0.263*M277/1000*1013.25*100/EXP(17.67*D277/(D277+273.16-29.65)), 100)</f>
        <v>100</v>
      </c>
      <c r="X277" s="0" t="n">
        <f aca="false">(198.58*(1/(2/15*ACOS(-TAN(3.1416/180*$L$1)*TAN(3.1416/180*23.45*SIN((2*3.1416/365*(C277+284)))))/3.1416*180))^2+5.0551/(2/15*ACOS(-TAN(3.1416/180*$L$1)*TAN(3.1416/180*23.45*SIN((2*3.1416/365*(C277+284)))))/3.1416*180)+1.49)*G277*2.02</f>
        <v>1113.00029994549</v>
      </c>
      <c r="Y277" s="424" t="n">
        <f aca="false">H277</f>
        <v>0</v>
      </c>
      <c r="Z277" s="424" t="n">
        <f aca="false">I277</f>
        <v>1</v>
      </c>
    </row>
    <row r="278" customFormat="false" ht="15.75" hidden="false" customHeight="false" outlineLevel="0" collapsed="false">
      <c r="B278" s="0" t="n">
        <v>1950</v>
      </c>
      <c r="C278" s="424" t="n">
        <v>277</v>
      </c>
      <c r="D278" s="0" t="n">
        <v>9.26</v>
      </c>
      <c r="E278" s="0" t="n">
        <v>23.21</v>
      </c>
      <c r="F278" s="0" t="n">
        <v>79.645004</v>
      </c>
      <c r="G278" s="0" t="n">
        <v>121</v>
      </c>
      <c r="H278" s="0" t="n">
        <v>0</v>
      </c>
      <c r="I278" s="0" t="n">
        <v>1</v>
      </c>
      <c r="M278" s="0" t="n">
        <f aca="false">F278/0.263*1000/1013.25/100*EXP(17.67*(D278+E278)/2/((D278+E278)/2+273.16-29.65))</f>
        <v>9.01857338945773</v>
      </c>
      <c r="R278" s="424" t="n">
        <f aca="false">B278</f>
        <v>1950</v>
      </c>
      <c r="S278" s="424" t="n">
        <f aca="false">C278</f>
        <v>277</v>
      </c>
      <c r="T278" s="424" t="n">
        <f aca="false">D278</f>
        <v>9.26</v>
      </c>
      <c r="U278" s="424" t="n">
        <f aca="false">E278</f>
        <v>23.21</v>
      </c>
      <c r="V278" s="0" t="n">
        <f aca="false">MIN(0.263*M278/1000*1013.25*100/EXP(17.67*E278/(E278+273.16-29.65)), 100)</f>
        <v>51.6439467121224</v>
      </c>
      <c r="W278" s="0" t="n">
        <f aca="false">MIN(0.263*M278/1000*1013.25*100/EXP(17.67*D278/(D278+273.16-29.65)), 100)</f>
        <v>100</v>
      </c>
      <c r="X278" s="0" t="n">
        <f aca="false">(198.58*(1/(2/15*ACOS(-TAN(3.1416/180*$L$1)*TAN(3.1416/180*23.45*SIN((2*3.1416/365*(C278+284)))))/3.1416*180))^2+5.0551/(2/15*ACOS(-TAN(3.1416/180*$L$1)*TAN(3.1416/180*23.45*SIN((2*3.1416/365*(C278+284)))))/3.1416*180)+1.49)*G278*2.02</f>
        <v>856.541090501495</v>
      </c>
      <c r="Y278" s="424" t="n">
        <f aca="false">H278</f>
        <v>0</v>
      </c>
      <c r="Z278" s="424" t="n">
        <f aca="false">I278</f>
        <v>1</v>
      </c>
    </row>
    <row r="279" customFormat="false" ht="15.75" hidden="false" customHeight="false" outlineLevel="0" collapsed="false">
      <c r="B279" s="0" t="n">
        <v>1950</v>
      </c>
      <c r="C279" s="424" t="n">
        <v>278</v>
      </c>
      <c r="D279" s="0" t="n">
        <v>11.69</v>
      </c>
      <c r="E279" s="0" t="n">
        <v>25.48</v>
      </c>
      <c r="F279" s="0" t="n">
        <v>75.5</v>
      </c>
      <c r="G279" s="0" t="n">
        <v>176</v>
      </c>
      <c r="H279" s="0" t="n">
        <v>0</v>
      </c>
      <c r="I279" s="0" t="n">
        <v>1</v>
      </c>
      <c r="M279" s="0" t="n">
        <f aca="false">F279/0.263*1000/1013.25/100*EXP(17.67*(D279+E279)/2/((D279+E279)/2+273.16-29.65))</f>
        <v>9.91818442578022</v>
      </c>
      <c r="R279" s="424" t="n">
        <f aca="false">B279</f>
        <v>1950</v>
      </c>
      <c r="S279" s="424" t="n">
        <f aca="false">C279</f>
        <v>278</v>
      </c>
      <c r="T279" s="424" t="n">
        <f aca="false">D279</f>
        <v>11.69</v>
      </c>
      <c r="U279" s="424" t="n">
        <f aca="false">E279</f>
        <v>25.48</v>
      </c>
      <c r="V279" s="0" t="n">
        <f aca="false">MIN(0.263*M279/1000*1013.25*100/EXP(17.67*E279/(E279+273.16-29.65)), 100)</f>
        <v>49.5665477699872</v>
      </c>
      <c r="W279" s="0" t="n">
        <f aca="false">MIN(0.263*M279/1000*1013.25*100/EXP(17.67*D279/(D279+273.16-29.65)), 100)</f>
        <v>100</v>
      </c>
      <c r="X279" s="0" t="n">
        <f aca="false">(198.58*(1/(2/15*ACOS(-TAN(3.1416/180*$L$1)*TAN(3.1416/180*23.45*SIN((2*3.1416/365*(C279+284)))))/3.1416*180))^2+5.0551/(2/15*ACOS(-TAN(3.1416/180*$L$1)*TAN(3.1416/180*23.45*SIN((2*3.1416/365*(C279+284)))))/3.1416*180)+1.49)*G279*2.02</f>
        <v>1252.02978198998</v>
      </c>
      <c r="Y279" s="424" t="n">
        <f aca="false">H279</f>
        <v>0</v>
      </c>
      <c r="Z279" s="424" t="n">
        <f aca="false">I279</f>
        <v>1</v>
      </c>
    </row>
    <row r="280" customFormat="false" ht="15.75" hidden="false" customHeight="false" outlineLevel="0" collapsed="false">
      <c r="B280" s="0" t="n">
        <v>1950</v>
      </c>
      <c r="C280" s="424" t="n">
        <v>279</v>
      </c>
      <c r="D280" s="0" t="n">
        <v>11.66</v>
      </c>
      <c r="E280" s="0" t="n">
        <v>24.63</v>
      </c>
      <c r="F280" s="0" t="n">
        <v>85.07</v>
      </c>
      <c r="G280" s="0" t="n">
        <v>140</v>
      </c>
      <c r="H280" s="0" t="n">
        <v>0</v>
      </c>
      <c r="I280" s="0" t="n">
        <v>1</v>
      </c>
      <c r="M280" s="0" t="n">
        <f aca="false">F280/0.263*1000/1013.25/100*EXP(17.67*(D280+E280)/2/((D280+E280)/2+273.16-29.65))</f>
        <v>10.8710656790605</v>
      </c>
      <c r="R280" s="424" t="n">
        <f aca="false">B280</f>
        <v>1950</v>
      </c>
      <c r="S280" s="424" t="n">
        <f aca="false">C280</f>
        <v>279</v>
      </c>
      <c r="T280" s="424" t="n">
        <f aca="false">D280</f>
        <v>11.66</v>
      </c>
      <c r="U280" s="424" t="n">
        <f aca="false">E280</f>
        <v>24.63</v>
      </c>
      <c r="V280" s="0" t="n">
        <f aca="false">MIN(0.263*M280/1000*1013.25*100/EXP(17.67*E280/(E280+273.16-29.65)), 100)</f>
        <v>57.1545379232632</v>
      </c>
      <c r="W280" s="0" t="n">
        <f aca="false">MIN(0.263*M280/1000*1013.25*100/EXP(17.67*D280/(D280+273.16-29.65)), 100)</f>
        <v>100</v>
      </c>
      <c r="X280" s="0" t="n">
        <f aca="false">(198.58*(1/(2/15*ACOS(-TAN(3.1416/180*$L$1)*TAN(3.1416/180*23.45*SIN((2*3.1416/365*(C280+284)))))/3.1416*180))^2+5.0551/(2/15*ACOS(-TAN(3.1416/180*$L$1)*TAN(3.1416/180*23.45*SIN((2*3.1416/365*(C280+284)))))/3.1416*180)+1.49)*G280*2.02</f>
        <v>1000.88329773128</v>
      </c>
      <c r="Y280" s="424" t="n">
        <f aca="false">H280</f>
        <v>0</v>
      </c>
      <c r="Z280" s="424" t="n">
        <f aca="false">I280</f>
        <v>1</v>
      </c>
    </row>
    <row r="281" customFormat="false" ht="15.75" hidden="false" customHeight="false" outlineLevel="0" collapsed="false">
      <c r="B281" s="0" t="n">
        <v>1950</v>
      </c>
      <c r="C281" s="424" t="n">
        <v>280</v>
      </c>
      <c r="D281" s="0" t="n">
        <v>12.309999</v>
      </c>
      <c r="E281" s="0" t="n">
        <v>18.74</v>
      </c>
      <c r="F281" s="0" t="n">
        <f aca="false">F280</f>
        <v>85.07</v>
      </c>
      <c r="G281" s="0" t="n">
        <v>112</v>
      </c>
      <c r="H281" s="0" t="n">
        <v>0</v>
      </c>
      <c r="I281" s="0" t="n">
        <v>1</v>
      </c>
      <c r="M281" s="0" t="n">
        <f aca="false">F281/0.263*1000/1013.25/100*EXP(17.67*(D281+E281)/2/((D281+E281)/2+273.16-29.65))</f>
        <v>9.205268815858</v>
      </c>
      <c r="R281" s="424" t="n">
        <f aca="false">B281</f>
        <v>1950</v>
      </c>
      <c r="S281" s="424" t="n">
        <f aca="false">C281</f>
        <v>280</v>
      </c>
      <c r="T281" s="424" t="n">
        <f aca="false">D281</f>
        <v>12.309999</v>
      </c>
      <c r="U281" s="424" t="n">
        <f aca="false">E281</f>
        <v>18.74</v>
      </c>
      <c r="V281" s="0" t="n">
        <f aca="false">MIN(0.263*M281/1000*1013.25*100/EXP(17.67*E281/(E281+273.16-29.65)), 100)</f>
        <v>69.3964479494098</v>
      </c>
      <c r="W281" s="0" t="n">
        <f aca="false">MIN(0.263*M281/1000*1013.25*100/EXP(17.67*D281/(D281+273.16-29.65)), 100)</f>
        <v>100</v>
      </c>
      <c r="X281" s="0" t="n">
        <f aca="false">(198.58*(1/(2/15*ACOS(-TAN(3.1416/180*$L$1)*TAN(3.1416/180*23.45*SIN((2*3.1416/365*(C281+284)))))/3.1416*180))^2+5.0551/(2/15*ACOS(-TAN(3.1416/180*$L$1)*TAN(3.1416/180*23.45*SIN((2*3.1416/365*(C281+284)))))/3.1416*180)+1.49)*G281*2.02</f>
        <v>804.712615534835</v>
      </c>
      <c r="Y281" s="424" t="n">
        <f aca="false">H281</f>
        <v>0</v>
      </c>
      <c r="Z281" s="424" t="n">
        <f aca="false">I281</f>
        <v>1</v>
      </c>
    </row>
    <row r="282" customFormat="false" ht="15.75" hidden="false" customHeight="false" outlineLevel="0" collapsed="false">
      <c r="B282" s="0" t="n">
        <v>1950</v>
      </c>
      <c r="C282" s="424" t="n">
        <v>281</v>
      </c>
      <c r="D282" s="0" t="n">
        <v>8.849999</v>
      </c>
      <c r="E282" s="0" t="n">
        <v>20.75</v>
      </c>
      <c r="F282" s="0" t="n">
        <v>93.06111</v>
      </c>
      <c r="G282" s="0" t="n">
        <v>88</v>
      </c>
      <c r="H282" s="0" t="n">
        <v>0</v>
      </c>
      <c r="I282" s="0" t="n">
        <v>1</v>
      </c>
      <c r="M282" s="0" t="n">
        <f aca="false">F282/0.263*1000/1013.25/100*EXP(17.67*(D282+E282)/2/((D282+E282)/2+273.16-29.65))</f>
        <v>9.61126511303445</v>
      </c>
      <c r="R282" s="424" t="n">
        <f aca="false">B282</f>
        <v>1950</v>
      </c>
      <c r="S282" s="424" t="n">
        <f aca="false">C282</f>
        <v>281</v>
      </c>
      <c r="T282" s="424" t="n">
        <f aca="false">D282</f>
        <v>8.849999</v>
      </c>
      <c r="U282" s="424" t="n">
        <f aca="false">E282</f>
        <v>20.75</v>
      </c>
      <c r="V282" s="0" t="n">
        <f aca="false">MIN(0.263*M282/1000*1013.25*100/EXP(17.67*E282/(E282+273.16-29.65)), 100)</f>
        <v>63.9562339409447</v>
      </c>
      <c r="W282" s="0" t="n">
        <f aca="false">MIN(0.263*M282/1000*1013.25*100/EXP(17.67*D282/(D282+273.16-29.65)), 100)</f>
        <v>100</v>
      </c>
      <c r="X282" s="0" t="n">
        <f aca="false">(198.58*(1/(2/15*ACOS(-TAN(3.1416/180*$L$1)*TAN(3.1416/180*23.45*SIN((2*3.1416/365*(C282+284)))))/3.1416*180))^2+5.0551/(2/15*ACOS(-TAN(3.1416/180*$L$1)*TAN(3.1416/180*23.45*SIN((2*3.1416/365*(C282+284)))))/3.1416*180)+1.49)*G282*2.02</f>
        <v>635.45748080667</v>
      </c>
      <c r="Y282" s="424" t="n">
        <f aca="false">H282</f>
        <v>0</v>
      </c>
      <c r="Z282" s="424" t="n">
        <f aca="false">I282</f>
        <v>1</v>
      </c>
    </row>
    <row r="283" customFormat="false" ht="15.75" hidden="false" customHeight="false" outlineLevel="0" collapsed="false">
      <c r="B283" s="0" t="n">
        <v>1950</v>
      </c>
      <c r="C283" s="424" t="n">
        <v>282</v>
      </c>
      <c r="D283" s="0" t="n">
        <v>11.09</v>
      </c>
      <c r="E283" s="0" t="n">
        <v>19.4</v>
      </c>
      <c r="F283" s="0" t="n">
        <v>91.58</v>
      </c>
      <c r="G283" s="0" t="n">
        <v>109</v>
      </c>
      <c r="H283" s="0" t="n">
        <v>5</v>
      </c>
      <c r="I283" s="0" t="n">
        <v>1</v>
      </c>
      <c r="M283" s="0" t="n">
        <f aca="false">F283/0.263*1000/1013.25/100*EXP(17.67*(D283+E283)/2/((D283+E283)/2+273.16-29.65))</f>
        <v>9.73317063633976</v>
      </c>
      <c r="R283" s="424" t="n">
        <f aca="false">B283</f>
        <v>1950</v>
      </c>
      <c r="S283" s="424" t="n">
        <f aca="false">C283</f>
        <v>282</v>
      </c>
      <c r="T283" s="424" t="n">
        <f aca="false">D283</f>
        <v>11.09</v>
      </c>
      <c r="U283" s="424" t="n">
        <f aca="false">E283</f>
        <v>19.4</v>
      </c>
      <c r="V283" s="0" t="n">
        <f aca="false">MIN(0.263*M283/1000*1013.25*100/EXP(17.67*E283/(E283+273.16-29.65)), 100)</f>
        <v>70.4153299205432</v>
      </c>
      <c r="W283" s="0" t="n">
        <f aca="false">MIN(0.263*M283/1000*1013.25*100/EXP(17.67*D283/(D283+273.16-29.65)), 100)</f>
        <v>100</v>
      </c>
      <c r="X283" s="0" t="n">
        <f aca="false">(198.58*(1/(2/15*ACOS(-TAN(3.1416/180*$L$1)*TAN(3.1416/180*23.45*SIN((2*3.1416/365*(C283+284)))))/3.1416*180))^2+5.0551/(2/15*ACOS(-TAN(3.1416/180*$L$1)*TAN(3.1416/180*23.45*SIN((2*3.1416/365*(C283+284)))))/3.1416*180)+1.49)*G283*2.02</f>
        <v>791.087795042558</v>
      </c>
      <c r="Y283" s="424" t="n">
        <f aca="false">H283</f>
        <v>5</v>
      </c>
      <c r="Z283" s="424" t="n">
        <f aca="false">I283</f>
        <v>1</v>
      </c>
    </row>
    <row r="284" customFormat="false" ht="15.75" hidden="false" customHeight="false" outlineLevel="0" collapsed="false">
      <c r="B284" s="0" t="n">
        <v>1950</v>
      </c>
      <c r="C284" s="424" t="n">
        <v>283</v>
      </c>
      <c r="D284" s="0" t="n">
        <v>14.17</v>
      </c>
      <c r="E284" s="0" t="n">
        <v>21.06</v>
      </c>
      <c r="F284" s="0" t="n">
        <v>91.18421</v>
      </c>
      <c r="G284" s="0" t="n">
        <v>91</v>
      </c>
      <c r="H284" s="0" t="n">
        <v>0</v>
      </c>
      <c r="I284" s="0" t="n">
        <v>1</v>
      </c>
      <c r="M284" s="0" t="n">
        <f aca="false">F284/0.263*1000/1013.25/100*EXP(17.67*(D284+E284)/2/((D284+E284)/2+273.16-29.65))</f>
        <v>11.2698914198092</v>
      </c>
      <c r="R284" s="424" t="n">
        <f aca="false">B284</f>
        <v>1950</v>
      </c>
      <c r="S284" s="424" t="n">
        <f aca="false">C284</f>
        <v>283</v>
      </c>
      <c r="T284" s="424" t="n">
        <f aca="false">D284</f>
        <v>14.17</v>
      </c>
      <c r="U284" s="424" t="n">
        <f aca="false">E284</f>
        <v>21.06</v>
      </c>
      <c r="V284" s="0" t="n">
        <f aca="false">MIN(0.263*M284/1000*1013.25*100/EXP(17.67*E284/(E284+273.16-29.65)), 100)</f>
        <v>73.5760372363402</v>
      </c>
      <c r="W284" s="0" t="n">
        <f aca="false">MIN(0.263*M284/1000*1013.25*100/EXP(17.67*D284/(D284+273.16-29.65)), 100)</f>
        <v>100</v>
      </c>
      <c r="X284" s="0" t="n">
        <f aca="false">(198.58*(1/(2/15*ACOS(-TAN(3.1416/180*$L$1)*TAN(3.1416/180*23.45*SIN((2*3.1416/365*(C284+284)))))/3.1416*180))^2+5.0551/(2/15*ACOS(-TAN(3.1416/180*$L$1)*TAN(3.1416/180*23.45*SIN((2*3.1416/365*(C284+284)))))/3.1416*180)+1.49)*G284*2.02</f>
        <v>663.814766136367</v>
      </c>
      <c r="Y284" s="424" t="n">
        <f aca="false">H284</f>
        <v>0</v>
      </c>
      <c r="Z284" s="424" t="n">
        <f aca="false">I284</f>
        <v>1</v>
      </c>
    </row>
    <row r="285" customFormat="false" ht="15.75" hidden="false" customHeight="false" outlineLevel="0" collapsed="false">
      <c r="B285" s="0" t="n">
        <v>1950</v>
      </c>
      <c r="C285" s="424" t="n">
        <v>284</v>
      </c>
      <c r="D285" s="0" t="n">
        <v>11.61</v>
      </c>
      <c r="E285" s="0" t="n">
        <v>20.72</v>
      </c>
      <c r="F285" s="0" t="n">
        <v>89.795</v>
      </c>
      <c r="G285" s="0" t="n">
        <v>152</v>
      </c>
      <c r="H285" s="0" t="n">
        <v>0</v>
      </c>
      <c r="I285" s="0" t="n">
        <v>1</v>
      </c>
      <c r="M285" s="0" t="n">
        <f aca="false">F285/0.263*1000/1013.25/100*EXP(17.67*(D285+E285)/2/((D285+E285)/2+273.16-29.65))</f>
        <v>10.1226005737322</v>
      </c>
      <c r="R285" s="424" t="n">
        <f aca="false">B285</f>
        <v>1950</v>
      </c>
      <c r="S285" s="424" t="n">
        <f aca="false">C285</f>
        <v>284</v>
      </c>
      <c r="T285" s="424" t="n">
        <f aca="false">D285</f>
        <v>11.61</v>
      </c>
      <c r="U285" s="424" t="n">
        <f aca="false">E285</f>
        <v>20.72</v>
      </c>
      <c r="V285" s="0" t="n">
        <f aca="false">MIN(0.263*M285/1000*1013.25*100/EXP(17.67*E285/(E285+273.16-29.65)), 100)</f>
        <v>67.4834529637487</v>
      </c>
      <c r="W285" s="0" t="n">
        <f aca="false">MIN(0.263*M285/1000*1013.25*100/EXP(17.67*D285/(D285+273.16-29.65)), 100)</f>
        <v>100</v>
      </c>
      <c r="X285" s="0" t="n">
        <f aca="false">(198.58*(1/(2/15*ACOS(-TAN(3.1416/180*$L$1)*TAN(3.1416/180*23.45*SIN((2*3.1416/365*(C285+284)))))/3.1416*180))^2+5.0551/(2/15*ACOS(-TAN(3.1416/180*$L$1)*TAN(3.1416/180*23.45*SIN((2*3.1416/365*(C285+284)))))/3.1416*180)+1.49)*G285*2.02</f>
        <v>1114.47164191217</v>
      </c>
      <c r="Y285" s="424" t="n">
        <f aca="false">H285</f>
        <v>0</v>
      </c>
      <c r="Z285" s="424" t="n">
        <f aca="false">I285</f>
        <v>1</v>
      </c>
    </row>
    <row r="286" customFormat="false" ht="15.75" hidden="false" customHeight="false" outlineLevel="0" collapsed="false">
      <c r="B286" s="0" t="n">
        <v>1950</v>
      </c>
      <c r="C286" s="424" t="n">
        <v>285</v>
      </c>
      <c r="D286" s="0" t="n">
        <v>6.1099997</v>
      </c>
      <c r="E286" s="0" t="n">
        <v>21.46</v>
      </c>
      <c r="F286" s="0" t="n">
        <v>84.48</v>
      </c>
      <c r="G286" s="0" t="n">
        <v>169</v>
      </c>
      <c r="H286" s="0" t="n">
        <v>0</v>
      </c>
      <c r="I286" s="0" t="n">
        <v>1</v>
      </c>
      <c r="M286" s="0" t="n">
        <f aca="false">F286/0.263*1000/1013.25/100*EXP(17.67*(D286+E286)/2/((D286+E286)/2+273.16-29.65))</f>
        <v>8.17010698941646</v>
      </c>
      <c r="R286" s="424" t="n">
        <f aca="false">B286</f>
        <v>1950</v>
      </c>
      <c r="S286" s="424" t="n">
        <f aca="false">C286</f>
        <v>285</v>
      </c>
      <c r="T286" s="424" t="n">
        <f aca="false">D286</f>
        <v>6.1099997</v>
      </c>
      <c r="U286" s="424" t="n">
        <f aca="false">E286</f>
        <v>21.46</v>
      </c>
      <c r="V286" s="0" t="n">
        <f aca="false">MIN(0.263*M286/1000*1013.25*100/EXP(17.67*E286/(E286+273.16-29.65)), 100)</f>
        <v>52.0453427690307</v>
      </c>
      <c r="W286" s="0" t="n">
        <f aca="false">MIN(0.263*M286/1000*1013.25*100/EXP(17.67*D286/(D286+273.16-29.65)), 100)</f>
        <v>100</v>
      </c>
      <c r="X286" s="0" t="n">
        <f aca="false">(198.58*(1/(2/15*ACOS(-TAN(3.1416/180*$L$1)*TAN(3.1416/180*23.45*SIN((2*3.1416/365*(C286+284)))))/3.1416*180))^2+5.0551/(2/15*ACOS(-TAN(3.1416/180*$L$1)*TAN(3.1416/180*23.45*SIN((2*3.1416/365*(C286+284)))))/3.1416*180)+1.49)*G286*2.02</f>
        <v>1245.50144960161</v>
      </c>
      <c r="Y286" s="424" t="n">
        <f aca="false">H286</f>
        <v>0</v>
      </c>
      <c r="Z286" s="424" t="n">
        <f aca="false">I286</f>
        <v>1</v>
      </c>
    </row>
    <row r="287" customFormat="false" ht="15.75" hidden="false" customHeight="false" outlineLevel="0" collapsed="false">
      <c r="B287" s="0" t="n">
        <v>1950</v>
      </c>
      <c r="C287" s="424" t="n">
        <v>286</v>
      </c>
      <c r="D287" s="0" t="n">
        <v>4.7</v>
      </c>
      <c r="E287" s="0" t="n">
        <v>23.49</v>
      </c>
      <c r="F287" s="0" t="n">
        <v>81.995</v>
      </c>
      <c r="G287" s="0" t="n">
        <v>177</v>
      </c>
      <c r="H287" s="0" t="n">
        <v>0</v>
      </c>
      <c r="I287" s="0" t="n">
        <v>1</v>
      </c>
      <c r="M287" s="0" t="n">
        <f aca="false">F287/0.263*1000/1013.25/100*EXP(17.67*(D287+E287)/2/((D287+E287)/2+273.16-29.65))</f>
        <v>8.09098244799549</v>
      </c>
      <c r="R287" s="424" t="n">
        <f aca="false">B287</f>
        <v>1950</v>
      </c>
      <c r="S287" s="424" t="n">
        <f aca="false">C287</f>
        <v>286</v>
      </c>
      <c r="T287" s="424" t="n">
        <f aca="false">D287</f>
        <v>4.7</v>
      </c>
      <c r="U287" s="424" t="n">
        <f aca="false">E287</f>
        <v>23.49</v>
      </c>
      <c r="V287" s="0" t="n">
        <f aca="false">MIN(0.263*M287/1000*1013.25*100/EXP(17.67*E287/(E287+273.16-29.65)), 100)</f>
        <v>45.5549444545817</v>
      </c>
      <c r="W287" s="0" t="n">
        <f aca="false">MIN(0.263*M287/1000*1013.25*100/EXP(17.67*D287/(D287+273.16-29.65)), 100)</f>
        <v>100</v>
      </c>
      <c r="X287" s="0" t="n">
        <f aca="false">(198.58*(1/(2/15*ACOS(-TAN(3.1416/180*$L$1)*TAN(3.1416/180*23.45*SIN((2*3.1416/365*(C287+284)))))/3.1416*180))^2+5.0551/(2/15*ACOS(-TAN(3.1416/180*$L$1)*TAN(3.1416/180*23.45*SIN((2*3.1416/365*(C287+284)))))/3.1416*180)+1.49)*G287*2.02</f>
        <v>1311.21721942805</v>
      </c>
      <c r="Y287" s="424" t="n">
        <f aca="false">H287</f>
        <v>0</v>
      </c>
      <c r="Z287" s="424" t="n">
        <f aca="false">I287</f>
        <v>1</v>
      </c>
    </row>
    <row r="288" customFormat="false" ht="15.75" hidden="false" customHeight="false" outlineLevel="0" collapsed="false">
      <c r="B288" s="0" t="n">
        <v>1950</v>
      </c>
      <c r="C288" s="424" t="n">
        <v>287</v>
      </c>
      <c r="D288" s="0" t="n">
        <v>9.23</v>
      </c>
      <c r="E288" s="0" t="n">
        <v>17.96</v>
      </c>
      <c r="F288" s="0" t="n">
        <f aca="false">F287</f>
        <v>81.995</v>
      </c>
      <c r="G288" s="0" t="n">
        <v>89</v>
      </c>
      <c r="H288" s="0" t="n">
        <v>10.7</v>
      </c>
      <c r="I288" s="0" t="n">
        <v>1</v>
      </c>
      <c r="M288" s="0" t="n">
        <f aca="false">F288/0.263*1000/1013.25/100*EXP(17.67*(D288+E288)/2/((D288+E288)/2+273.16-29.65))</f>
        <v>7.83238438751171</v>
      </c>
      <c r="R288" s="424" t="n">
        <f aca="false">B288</f>
        <v>1950</v>
      </c>
      <c r="S288" s="424" t="n">
        <f aca="false">C288</f>
        <v>287</v>
      </c>
      <c r="T288" s="424" t="n">
        <f aca="false">D288</f>
        <v>9.23</v>
      </c>
      <c r="U288" s="424" t="n">
        <f aca="false">E288</f>
        <v>17.96</v>
      </c>
      <c r="V288" s="0" t="n">
        <f aca="false">MIN(0.263*M288/1000*1013.25*100/EXP(17.67*E288/(E288+273.16-29.65)), 100)</f>
        <v>62.0085267505606</v>
      </c>
      <c r="W288" s="0" t="n">
        <f aca="false">MIN(0.263*M288/1000*1013.25*100/EXP(17.67*D288/(D288+273.16-29.65)), 100)</f>
        <v>100</v>
      </c>
      <c r="X288" s="0" t="n">
        <f aca="false">(198.58*(1/(2/15*ACOS(-TAN(3.1416/180*$L$1)*TAN(3.1416/180*23.45*SIN((2*3.1416/365*(C288+284)))))/3.1416*180))^2+5.0551/(2/15*ACOS(-TAN(3.1416/180*$L$1)*TAN(3.1416/180*23.45*SIN((2*3.1416/365*(C288+284)))))/3.1416*180)+1.49)*G288*2.02</f>
        <v>662.745080198357</v>
      </c>
      <c r="Y288" s="424" t="n">
        <f aca="false">H288</f>
        <v>10.7</v>
      </c>
      <c r="Z288" s="424" t="n">
        <f aca="false">I288</f>
        <v>1</v>
      </c>
    </row>
    <row r="289" customFormat="false" ht="15.75" hidden="false" customHeight="false" outlineLevel="0" collapsed="false">
      <c r="B289" s="0" t="n">
        <v>1950</v>
      </c>
      <c r="C289" s="424" t="n">
        <v>288</v>
      </c>
      <c r="D289" s="0" t="n">
        <v>11.01</v>
      </c>
      <c r="E289" s="0" t="n">
        <v>13.78</v>
      </c>
      <c r="F289" s="0" t="n">
        <f aca="false">F288</f>
        <v>81.995</v>
      </c>
      <c r="G289" s="0" t="n">
        <v>96</v>
      </c>
      <c r="H289" s="0" t="n">
        <v>9.7</v>
      </c>
      <c r="I289" s="0" t="n">
        <v>1</v>
      </c>
      <c r="M289" s="0" t="n">
        <f aca="false">F289/0.263*1000/1013.25/100*EXP(17.67*(D289+E289)/2/((D289+E289)/2+273.16-29.65))</f>
        <v>7.24121823937799</v>
      </c>
      <c r="R289" s="424" t="n">
        <f aca="false">B289</f>
        <v>1950</v>
      </c>
      <c r="S289" s="424" t="n">
        <f aca="false">C289</f>
        <v>288</v>
      </c>
      <c r="T289" s="424" t="n">
        <f aca="false">D289</f>
        <v>11.01</v>
      </c>
      <c r="U289" s="424" t="n">
        <f aca="false">E289</f>
        <v>13.78</v>
      </c>
      <c r="V289" s="0" t="n">
        <f aca="false">MIN(0.263*M289/1000*1013.25*100/EXP(17.67*E289/(E289+273.16-29.65)), 100)</f>
        <v>74.8995028287961</v>
      </c>
      <c r="W289" s="0" t="n">
        <f aca="false">MIN(0.263*M289/1000*1013.25*100/EXP(17.67*D289/(D289+273.16-29.65)), 100)</f>
        <v>89.851143436874</v>
      </c>
      <c r="X289" s="0" t="n">
        <f aca="false">(198.58*(1/(2/15*ACOS(-TAN(3.1416/180*$L$1)*TAN(3.1416/180*23.45*SIN((2*3.1416/365*(C289+284)))))/3.1416*180))^2+5.0551/(2/15*ACOS(-TAN(3.1416/180*$L$1)*TAN(3.1416/180*23.45*SIN((2*3.1416/365*(C289+284)))))/3.1416*180)+1.49)*G289*2.02</f>
        <v>718.610664020453</v>
      </c>
      <c r="Y289" s="424" t="n">
        <f aca="false">H289</f>
        <v>9.7</v>
      </c>
      <c r="Z289" s="424" t="n">
        <f aca="false">I289</f>
        <v>1</v>
      </c>
    </row>
    <row r="290" customFormat="false" ht="15.75" hidden="false" customHeight="false" outlineLevel="0" collapsed="false">
      <c r="B290" s="0" t="n">
        <v>1950</v>
      </c>
      <c r="C290" s="424" t="n">
        <v>289</v>
      </c>
      <c r="D290" s="0" t="n">
        <v>11.36</v>
      </c>
      <c r="E290" s="0" t="n">
        <v>15.36</v>
      </c>
      <c r="F290" s="0" t="n">
        <f aca="false">F289</f>
        <v>81.995</v>
      </c>
      <c r="G290" s="0" t="n">
        <v>103</v>
      </c>
      <c r="H290" s="0" t="n">
        <v>0</v>
      </c>
      <c r="I290" s="0" t="n">
        <v>1</v>
      </c>
      <c r="M290" s="0" t="n">
        <f aca="false">F290/0.263*1000/1013.25/100*EXP(17.67*(D290+E290)/2/((D290+E290)/2+273.16-29.65))</f>
        <v>7.71337784286588</v>
      </c>
      <c r="R290" s="424" t="n">
        <f aca="false">B290</f>
        <v>1950</v>
      </c>
      <c r="S290" s="424" t="n">
        <f aca="false">C290</f>
        <v>289</v>
      </c>
      <c r="T290" s="424" t="n">
        <f aca="false">D290</f>
        <v>11.36</v>
      </c>
      <c r="U290" s="424" t="n">
        <f aca="false">E290</f>
        <v>15.36</v>
      </c>
      <c r="V290" s="0" t="n">
        <f aca="false">MIN(0.263*M290/1000*1013.25*100/EXP(17.67*E290/(E290+273.16-29.65)), 100)</f>
        <v>72.0414891422709</v>
      </c>
      <c r="W290" s="0" t="n">
        <f aca="false">MIN(0.263*M290/1000*1013.25*100/EXP(17.67*D290/(D290+273.16-29.65)), 100)</f>
        <v>93.5134653200032</v>
      </c>
      <c r="X290" s="0" t="n">
        <f aca="false">(198.58*(1/(2/15*ACOS(-TAN(3.1416/180*$L$1)*TAN(3.1416/180*23.45*SIN((2*3.1416/365*(C290+284)))))/3.1416*180))^2+5.0551/(2/15*ACOS(-TAN(3.1416/180*$L$1)*TAN(3.1416/180*23.45*SIN((2*3.1416/365*(C290+284)))))/3.1416*180)+1.49)*G290*2.02</f>
        <v>775.060911666247</v>
      </c>
      <c r="Y290" s="424" t="n">
        <f aca="false">H290</f>
        <v>0</v>
      </c>
      <c r="Z290" s="424" t="n">
        <f aca="false">I290</f>
        <v>1</v>
      </c>
    </row>
    <row r="291" customFormat="false" ht="15.75" hidden="false" customHeight="false" outlineLevel="0" collapsed="false">
      <c r="B291" s="0" t="n">
        <v>1950</v>
      </c>
      <c r="C291" s="424" t="n">
        <v>290</v>
      </c>
      <c r="D291" s="0" t="n">
        <v>11.94</v>
      </c>
      <c r="E291" s="0" t="n">
        <v>16.88</v>
      </c>
      <c r="F291" s="0" t="n">
        <f aca="false">F290</f>
        <v>81.995</v>
      </c>
      <c r="G291" s="0" t="n">
        <v>106</v>
      </c>
      <c r="H291" s="0" t="n">
        <v>0</v>
      </c>
      <c r="I291" s="0" t="n">
        <v>1</v>
      </c>
      <c r="M291" s="0" t="n">
        <f aca="false">F291/0.263*1000/1013.25/100*EXP(17.67*(D291+E291)/2/((D291+E291)/2+273.16-29.65))</f>
        <v>8.25773140725162</v>
      </c>
      <c r="R291" s="424" t="n">
        <f aca="false">B291</f>
        <v>1950</v>
      </c>
      <c r="S291" s="424" t="n">
        <f aca="false">C291</f>
        <v>290</v>
      </c>
      <c r="T291" s="424" t="n">
        <f aca="false">D291</f>
        <v>11.94</v>
      </c>
      <c r="U291" s="424" t="n">
        <f aca="false">E291</f>
        <v>16.88</v>
      </c>
      <c r="V291" s="0" t="n">
        <f aca="false">MIN(0.263*M291/1000*1013.25*100/EXP(17.67*E291/(E291+273.16-29.65)), 100)</f>
        <v>69.993982012074</v>
      </c>
      <c r="W291" s="0" t="n">
        <f aca="false">MIN(0.263*M291/1000*1013.25*100/EXP(17.67*D291/(D291+273.16-29.65)), 100)</f>
        <v>96.3480887905038</v>
      </c>
      <c r="X291" s="0" t="n">
        <f aca="false">(198.58*(1/(2/15*ACOS(-TAN(3.1416/180*$L$1)*TAN(3.1416/180*23.45*SIN((2*3.1416/365*(C291+284)))))/3.1416*180))^2+5.0551/(2/15*ACOS(-TAN(3.1416/180*$L$1)*TAN(3.1416/180*23.45*SIN((2*3.1416/365*(C291+284)))))/3.1416*180)+1.49)*G291*2.02</f>
        <v>801.844899284018</v>
      </c>
      <c r="Y291" s="424" t="n">
        <f aca="false">H291</f>
        <v>0</v>
      </c>
      <c r="Z291" s="424" t="n">
        <f aca="false">I291</f>
        <v>1</v>
      </c>
    </row>
    <row r="292" customFormat="false" ht="15.75" hidden="false" customHeight="false" outlineLevel="0" collapsed="false">
      <c r="B292" s="0" t="n">
        <v>1950</v>
      </c>
      <c r="C292" s="424" t="n">
        <v>291</v>
      </c>
      <c r="D292" s="0" t="n">
        <v>7.46</v>
      </c>
      <c r="E292" s="0" t="n">
        <v>20.66</v>
      </c>
      <c r="F292" s="0" t="n">
        <v>84.87</v>
      </c>
      <c r="G292" s="0" t="n">
        <v>111</v>
      </c>
      <c r="H292" s="0" t="n">
        <v>0</v>
      </c>
      <c r="I292" s="0" t="n">
        <v>1</v>
      </c>
      <c r="M292" s="0" t="n">
        <f aca="false">F292/0.263*1000/1013.25/100*EXP(17.67*(D292+E292)/2/((D292+E292)/2+273.16-29.65))</f>
        <v>8.35569088698577</v>
      </c>
      <c r="R292" s="424" t="n">
        <f aca="false">B292</f>
        <v>1950</v>
      </c>
      <c r="S292" s="424" t="n">
        <f aca="false">C292</f>
        <v>291</v>
      </c>
      <c r="T292" s="424" t="n">
        <f aca="false">D292</f>
        <v>7.46</v>
      </c>
      <c r="U292" s="424" t="n">
        <f aca="false">E292</f>
        <v>20.66</v>
      </c>
      <c r="V292" s="0" t="n">
        <f aca="false">MIN(0.263*M292/1000*1013.25*100/EXP(17.67*E292/(E292+273.16-29.65)), 100)</f>
        <v>55.9105608243346</v>
      </c>
      <c r="W292" s="0" t="n">
        <f aca="false">MIN(0.263*M292/1000*1013.25*100/EXP(17.67*D292/(D292+273.16-29.65)), 100)</f>
        <v>100</v>
      </c>
      <c r="X292" s="0" t="n">
        <f aca="false">(198.58*(1/(2/15*ACOS(-TAN(3.1416/180*$L$1)*TAN(3.1416/180*23.45*SIN((2*3.1416/365*(C292+284)))))/3.1416*180))^2+5.0551/(2/15*ACOS(-TAN(3.1416/180*$L$1)*TAN(3.1416/180*23.45*SIN((2*3.1416/365*(C292+284)))))/3.1416*180)+1.49)*G292*2.02</f>
        <v>844.116714228691</v>
      </c>
      <c r="Y292" s="424" t="n">
        <f aca="false">H292</f>
        <v>0</v>
      </c>
      <c r="Z292" s="424" t="n">
        <f aca="false">I292</f>
        <v>1</v>
      </c>
    </row>
    <row r="293" customFormat="false" ht="15.75" hidden="false" customHeight="false" outlineLevel="0" collapsed="false">
      <c r="B293" s="0" t="n">
        <v>1950</v>
      </c>
      <c r="C293" s="424" t="n">
        <v>292</v>
      </c>
      <c r="D293" s="0" t="n">
        <v>9.03</v>
      </c>
      <c r="E293" s="0" t="n">
        <v>21.699999</v>
      </c>
      <c r="F293" s="0" t="n">
        <v>88.005005</v>
      </c>
      <c r="G293" s="0" t="n">
        <v>90</v>
      </c>
      <c r="H293" s="0" t="n">
        <v>0</v>
      </c>
      <c r="I293" s="0" t="n">
        <v>1</v>
      </c>
      <c r="M293" s="0" t="n">
        <f aca="false">F293/0.263*1000/1013.25/100*EXP(17.67*(D293+E293)/2/((D293+E293)/2+273.16-29.65))</f>
        <v>9.42559350331174</v>
      </c>
      <c r="R293" s="424" t="n">
        <f aca="false">B293</f>
        <v>1950</v>
      </c>
      <c r="S293" s="424" t="n">
        <f aca="false">C293</f>
        <v>292</v>
      </c>
      <c r="T293" s="424" t="n">
        <f aca="false">D293</f>
        <v>9.03</v>
      </c>
      <c r="U293" s="424" t="n">
        <f aca="false">E293</f>
        <v>21.699999</v>
      </c>
      <c r="V293" s="0" t="n">
        <f aca="false">MIN(0.263*M293/1000*1013.25*100/EXP(17.67*E293/(E293+273.16-29.65)), 100)</f>
        <v>59.1671678097737</v>
      </c>
      <c r="W293" s="0" t="n">
        <f aca="false">MIN(0.263*M293/1000*1013.25*100/EXP(17.67*D293/(D293+273.16-29.65)), 100)</f>
        <v>100</v>
      </c>
      <c r="X293" s="0" t="n">
        <f aca="false">(198.58*(1/(2/15*ACOS(-TAN(3.1416/180*$L$1)*TAN(3.1416/180*23.45*SIN((2*3.1416/365*(C293+284)))))/3.1416*180))^2+5.0551/(2/15*ACOS(-TAN(3.1416/180*$L$1)*TAN(3.1416/180*23.45*SIN((2*3.1416/365*(C293+284)))))/3.1416*180)+1.49)*G293*2.02</f>
        <v>688.05877878643</v>
      </c>
      <c r="Y293" s="424" t="n">
        <f aca="false">H293</f>
        <v>0</v>
      </c>
      <c r="Z293" s="424" t="n">
        <f aca="false">I293</f>
        <v>1</v>
      </c>
    </row>
    <row r="294" customFormat="false" ht="15.75" hidden="false" customHeight="false" outlineLevel="0" collapsed="false">
      <c r="B294" s="0" t="n">
        <v>1950</v>
      </c>
      <c r="C294" s="424" t="n">
        <v>293</v>
      </c>
      <c r="D294" s="0" t="n">
        <v>4.9</v>
      </c>
      <c r="E294" s="0" t="n">
        <v>20.81</v>
      </c>
      <c r="F294" s="0" t="n">
        <v>91.66</v>
      </c>
      <c r="G294" s="0" t="n">
        <v>107</v>
      </c>
      <c r="H294" s="0" t="n">
        <v>0</v>
      </c>
      <c r="I294" s="0" t="n">
        <v>1</v>
      </c>
      <c r="M294" s="0" t="n">
        <f aca="false">F294/0.263*1000/1013.25/100*EXP(17.67*(D294+E294)/2/((D294+E294)/2+273.16-29.65))</f>
        <v>8.34270207074524</v>
      </c>
      <c r="R294" s="424" t="n">
        <f aca="false">B294</f>
        <v>1950</v>
      </c>
      <c r="S294" s="424" t="n">
        <f aca="false">C294</f>
        <v>293</v>
      </c>
      <c r="T294" s="424" t="n">
        <f aca="false">D294</f>
        <v>4.9</v>
      </c>
      <c r="U294" s="424" t="n">
        <f aca="false">E294</f>
        <v>20.81</v>
      </c>
      <c r="V294" s="0" t="n">
        <f aca="false">MIN(0.263*M294/1000*1013.25*100/EXP(17.67*E294/(E294+273.16-29.65)), 100)</f>
        <v>55.3100264929914</v>
      </c>
      <c r="W294" s="0" t="n">
        <f aca="false">MIN(0.263*M294/1000*1013.25*100/EXP(17.67*D294/(D294+273.16-29.65)), 100)</f>
        <v>100</v>
      </c>
      <c r="X294" s="0" t="n">
        <f aca="false">(198.58*(1/(2/15*ACOS(-TAN(3.1416/180*$L$1)*TAN(3.1416/180*23.45*SIN((2*3.1416/365*(C294+284)))))/3.1416*180))^2+5.0551/(2/15*ACOS(-TAN(3.1416/180*$L$1)*TAN(3.1416/180*23.45*SIN((2*3.1416/365*(C294+284)))))/3.1416*180)+1.49)*G294*2.02</f>
        <v>822.39062599209</v>
      </c>
      <c r="Y294" s="424" t="n">
        <f aca="false">H294</f>
        <v>0</v>
      </c>
      <c r="Z294" s="424" t="n">
        <f aca="false">I294</f>
        <v>1</v>
      </c>
    </row>
    <row r="295" customFormat="false" ht="15.75" hidden="false" customHeight="false" outlineLevel="0" collapsed="false">
      <c r="B295" s="0" t="n">
        <v>1950</v>
      </c>
      <c r="C295" s="424" t="n">
        <v>294</v>
      </c>
      <c r="D295" s="0" t="n">
        <v>8.33</v>
      </c>
      <c r="E295" s="0" t="n">
        <v>22.119999</v>
      </c>
      <c r="F295" s="0" t="n">
        <v>91.15</v>
      </c>
      <c r="G295" s="0" t="n">
        <v>58</v>
      </c>
      <c r="H295" s="0" t="n">
        <v>0</v>
      </c>
      <c r="I295" s="0" t="n">
        <v>1</v>
      </c>
      <c r="M295" s="0" t="n">
        <f aca="false">F295/0.263*1000/1013.25/100*EXP(17.67*(D295+E295)/2/((D295+E295)/2+273.16-29.65))</f>
        <v>9.6750253925907</v>
      </c>
      <c r="R295" s="424" t="n">
        <f aca="false">B295</f>
        <v>1950</v>
      </c>
      <c r="S295" s="424" t="n">
        <f aca="false">C295</f>
        <v>294</v>
      </c>
      <c r="T295" s="424" t="n">
        <f aca="false">D295</f>
        <v>8.33</v>
      </c>
      <c r="U295" s="424" t="n">
        <f aca="false">E295</f>
        <v>22.119999</v>
      </c>
      <c r="V295" s="0" t="n">
        <f aca="false">MIN(0.263*M295/1000*1013.25*100/EXP(17.67*E295/(E295+273.16-29.65)), 100)</f>
        <v>59.1947645263077</v>
      </c>
      <c r="W295" s="0" t="n">
        <f aca="false">MIN(0.263*M295/1000*1013.25*100/EXP(17.67*D295/(D295+273.16-29.65)), 100)</f>
        <v>100</v>
      </c>
      <c r="X295" s="0" t="n">
        <f aca="false">(198.58*(1/(2/15*ACOS(-TAN(3.1416/180*$L$1)*TAN(3.1416/180*23.45*SIN((2*3.1416/365*(C295+284)))))/3.1416*180))^2+5.0551/(2/15*ACOS(-TAN(3.1416/180*$L$1)*TAN(3.1416/180*23.45*SIN((2*3.1416/365*(C295+284)))))/3.1416*180)+1.49)*G295*2.02</f>
        <v>448.168000014867</v>
      </c>
      <c r="Y295" s="424" t="n">
        <f aca="false">H295</f>
        <v>0</v>
      </c>
      <c r="Z295" s="424" t="n">
        <f aca="false">I295</f>
        <v>1</v>
      </c>
    </row>
    <row r="296" customFormat="false" ht="15.75" hidden="false" customHeight="false" outlineLevel="0" collapsed="false">
      <c r="B296" s="0" t="n">
        <v>1950</v>
      </c>
      <c r="C296" s="424" t="n">
        <v>295</v>
      </c>
      <c r="D296" s="0" t="n">
        <v>12.46</v>
      </c>
      <c r="E296" s="0" t="n">
        <v>19.09</v>
      </c>
      <c r="F296" s="0" t="n">
        <v>86.49</v>
      </c>
      <c r="G296" s="0" t="n">
        <v>65</v>
      </c>
      <c r="H296" s="0" t="n">
        <v>0</v>
      </c>
      <c r="I296" s="0" t="n">
        <v>1</v>
      </c>
      <c r="M296" s="0" t="n">
        <f aca="false">F296/0.263*1000/1013.25/100*EXP(17.67*(D296+E296)/2/((D296+E296)/2+273.16-29.65))</f>
        <v>9.51002523800717</v>
      </c>
      <c r="R296" s="424" t="n">
        <f aca="false">B296</f>
        <v>1950</v>
      </c>
      <c r="S296" s="424" t="n">
        <f aca="false">C296</f>
        <v>295</v>
      </c>
      <c r="T296" s="424" t="n">
        <f aca="false">D296</f>
        <v>12.46</v>
      </c>
      <c r="U296" s="424" t="n">
        <f aca="false">E296</f>
        <v>19.09</v>
      </c>
      <c r="V296" s="0" t="n">
        <f aca="false">MIN(0.263*M296/1000*1013.25*100/EXP(17.67*E296/(E296+273.16-29.65)), 100)</f>
        <v>70.1431455560343</v>
      </c>
      <c r="W296" s="0" t="n">
        <f aca="false">MIN(0.263*M296/1000*1013.25*100/EXP(17.67*D296/(D296+273.16-29.65)), 100)</f>
        <v>100</v>
      </c>
      <c r="X296" s="0" t="n">
        <f aca="false">(198.58*(1/(2/15*ACOS(-TAN(3.1416/180*$L$1)*TAN(3.1416/180*23.45*SIN((2*3.1416/365*(C296+284)))))/3.1416*180))^2+5.0551/(2/15*ACOS(-TAN(3.1416/180*$L$1)*TAN(3.1416/180*23.45*SIN((2*3.1416/365*(C296+284)))))/3.1416*180)+1.49)*G296*2.02</f>
        <v>504.953142719199</v>
      </c>
      <c r="Y296" s="424" t="n">
        <f aca="false">H296</f>
        <v>0</v>
      </c>
      <c r="Z296" s="424" t="n">
        <f aca="false">I296</f>
        <v>1</v>
      </c>
    </row>
    <row r="297" customFormat="false" ht="15.75" hidden="false" customHeight="false" outlineLevel="0" collapsed="false">
      <c r="B297" s="0" t="n">
        <v>1950</v>
      </c>
      <c r="C297" s="424" t="n">
        <v>296</v>
      </c>
      <c r="D297" s="0" t="n">
        <v>12.03</v>
      </c>
      <c r="E297" s="0" t="n">
        <v>18.69</v>
      </c>
      <c r="F297" s="0" t="n">
        <v>89.880005</v>
      </c>
      <c r="G297" s="0" t="n">
        <v>43</v>
      </c>
      <c r="H297" s="0" t="n">
        <v>1.7</v>
      </c>
      <c r="I297" s="0" t="n">
        <v>1</v>
      </c>
      <c r="M297" s="0" t="n">
        <f aca="false">F297/0.263*1000/1013.25/100*EXP(17.67*(D297+E297)/2/((D297+E297)/2+273.16-29.65))</f>
        <v>9.62332188490101</v>
      </c>
      <c r="R297" s="424" t="n">
        <f aca="false">B297</f>
        <v>1950</v>
      </c>
      <c r="S297" s="424" t="n">
        <f aca="false">C297</f>
        <v>296</v>
      </c>
      <c r="T297" s="424" t="n">
        <f aca="false">D297</f>
        <v>12.03</v>
      </c>
      <c r="U297" s="424" t="n">
        <f aca="false">E297</f>
        <v>18.69</v>
      </c>
      <c r="V297" s="0" t="n">
        <f aca="false">MIN(0.263*M297/1000*1013.25*100/EXP(17.67*E297/(E297+273.16-29.65)), 100)</f>
        <v>72.7753983110335</v>
      </c>
      <c r="W297" s="0" t="n">
        <f aca="false">MIN(0.263*M297/1000*1013.25*100/EXP(17.67*D297/(D297+273.16-29.65)), 100)</f>
        <v>100</v>
      </c>
      <c r="X297" s="0" t="n">
        <f aca="false">(198.58*(1/(2/15*ACOS(-TAN(3.1416/180*$L$1)*TAN(3.1416/180*23.45*SIN((2*3.1416/365*(C297+284)))))/3.1416*180))^2+5.0551/(2/15*ACOS(-TAN(3.1416/180*$L$1)*TAN(3.1416/180*23.45*SIN((2*3.1416/365*(C297+284)))))/3.1416*180)+1.49)*G297*2.02</f>
        <v>335.84328465909</v>
      </c>
      <c r="Y297" s="424" t="n">
        <f aca="false">H297</f>
        <v>1.7</v>
      </c>
      <c r="Z297" s="424" t="n">
        <f aca="false">I297</f>
        <v>1</v>
      </c>
    </row>
    <row r="298" customFormat="false" ht="15.75" hidden="false" customHeight="false" outlineLevel="0" collapsed="false">
      <c r="B298" s="0" t="n">
        <v>1950</v>
      </c>
      <c r="C298" s="424" t="n">
        <v>297</v>
      </c>
      <c r="D298" s="0" t="n">
        <v>10.51</v>
      </c>
      <c r="E298" s="0" t="n">
        <v>15.219999</v>
      </c>
      <c r="F298" s="0" t="n">
        <v>93.925</v>
      </c>
      <c r="G298" s="0" t="n">
        <v>73</v>
      </c>
      <c r="H298" s="0" t="n">
        <v>4.7000003</v>
      </c>
      <c r="I298" s="0" t="n">
        <v>1</v>
      </c>
      <c r="M298" s="0" t="n">
        <f aca="false">F298/0.263*1000/1013.25/100*EXP(17.67*(D298+E298)/2/((D298+E298)/2+273.16-29.65))</f>
        <v>8.55445583570603</v>
      </c>
      <c r="R298" s="424" t="n">
        <f aca="false">B298</f>
        <v>1950</v>
      </c>
      <c r="S298" s="424" t="n">
        <f aca="false">C298</f>
        <v>297</v>
      </c>
      <c r="T298" s="424" t="n">
        <f aca="false">D298</f>
        <v>10.51</v>
      </c>
      <c r="U298" s="424" t="n">
        <f aca="false">E298</f>
        <v>15.219999</v>
      </c>
      <c r="V298" s="0" t="n">
        <f aca="false">MIN(0.263*M298/1000*1013.25*100/EXP(17.67*E298/(E298+273.16-29.65)), 100)</f>
        <v>80.6188383996514</v>
      </c>
      <c r="W298" s="0" t="n">
        <f aca="false">MIN(0.263*M298/1000*1013.25*100/EXP(17.67*D298/(D298+273.16-29.65)), 100)</f>
        <v>100</v>
      </c>
      <c r="X298" s="0" t="n">
        <f aca="false">(198.58*(1/(2/15*ACOS(-TAN(3.1416/180*$L$1)*TAN(3.1416/180*23.45*SIN((2*3.1416/365*(C298+284)))))/3.1416*180))^2+5.0551/(2/15*ACOS(-TAN(3.1416/180*$L$1)*TAN(3.1416/180*23.45*SIN((2*3.1416/365*(C298+284)))))/3.1416*180)+1.49)*G298*2.02</f>
        <v>573.226635895306</v>
      </c>
      <c r="Y298" s="424" t="n">
        <f aca="false">H298</f>
        <v>4.7000003</v>
      </c>
      <c r="Z298" s="424" t="n">
        <f aca="false">I298</f>
        <v>1</v>
      </c>
    </row>
    <row r="299" customFormat="false" ht="15.75" hidden="false" customHeight="false" outlineLevel="0" collapsed="false">
      <c r="B299" s="0" t="n">
        <v>1950</v>
      </c>
      <c r="C299" s="424" t="n">
        <v>298</v>
      </c>
      <c r="D299" s="0" t="n">
        <v>9.44</v>
      </c>
      <c r="E299" s="0" t="n">
        <v>13.07</v>
      </c>
      <c r="F299" s="0" t="n">
        <v>93.575005</v>
      </c>
      <c r="G299" s="0" t="n">
        <v>74</v>
      </c>
      <c r="H299" s="0" t="n">
        <v>3.3</v>
      </c>
      <c r="I299" s="0" t="n">
        <v>1</v>
      </c>
      <c r="M299" s="0" t="n">
        <f aca="false">F299/0.263*1000/1013.25/100*EXP(17.67*(D299+E299)/2/((D299+E299)/2+273.16-29.65))</f>
        <v>7.66493532710083</v>
      </c>
      <c r="R299" s="424" t="n">
        <f aca="false">B299</f>
        <v>1950</v>
      </c>
      <c r="S299" s="424" t="n">
        <f aca="false">C299</f>
        <v>298</v>
      </c>
      <c r="T299" s="424" t="n">
        <f aca="false">D299</f>
        <v>9.44</v>
      </c>
      <c r="U299" s="424" t="n">
        <f aca="false">E299</f>
        <v>13.07</v>
      </c>
      <c r="V299" s="0" t="n">
        <f aca="false">MIN(0.263*M299/1000*1013.25*100/EXP(17.67*E299/(E299+273.16-29.65)), 100)</f>
        <v>83.0373872203164</v>
      </c>
      <c r="W299" s="0" t="n">
        <f aca="false">MIN(0.263*M299/1000*1013.25*100/EXP(17.67*D299/(D299+273.16-29.65)), 100)</f>
        <v>100</v>
      </c>
      <c r="X299" s="0" t="n">
        <f aca="false">(198.58*(1/(2/15*ACOS(-TAN(3.1416/180*$L$1)*TAN(3.1416/180*23.45*SIN((2*3.1416/365*(C299+284)))))/3.1416*180))^2+5.0551/(2/15*ACOS(-TAN(3.1416/180*$L$1)*TAN(3.1416/180*23.45*SIN((2*3.1416/365*(C299+284)))))/3.1416*180)+1.49)*G299*2.02</f>
        <v>584.217346944781</v>
      </c>
      <c r="Y299" s="424" t="n">
        <f aca="false">H299</f>
        <v>3.3</v>
      </c>
      <c r="Z299" s="424" t="n">
        <f aca="false">I299</f>
        <v>1</v>
      </c>
    </row>
    <row r="300" customFormat="false" ht="15.75" hidden="false" customHeight="false" outlineLevel="0" collapsed="false">
      <c r="B300" s="0" t="n">
        <v>1950</v>
      </c>
      <c r="C300" s="424" t="n">
        <v>299</v>
      </c>
      <c r="D300" s="0" t="n">
        <v>0.96999997</v>
      </c>
      <c r="E300" s="0" t="n">
        <v>12.799999</v>
      </c>
      <c r="F300" s="0" t="n">
        <v>87.58</v>
      </c>
      <c r="G300" s="0" t="n">
        <v>98</v>
      </c>
      <c r="H300" s="0" t="n">
        <v>0</v>
      </c>
      <c r="I300" s="0" t="n">
        <v>1</v>
      </c>
      <c r="M300" s="0" t="n">
        <f aca="false">F300/0.263*1000/1013.25/100*EXP(17.67*(D300+E300)/2/((D300+E300)/2+273.16-29.65))</f>
        <v>5.34245259501022</v>
      </c>
      <c r="R300" s="424" t="n">
        <f aca="false">B300</f>
        <v>1950</v>
      </c>
      <c r="S300" s="424" t="n">
        <f aca="false">C300</f>
        <v>299</v>
      </c>
      <c r="T300" s="424" t="n">
        <f aca="false">D300</f>
        <v>0.96999997</v>
      </c>
      <c r="U300" s="424" t="n">
        <f aca="false">E300</f>
        <v>12.799999</v>
      </c>
      <c r="V300" s="0" t="n">
        <f aca="false">MIN(0.263*M300/1000*1013.25*100/EXP(17.67*E300/(E300+273.16-29.65)), 100)</f>
        <v>58.9085001687924</v>
      </c>
      <c r="W300" s="0" t="n">
        <f aca="false">MIN(0.263*M300/1000*1013.25*100/EXP(17.67*D300/(D300+273.16-29.65)), 100)</f>
        <v>100</v>
      </c>
      <c r="X300" s="0" t="n">
        <f aca="false">(198.58*(1/(2/15*ACOS(-TAN(3.1416/180*$L$1)*TAN(3.1416/180*23.45*SIN((2*3.1416/365*(C300+284)))))/3.1416*180))^2+5.0551/(2/15*ACOS(-TAN(3.1416/180*$L$1)*TAN(3.1416/180*23.45*SIN((2*3.1416/365*(C300+284)))))/3.1416*180)+1.49)*G300*2.02</f>
        <v>777.877236183727</v>
      </c>
      <c r="Y300" s="424" t="n">
        <f aca="false">H300</f>
        <v>0</v>
      </c>
      <c r="Z300" s="424" t="n">
        <f aca="false">I300</f>
        <v>1</v>
      </c>
    </row>
    <row r="301" customFormat="false" ht="15.75" hidden="false" customHeight="false" outlineLevel="0" collapsed="false">
      <c r="B301" s="0" t="n">
        <v>1950</v>
      </c>
      <c r="C301" s="424" t="n">
        <v>300</v>
      </c>
      <c r="D301" s="0" t="n">
        <v>3.9099998</v>
      </c>
      <c r="E301" s="0" t="n">
        <v>13.96</v>
      </c>
      <c r="F301" s="0" t="n">
        <v>90.45264</v>
      </c>
      <c r="G301" s="0" t="n">
        <v>77</v>
      </c>
      <c r="H301" s="0" t="n">
        <v>7.3</v>
      </c>
      <c r="I301" s="0" t="n">
        <v>1</v>
      </c>
      <c r="M301" s="0" t="n">
        <f aca="false">F301/0.263*1000/1013.25/100*EXP(17.67*(D301+E301)/2/((D301+E301)/2+273.16-29.65))</f>
        <v>6.34396370666329</v>
      </c>
      <c r="R301" s="424" t="n">
        <f aca="false">B301</f>
        <v>1950</v>
      </c>
      <c r="S301" s="424" t="n">
        <f aca="false">C301</f>
        <v>300</v>
      </c>
      <c r="T301" s="424" t="n">
        <f aca="false">D301</f>
        <v>3.9099998</v>
      </c>
      <c r="U301" s="424" t="n">
        <f aca="false">E301</f>
        <v>13.96</v>
      </c>
      <c r="V301" s="0" t="n">
        <f aca="false">MIN(0.263*M301/1000*1013.25*100/EXP(17.67*E301/(E301+273.16-29.65)), 100)</f>
        <v>64.856030312146</v>
      </c>
      <c r="W301" s="0" t="n">
        <f aca="false">MIN(0.263*M301/1000*1013.25*100/EXP(17.67*D301/(D301+273.16-29.65)), 100)</f>
        <v>100</v>
      </c>
      <c r="X301" s="0" t="n">
        <f aca="false">(198.58*(1/(2/15*ACOS(-TAN(3.1416/180*$L$1)*TAN(3.1416/180*23.45*SIN((2*3.1416/365*(C301+284)))))/3.1416*180))^2+5.0551/(2/15*ACOS(-TAN(3.1416/180*$L$1)*TAN(3.1416/180*23.45*SIN((2*3.1416/365*(C301+284)))))/3.1416*180)+1.49)*G301*2.02</f>
        <v>614.497404703171</v>
      </c>
      <c r="Y301" s="424" t="n">
        <f aca="false">H301</f>
        <v>7.3</v>
      </c>
      <c r="Z301" s="424" t="n">
        <f aca="false">I301</f>
        <v>1</v>
      </c>
    </row>
    <row r="302" customFormat="false" ht="15.75" hidden="false" customHeight="false" outlineLevel="0" collapsed="false">
      <c r="B302" s="0" t="n">
        <v>1950</v>
      </c>
      <c r="C302" s="424" t="n">
        <v>301</v>
      </c>
      <c r="D302" s="0" t="n">
        <v>3.29</v>
      </c>
      <c r="E302" s="0" t="n">
        <v>10.8</v>
      </c>
      <c r="F302" s="0" t="n">
        <v>89.695</v>
      </c>
      <c r="G302" s="0" t="n">
        <v>69</v>
      </c>
      <c r="H302" s="0" t="n">
        <v>0</v>
      </c>
      <c r="I302" s="0" t="n">
        <v>1</v>
      </c>
      <c r="M302" s="0" t="n">
        <f aca="false">F302/0.263*1000/1013.25/100*EXP(17.67*(D302+E302)/2/((D302+E302)/2+273.16-29.65))</f>
        <v>5.53184127327094</v>
      </c>
      <c r="R302" s="424" t="n">
        <f aca="false">B302</f>
        <v>1950</v>
      </c>
      <c r="S302" s="424" t="n">
        <f aca="false">C302</f>
        <v>301</v>
      </c>
      <c r="T302" s="424" t="n">
        <f aca="false">D302</f>
        <v>3.29</v>
      </c>
      <c r="U302" s="424" t="n">
        <f aca="false">E302</f>
        <v>10.8</v>
      </c>
      <c r="V302" s="0" t="n">
        <f aca="false">MIN(0.263*M302/1000*1013.25*100/EXP(17.67*E302/(E302+273.16-29.65)), 100)</f>
        <v>69.6056444889289</v>
      </c>
      <c r="W302" s="0" t="n">
        <f aca="false">MIN(0.263*M302/1000*1013.25*100/EXP(17.67*D302/(D302+273.16-29.65)), 100)</f>
        <v>100</v>
      </c>
      <c r="X302" s="0" t="n">
        <f aca="false">(198.58*(1/(2/15*ACOS(-TAN(3.1416/180*$L$1)*TAN(3.1416/180*23.45*SIN((2*3.1416/365*(C302+284)))))/3.1416*180))^2+5.0551/(2/15*ACOS(-TAN(3.1416/180*$L$1)*TAN(3.1416/180*23.45*SIN((2*3.1416/365*(C302+284)))))/3.1416*180)+1.49)*G302*2.02</f>
        <v>553.63539476123</v>
      </c>
      <c r="Y302" s="424" t="n">
        <f aca="false">H302</f>
        <v>0</v>
      </c>
      <c r="Z302" s="424" t="n">
        <f aca="false">I302</f>
        <v>1</v>
      </c>
    </row>
    <row r="303" customFormat="false" ht="15.75" hidden="false" customHeight="false" outlineLevel="0" collapsed="false">
      <c r="B303" s="0" t="n">
        <v>1950</v>
      </c>
      <c r="C303" s="424" t="n">
        <v>302</v>
      </c>
      <c r="D303" s="0" t="n">
        <v>1.53</v>
      </c>
      <c r="E303" s="0" t="n">
        <v>10.889999</v>
      </c>
      <c r="F303" s="0" t="n">
        <v>85.93</v>
      </c>
      <c r="G303" s="0" t="n">
        <v>73</v>
      </c>
      <c r="H303" s="0" t="n">
        <v>0</v>
      </c>
      <c r="I303" s="0" t="n">
        <v>1</v>
      </c>
      <c r="M303" s="0" t="n">
        <f aca="false">F303/0.263*1000/1013.25/100*EXP(17.67*(D303+E303)/2/((D303+E303)/2+273.16-29.65))</f>
        <v>5.00389193102379</v>
      </c>
      <c r="R303" s="424" t="n">
        <f aca="false">B303</f>
        <v>1950</v>
      </c>
      <c r="S303" s="424" t="n">
        <f aca="false">C303</f>
        <v>302</v>
      </c>
      <c r="T303" s="424" t="n">
        <f aca="false">D303</f>
        <v>1.53</v>
      </c>
      <c r="U303" s="424" t="n">
        <f aca="false">E303</f>
        <v>10.889999</v>
      </c>
      <c r="V303" s="0" t="n">
        <f aca="false">MIN(0.263*M303/1000*1013.25*100/EXP(17.67*E303/(E303+273.16-29.65)), 100)</f>
        <v>62.5868567109824</v>
      </c>
      <c r="W303" s="0" t="n">
        <f aca="false">MIN(0.263*M303/1000*1013.25*100/EXP(17.67*D303/(D303+273.16-29.65)), 100)</f>
        <v>100</v>
      </c>
      <c r="X303" s="0" t="n">
        <f aca="false">(198.58*(1/(2/15*ACOS(-TAN(3.1416/180*$L$1)*TAN(3.1416/180*23.45*SIN((2*3.1416/365*(C303+284)))))/3.1416*180))^2+5.0551/(2/15*ACOS(-TAN(3.1416/180*$L$1)*TAN(3.1416/180*23.45*SIN((2*3.1416/365*(C303+284)))))/3.1416*180)+1.49)*G303*2.02</f>
        <v>588.902085493753</v>
      </c>
      <c r="Y303" s="424" t="n">
        <f aca="false">H303</f>
        <v>0</v>
      </c>
      <c r="Z303" s="424" t="n">
        <f aca="false">I303</f>
        <v>1</v>
      </c>
    </row>
    <row r="304" customFormat="false" ht="15.75" hidden="false" customHeight="false" outlineLevel="0" collapsed="false">
      <c r="B304" s="0" t="n">
        <v>1950</v>
      </c>
      <c r="C304" s="424" t="n">
        <v>303</v>
      </c>
      <c r="D304" s="0" t="n">
        <v>0.85999995</v>
      </c>
      <c r="E304" s="0" t="n">
        <v>12.84</v>
      </c>
      <c r="F304" s="0" t="n">
        <v>79.265</v>
      </c>
      <c r="G304" s="0" t="n">
        <v>82</v>
      </c>
      <c r="H304" s="0" t="n">
        <v>3.5</v>
      </c>
      <c r="I304" s="0" t="n">
        <v>1</v>
      </c>
      <c r="M304" s="0" t="n">
        <f aca="false">F304/0.263*1000/1013.25/100*EXP(17.67*(D304+E304)/2/((D304+E304)/2+273.16-29.65))</f>
        <v>4.82362903626916</v>
      </c>
      <c r="R304" s="424" t="n">
        <f aca="false">B304</f>
        <v>1950</v>
      </c>
      <c r="S304" s="424" t="n">
        <f aca="false">C304</f>
        <v>303</v>
      </c>
      <c r="T304" s="424" t="n">
        <f aca="false">D304</f>
        <v>0.85999995</v>
      </c>
      <c r="U304" s="424" t="n">
        <f aca="false">E304</f>
        <v>12.84</v>
      </c>
      <c r="V304" s="0" t="n">
        <f aca="false">MIN(0.263*M304/1000*1013.25*100/EXP(17.67*E304/(E304+273.16-29.65)), 100)</f>
        <v>53.0485523140224</v>
      </c>
      <c r="W304" s="0" t="n">
        <f aca="false">MIN(0.263*M304/1000*1013.25*100/EXP(17.67*D304/(D304+273.16-29.65)), 100)</f>
        <v>100</v>
      </c>
      <c r="X304" s="0" t="n">
        <f aca="false">(198.58*(1/(2/15*ACOS(-TAN(3.1416/180*$L$1)*TAN(3.1416/180*23.45*SIN((2*3.1416/365*(C304+284)))))/3.1416*180))^2+5.0551/(2/15*ACOS(-TAN(3.1416/180*$L$1)*TAN(3.1416/180*23.45*SIN((2*3.1416/365*(C304+284)))))/3.1416*180)+1.49)*G304*2.02</f>
        <v>665.087090622346</v>
      </c>
      <c r="Y304" s="424" t="n">
        <f aca="false">H304</f>
        <v>3.5</v>
      </c>
      <c r="Z304" s="424" t="n">
        <f aca="false">I304</f>
        <v>1</v>
      </c>
    </row>
    <row r="305" customFormat="false" ht="15.75" hidden="false" customHeight="false" outlineLevel="0" collapsed="false">
      <c r="B305" s="0" t="n">
        <v>1950</v>
      </c>
      <c r="C305" s="424" t="n">
        <v>304</v>
      </c>
      <c r="D305" s="0" t="n">
        <v>8.65</v>
      </c>
      <c r="E305" s="0" t="n">
        <v>16.77</v>
      </c>
      <c r="F305" s="0" t="n">
        <v>93.10909</v>
      </c>
      <c r="G305" s="0" t="n">
        <v>74</v>
      </c>
      <c r="H305" s="0" t="n">
        <v>0</v>
      </c>
      <c r="I305" s="0" t="n">
        <v>1</v>
      </c>
      <c r="M305" s="0" t="n">
        <f aca="false">F305/0.263*1000/1013.25/100*EXP(17.67*(D305+E305)/2/((D305+E305)/2+273.16-29.65))</f>
        <v>8.3944813638035</v>
      </c>
      <c r="R305" s="424" t="n">
        <f aca="false">B305</f>
        <v>1950</v>
      </c>
      <c r="S305" s="424" t="n">
        <f aca="false">C305</f>
        <v>304</v>
      </c>
      <c r="T305" s="424" t="n">
        <f aca="false">D305</f>
        <v>8.65</v>
      </c>
      <c r="U305" s="424" t="n">
        <f aca="false">E305</f>
        <v>16.77</v>
      </c>
      <c r="V305" s="0" t="n">
        <f aca="false">MIN(0.263*M305/1000*1013.25*100/EXP(17.67*E305/(E305+273.16-29.65)), 100)</f>
        <v>71.6517444039779</v>
      </c>
      <c r="W305" s="0" t="n">
        <f aca="false">MIN(0.263*M305/1000*1013.25*100/EXP(17.67*D305/(D305+273.16-29.65)), 100)</f>
        <v>100</v>
      </c>
      <c r="X305" s="0" t="n">
        <f aca="false">(198.58*(1/(2/15*ACOS(-TAN(3.1416/180*$L$1)*TAN(3.1416/180*23.45*SIN((2*3.1416/365*(C305+284)))))/3.1416*180))^2+5.0551/(2/15*ACOS(-TAN(3.1416/180*$L$1)*TAN(3.1416/180*23.45*SIN((2*3.1416/365*(C305+284)))))/3.1416*180)+1.49)*G305*2.02</f>
        <v>603.446317266556</v>
      </c>
      <c r="Y305" s="424" t="n">
        <f aca="false">H305</f>
        <v>0</v>
      </c>
      <c r="Z305" s="424" t="n">
        <f aca="false">I305</f>
        <v>1</v>
      </c>
    </row>
    <row r="306" customFormat="false" ht="15.75" hidden="false" customHeight="false" outlineLevel="0" collapsed="false">
      <c r="B306" s="0" t="n">
        <v>1950</v>
      </c>
      <c r="C306" s="424" t="n">
        <v>305</v>
      </c>
      <c r="D306" s="0" t="n">
        <v>7.95</v>
      </c>
      <c r="E306" s="0" t="n">
        <v>18.789999</v>
      </c>
      <c r="F306" s="0" t="n">
        <v>92.818184</v>
      </c>
      <c r="G306" s="0" t="n">
        <v>63</v>
      </c>
      <c r="H306" s="0" t="n">
        <v>3.2</v>
      </c>
      <c r="I306" s="0" t="n">
        <v>1</v>
      </c>
      <c r="M306" s="0" t="n">
        <f aca="false">F306/0.263*1000/1013.25/100*EXP(17.67*(D306+E306)/2/((D306+E306)/2+273.16-29.65))</f>
        <v>8.73722438569434</v>
      </c>
      <c r="R306" s="424" t="n">
        <f aca="false">B306</f>
        <v>1950</v>
      </c>
      <c r="S306" s="424" t="n">
        <f aca="false">C306</f>
        <v>305</v>
      </c>
      <c r="T306" s="424" t="n">
        <f aca="false">D306</f>
        <v>7.95</v>
      </c>
      <c r="U306" s="424" t="n">
        <f aca="false">E306</f>
        <v>18.789999</v>
      </c>
      <c r="V306" s="0" t="n">
        <f aca="false">MIN(0.263*M306/1000*1013.25*100/EXP(17.67*E306/(E306+273.16-29.65)), 100)</f>
        <v>65.6622844756007</v>
      </c>
      <c r="W306" s="0" t="n">
        <f aca="false">MIN(0.263*M306/1000*1013.25*100/EXP(17.67*D306/(D306+273.16-29.65)), 100)</f>
        <v>100</v>
      </c>
      <c r="X306" s="0" t="n">
        <f aca="false">(198.58*(1/(2/15*ACOS(-TAN(3.1416/180*$L$1)*TAN(3.1416/180*23.45*SIN((2*3.1416/365*(C306+284)))))/3.1416*180))^2+5.0551/(2/15*ACOS(-TAN(3.1416/180*$L$1)*TAN(3.1416/180*23.45*SIN((2*3.1416/365*(C306+284)))))/3.1416*180)+1.49)*G306*2.02</f>
        <v>516.519074014471</v>
      </c>
      <c r="Y306" s="424" t="n">
        <f aca="false">H306</f>
        <v>3.2</v>
      </c>
      <c r="Z306" s="424" t="n">
        <f aca="false">I306</f>
        <v>1</v>
      </c>
    </row>
    <row r="307" customFormat="false" ht="15.75" hidden="false" customHeight="false" outlineLevel="0" collapsed="false">
      <c r="B307" s="0" t="n">
        <v>1950</v>
      </c>
      <c r="C307" s="424" t="n">
        <v>306</v>
      </c>
      <c r="D307" s="0" t="n">
        <v>6.08</v>
      </c>
      <c r="E307" s="0" t="n">
        <v>15.78</v>
      </c>
      <c r="F307" s="0" t="n">
        <v>92.03158</v>
      </c>
      <c r="G307" s="0" t="n">
        <v>39</v>
      </c>
      <c r="H307" s="0" t="n">
        <v>0</v>
      </c>
      <c r="I307" s="0" t="n">
        <v>1</v>
      </c>
      <c r="M307" s="0" t="n">
        <f aca="false">F307/0.263*1000/1013.25/100*EXP(17.67*(D307+E307)/2/((D307+E307)/2+273.16-29.65))</f>
        <v>7.3776229713828</v>
      </c>
      <c r="R307" s="424" t="n">
        <f aca="false">B307</f>
        <v>1950</v>
      </c>
      <c r="S307" s="424" t="n">
        <f aca="false">C307</f>
        <v>306</v>
      </c>
      <c r="T307" s="424" t="n">
        <f aca="false">D307</f>
        <v>6.08</v>
      </c>
      <c r="U307" s="424" t="n">
        <f aca="false">E307</f>
        <v>15.78</v>
      </c>
      <c r="V307" s="0" t="n">
        <f aca="false">MIN(0.263*M307/1000*1013.25*100/EXP(17.67*E307/(E307+273.16-29.65)), 100)</f>
        <v>67.0751584459923</v>
      </c>
      <c r="W307" s="0" t="n">
        <f aca="false">MIN(0.263*M307/1000*1013.25*100/EXP(17.67*D307/(D307+273.16-29.65)), 100)</f>
        <v>100</v>
      </c>
      <c r="X307" s="0" t="n">
        <f aca="false">(198.58*(1/(2/15*ACOS(-TAN(3.1416/180*$L$1)*TAN(3.1416/180*23.45*SIN((2*3.1416/365*(C307+284)))))/3.1416*180))^2+5.0551/(2/15*ACOS(-TAN(3.1416/180*$L$1)*TAN(3.1416/180*23.45*SIN((2*3.1416/365*(C307+284)))))/3.1416*180)+1.49)*G307*2.02</f>
        <v>321.473158867354</v>
      </c>
      <c r="Y307" s="424" t="n">
        <f aca="false">H307</f>
        <v>0</v>
      </c>
      <c r="Z307" s="424" t="n">
        <f aca="false">I307</f>
        <v>1</v>
      </c>
    </row>
    <row r="308" customFormat="false" ht="15.75" hidden="false" customHeight="false" outlineLevel="0" collapsed="false">
      <c r="B308" s="0" t="n">
        <v>1950</v>
      </c>
      <c r="C308" s="424" t="n">
        <v>307</v>
      </c>
      <c r="D308" s="0" t="n">
        <v>9.63</v>
      </c>
      <c r="E308" s="0" t="n">
        <v>15.54</v>
      </c>
      <c r="F308" s="0" t="n">
        <v>91.850006</v>
      </c>
      <c r="G308" s="0" t="n">
        <v>25</v>
      </c>
      <c r="H308" s="0" t="n">
        <v>5</v>
      </c>
      <c r="I308" s="0" t="n">
        <v>1</v>
      </c>
      <c r="M308" s="0" t="n">
        <f aca="false">F308/0.263*1000/1013.25/100*EXP(17.67*(D308+E308)/2/((D308+E308)/2+273.16-29.65))</f>
        <v>8.21336477002725</v>
      </c>
      <c r="R308" s="424" t="n">
        <f aca="false">B308</f>
        <v>1950</v>
      </c>
      <c r="S308" s="424" t="n">
        <f aca="false">C308</f>
        <v>307</v>
      </c>
      <c r="T308" s="424" t="n">
        <f aca="false">D308</f>
        <v>9.63</v>
      </c>
      <c r="U308" s="424" t="n">
        <f aca="false">E308</f>
        <v>15.54</v>
      </c>
      <c r="V308" s="0" t="n">
        <f aca="false">MIN(0.263*M308/1000*1013.25*100/EXP(17.67*E308/(E308+273.16-29.65)), 100)</f>
        <v>75.830397563852</v>
      </c>
      <c r="W308" s="0" t="n">
        <f aca="false">MIN(0.263*M308/1000*1013.25*100/EXP(17.67*D308/(D308+273.16-29.65)), 100)</f>
        <v>100</v>
      </c>
      <c r="X308" s="0" t="n">
        <f aca="false">(198.58*(1/(2/15*ACOS(-TAN(3.1416/180*$L$1)*TAN(3.1416/180*23.45*SIN((2*3.1416/365*(C308+284)))))/3.1416*180))^2+5.0551/(2/15*ACOS(-TAN(3.1416/180*$L$1)*TAN(3.1416/180*23.45*SIN((2*3.1416/365*(C308+284)))))/3.1416*180)+1.49)*G308*2.02</f>
        <v>207.180337508107</v>
      </c>
      <c r="Y308" s="424" t="n">
        <f aca="false">H308</f>
        <v>5</v>
      </c>
      <c r="Z308" s="424" t="n">
        <f aca="false">I308</f>
        <v>1</v>
      </c>
    </row>
    <row r="309" customFormat="false" ht="15.75" hidden="false" customHeight="false" outlineLevel="0" collapsed="false">
      <c r="B309" s="0" t="n">
        <v>1950</v>
      </c>
      <c r="C309" s="424" t="n">
        <v>308</v>
      </c>
      <c r="D309" s="0" t="n">
        <v>2.57</v>
      </c>
      <c r="E309" s="0" t="n">
        <v>12.23</v>
      </c>
      <c r="F309" s="0" t="n">
        <v>91.425</v>
      </c>
      <c r="G309" s="0" t="n">
        <v>68</v>
      </c>
      <c r="H309" s="0" t="n">
        <v>0</v>
      </c>
      <c r="I309" s="0" t="n">
        <v>1</v>
      </c>
      <c r="M309" s="0" t="n">
        <f aca="false">F309/0.263*1000/1013.25/100*EXP(17.67*(D309+E309)/2/((D309+E309)/2+273.16-29.65))</f>
        <v>5.77721716080392</v>
      </c>
      <c r="R309" s="424" t="n">
        <f aca="false">B309</f>
        <v>1950</v>
      </c>
      <c r="S309" s="424" t="n">
        <f aca="false">C309</f>
        <v>308</v>
      </c>
      <c r="T309" s="424" t="n">
        <f aca="false">D309</f>
        <v>2.57</v>
      </c>
      <c r="U309" s="424" t="n">
        <f aca="false">E309</f>
        <v>12.23</v>
      </c>
      <c r="V309" s="0" t="n">
        <f aca="false">MIN(0.263*M309/1000*1013.25*100/EXP(17.67*E309/(E309+273.16-29.65)), 100)</f>
        <v>66.1311025192305</v>
      </c>
      <c r="W309" s="0" t="n">
        <f aca="false">MIN(0.263*M309/1000*1013.25*100/EXP(17.67*D309/(D309+273.16-29.65)), 100)</f>
        <v>100</v>
      </c>
      <c r="X309" s="0" t="n">
        <f aca="false">(198.58*(1/(2/15*ACOS(-TAN(3.1416/180*$L$1)*TAN(3.1416/180*23.45*SIN((2*3.1416/365*(C309+284)))))/3.1416*180))^2+5.0551/(2/15*ACOS(-TAN(3.1416/180*$L$1)*TAN(3.1416/180*23.45*SIN((2*3.1416/365*(C309+284)))))/3.1416*180)+1.49)*G309*2.02</f>
        <v>566.550523285866</v>
      </c>
      <c r="Y309" s="424" t="n">
        <f aca="false">H309</f>
        <v>0</v>
      </c>
      <c r="Z309" s="424" t="n">
        <f aca="false">I309</f>
        <v>1</v>
      </c>
    </row>
    <row r="310" customFormat="false" ht="15.75" hidden="false" customHeight="false" outlineLevel="0" collapsed="false">
      <c r="B310" s="0" t="n">
        <v>1950</v>
      </c>
      <c r="C310" s="424" t="n">
        <v>309</v>
      </c>
      <c r="D310" s="0" t="n">
        <v>3.05</v>
      </c>
      <c r="E310" s="0" t="n">
        <v>10.92</v>
      </c>
      <c r="F310" s="0" t="n">
        <v>87.925</v>
      </c>
      <c r="G310" s="0" t="n">
        <v>59</v>
      </c>
      <c r="H310" s="0" t="n">
        <v>0</v>
      </c>
      <c r="I310" s="0" t="n">
        <v>1</v>
      </c>
      <c r="M310" s="0" t="n">
        <f aca="false">F310/0.263*1000/1013.25/100*EXP(17.67*(D310+E310)/2/((D310+E310)/2+273.16-29.65))</f>
        <v>5.40041854403914</v>
      </c>
      <c r="R310" s="424" t="n">
        <f aca="false">B310</f>
        <v>1950</v>
      </c>
      <c r="S310" s="424" t="n">
        <f aca="false">C310</f>
        <v>309</v>
      </c>
      <c r="T310" s="424" t="n">
        <f aca="false">D310</f>
        <v>3.05</v>
      </c>
      <c r="U310" s="424" t="n">
        <f aca="false">E310</f>
        <v>10.92</v>
      </c>
      <c r="V310" s="0" t="n">
        <f aca="false">MIN(0.263*M310/1000*1013.25*100/EXP(17.67*E310/(E310+273.16-29.65)), 100)</f>
        <v>67.4118893197736</v>
      </c>
      <c r="W310" s="0" t="n">
        <f aca="false">MIN(0.263*M310/1000*1013.25*100/EXP(17.67*D310/(D310+273.16-29.65)), 100)</f>
        <v>100</v>
      </c>
      <c r="X310" s="0" t="n">
        <f aca="false">(198.58*(1/(2/15*ACOS(-TAN(3.1416/180*$L$1)*TAN(3.1416/180*23.45*SIN((2*3.1416/365*(C310+284)))))/3.1416*180))^2+5.0551/(2/15*ACOS(-TAN(3.1416/180*$L$1)*TAN(3.1416/180*23.45*SIN((2*3.1416/365*(C310+284)))))/3.1416*180)+1.49)*G310*2.02</f>
        <v>494.190456568843</v>
      </c>
      <c r="Y310" s="424" t="n">
        <f aca="false">H310</f>
        <v>0</v>
      </c>
      <c r="Z310" s="424" t="n">
        <f aca="false">I310</f>
        <v>1</v>
      </c>
    </row>
    <row r="311" customFormat="false" ht="15.75" hidden="false" customHeight="false" outlineLevel="0" collapsed="false">
      <c r="B311" s="0" t="n">
        <v>1950</v>
      </c>
      <c r="C311" s="424" t="n">
        <v>310</v>
      </c>
      <c r="D311" s="0" t="n">
        <v>-0.88</v>
      </c>
      <c r="E311" s="0" t="n">
        <v>9.58</v>
      </c>
      <c r="F311" s="0" t="n">
        <v>88.575005</v>
      </c>
      <c r="G311" s="0" t="n">
        <v>48</v>
      </c>
      <c r="H311" s="0" t="n">
        <v>0</v>
      </c>
      <c r="I311" s="0" t="n">
        <v>1</v>
      </c>
      <c r="M311" s="0" t="n">
        <f aca="false">F311/0.263*1000/1013.25/100*EXP(17.67*(D311+E311)/2/((D311+E311)/2+273.16-29.65))</f>
        <v>4.53230366264339</v>
      </c>
      <c r="R311" s="424" t="n">
        <f aca="false">B311</f>
        <v>1950</v>
      </c>
      <c r="S311" s="424" t="n">
        <f aca="false">C311</f>
        <v>310</v>
      </c>
      <c r="T311" s="424" t="n">
        <f aca="false">D311</f>
        <v>-0.88</v>
      </c>
      <c r="U311" s="424" t="n">
        <f aca="false">E311</f>
        <v>9.58</v>
      </c>
      <c r="V311" s="0" t="n">
        <f aca="false">MIN(0.263*M311/1000*1013.25*100/EXP(17.67*E311/(E311+273.16-29.65)), 100)</f>
        <v>61.8749136400852</v>
      </c>
      <c r="W311" s="0" t="n">
        <f aca="false">MIN(0.263*M311/1000*1013.25*100/EXP(17.67*D311/(D311+273.16-29.65)), 100)</f>
        <v>100</v>
      </c>
      <c r="X311" s="0" t="n">
        <f aca="false">(198.58*(1/(2/15*ACOS(-TAN(3.1416/180*$L$1)*TAN(3.1416/180*23.45*SIN((2*3.1416/365*(C311+284)))))/3.1416*180))^2+5.0551/(2/15*ACOS(-TAN(3.1416/180*$L$1)*TAN(3.1416/180*23.45*SIN((2*3.1416/365*(C311+284)))))/3.1416*180)+1.49)*G311*2.02</f>
        <v>404.190558379328</v>
      </c>
      <c r="Y311" s="424" t="n">
        <f aca="false">H311</f>
        <v>0</v>
      </c>
      <c r="Z311" s="424" t="n">
        <f aca="false">I311</f>
        <v>1</v>
      </c>
    </row>
    <row r="312" customFormat="false" ht="15.75" hidden="false" customHeight="false" outlineLevel="0" collapsed="false">
      <c r="B312" s="0" t="n">
        <v>1950</v>
      </c>
      <c r="C312" s="424" t="n">
        <v>311</v>
      </c>
      <c r="D312" s="0" t="n">
        <v>-0.42999998</v>
      </c>
      <c r="E312" s="0" t="n">
        <v>10.429999</v>
      </c>
      <c r="F312" s="0" t="n">
        <v>87.69</v>
      </c>
      <c r="G312" s="0" t="n">
        <v>41</v>
      </c>
      <c r="H312" s="0" t="n">
        <v>0</v>
      </c>
      <c r="I312" s="0" t="n">
        <v>1</v>
      </c>
      <c r="M312" s="0" t="n">
        <f aca="false">F312/0.263*1000/1013.25/100*EXP(17.67*(D312+E312)/2/((D312+E312)/2+273.16-29.65))</f>
        <v>4.69545397154808</v>
      </c>
      <c r="R312" s="424" t="n">
        <f aca="false">B312</f>
        <v>1950</v>
      </c>
      <c r="S312" s="424" t="n">
        <f aca="false">C312</f>
        <v>311</v>
      </c>
      <c r="T312" s="424" t="n">
        <f aca="false">D312</f>
        <v>-0.42999998</v>
      </c>
      <c r="U312" s="424" t="n">
        <f aca="false">E312</f>
        <v>10.429999</v>
      </c>
      <c r="V312" s="0" t="n">
        <f aca="false">MIN(0.263*M312/1000*1013.25*100/EXP(17.67*E312/(E312+273.16-29.65)), 100)</f>
        <v>60.5562257100692</v>
      </c>
      <c r="W312" s="0" t="n">
        <f aca="false">MIN(0.263*M312/1000*1013.25*100/EXP(17.67*D312/(D312+273.16-29.65)), 100)</f>
        <v>100</v>
      </c>
      <c r="X312" s="0" t="n">
        <f aca="false">(198.58*(1/(2/15*ACOS(-TAN(3.1416/180*$L$1)*TAN(3.1416/180*23.45*SIN((2*3.1416/365*(C312+284)))))/3.1416*180))^2+5.0551/(2/15*ACOS(-TAN(3.1416/180*$L$1)*TAN(3.1416/180*23.45*SIN((2*3.1416/365*(C312+284)))))/3.1416*180)+1.49)*G312*2.02</f>
        <v>347.072225885318</v>
      </c>
      <c r="Y312" s="424" t="n">
        <f aca="false">H312</f>
        <v>0</v>
      </c>
      <c r="Z312" s="424" t="n">
        <f aca="false">I312</f>
        <v>1</v>
      </c>
    </row>
    <row r="313" customFormat="false" ht="15.75" hidden="false" customHeight="false" outlineLevel="0" collapsed="false">
      <c r="B313" s="0" t="n">
        <v>1950</v>
      </c>
      <c r="C313" s="424" t="n">
        <v>312</v>
      </c>
      <c r="D313" s="0" t="n">
        <v>-3.61</v>
      </c>
      <c r="E313" s="0" t="n">
        <v>13.639999</v>
      </c>
      <c r="F313" s="0" t="n">
        <v>88.15</v>
      </c>
      <c r="G313" s="0" t="n">
        <v>94</v>
      </c>
      <c r="H313" s="0" t="n">
        <v>0</v>
      </c>
      <c r="I313" s="0" t="n">
        <v>1</v>
      </c>
      <c r="M313" s="0" t="n">
        <f aca="false">F313/0.263*1000/1013.25/100*EXP(17.67*(D313+E313)/2/((D313+E313)/2+273.16-29.65))</f>
        <v>4.72502038617978</v>
      </c>
      <c r="R313" s="424" t="n">
        <f aca="false">B313</f>
        <v>1950</v>
      </c>
      <c r="S313" s="424" t="n">
        <f aca="false">C313</f>
        <v>312</v>
      </c>
      <c r="T313" s="424" t="n">
        <f aca="false">D313</f>
        <v>-3.61</v>
      </c>
      <c r="U313" s="424" t="n">
        <f aca="false">E313</f>
        <v>13.639999</v>
      </c>
      <c r="V313" s="0" t="n">
        <f aca="false">MIN(0.263*M313/1000*1013.25*100/EXP(17.67*E313/(E313+273.16-29.65)), 100)</f>
        <v>49.3202411694972</v>
      </c>
      <c r="W313" s="0" t="n">
        <f aca="false">MIN(0.263*M313/1000*1013.25*100/EXP(17.67*D313/(D313+273.16-29.65)), 100)</f>
        <v>100</v>
      </c>
      <c r="X313" s="0" t="n">
        <f aca="false">(198.58*(1/(2/15*ACOS(-TAN(3.1416/180*$L$1)*TAN(3.1416/180*23.45*SIN((2*3.1416/365*(C313+284)))))/3.1416*180))^2+5.0551/(2/15*ACOS(-TAN(3.1416/180*$L$1)*TAN(3.1416/180*23.45*SIN((2*3.1416/365*(C313+284)))))/3.1416*180)+1.49)*G313*2.02</f>
        <v>799.911422242978</v>
      </c>
      <c r="Y313" s="424" t="n">
        <f aca="false">H313</f>
        <v>0</v>
      </c>
      <c r="Z313" s="424" t="n">
        <f aca="false">I313</f>
        <v>1</v>
      </c>
    </row>
    <row r="314" customFormat="false" ht="15.75" hidden="false" customHeight="false" outlineLevel="0" collapsed="false">
      <c r="B314" s="0" t="n">
        <v>1950</v>
      </c>
      <c r="C314" s="424" t="n">
        <v>313</v>
      </c>
      <c r="D314" s="0" t="n">
        <v>1.13</v>
      </c>
      <c r="E314" s="0" t="n">
        <v>17.359999</v>
      </c>
      <c r="F314" s="0" t="n">
        <v>83.670006</v>
      </c>
      <c r="G314" s="0" t="n">
        <v>70</v>
      </c>
      <c r="H314" s="0" t="n">
        <v>0</v>
      </c>
      <c r="I314" s="0" t="n">
        <v>1</v>
      </c>
      <c r="M314" s="0" t="n">
        <f aca="false">F314/0.263*1000/1013.25/100*EXP(17.67*(D314+E314)/2/((D314+E314)/2+273.16-29.65))</f>
        <v>5.99222514609</v>
      </c>
      <c r="R314" s="424" t="n">
        <f aca="false">B314</f>
        <v>1950</v>
      </c>
      <c r="S314" s="424" t="n">
        <f aca="false">C314</f>
        <v>313</v>
      </c>
      <c r="T314" s="424" t="n">
        <f aca="false">D314</f>
        <v>1.13</v>
      </c>
      <c r="U314" s="424" t="n">
        <f aca="false">E314</f>
        <v>17.359999</v>
      </c>
      <c r="V314" s="0" t="n">
        <f aca="false">MIN(0.263*M314/1000*1013.25*100/EXP(17.67*E314/(E314+273.16-29.65)), 100)</f>
        <v>49.2700882985298</v>
      </c>
      <c r="W314" s="0" t="n">
        <f aca="false">MIN(0.263*M314/1000*1013.25*100/EXP(17.67*D314/(D314+273.16-29.65)), 100)</f>
        <v>100</v>
      </c>
      <c r="X314" s="0" t="n">
        <f aca="false">(198.58*(1/(2/15*ACOS(-TAN(3.1416/180*$L$1)*TAN(3.1416/180*23.45*SIN((2*3.1416/365*(C314+284)))))/3.1416*180))^2+5.0551/(2/15*ACOS(-TAN(3.1416/180*$L$1)*TAN(3.1416/180*23.45*SIN((2*3.1416/365*(C314+284)))))/3.1416*180)+1.49)*G314*2.02</f>
        <v>598.791339194334</v>
      </c>
      <c r="Y314" s="424" t="n">
        <f aca="false">H314</f>
        <v>0</v>
      </c>
      <c r="Z314" s="424" t="n">
        <f aca="false">I314</f>
        <v>1</v>
      </c>
    </row>
    <row r="315" customFormat="false" ht="15.75" hidden="false" customHeight="false" outlineLevel="0" collapsed="false">
      <c r="B315" s="0" t="n">
        <v>1950</v>
      </c>
      <c r="C315" s="424" t="n">
        <v>314</v>
      </c>
      <c r="D315" s="0" t="n">
        <v>10.719999</v>
      </c>
      <c r="E315" s="0" t="n">
        <v>20.91</v>
      </c>
      <c r="F315" s="0" t="n">
        <v>79.925</v>
      </c>
      <c r="G315" s="0" t="n">
        <v>27</v>
      </c>
      <c r="H315" s="0" t="n">
        <v>7.9</v>
      </c>
      <c r="I315" s="0" t="n">
        <v>1</v>
      </c>
      <c r="M315" s="0" t="n">
        <f aca="false">F315/0.263*1000/1013.25/100*EXP(17.67*(D315+E315)/2/((D315+E315)/2+273.16-29.65))</f>
        <v>8.81069309038026</v>
      </c>
      <c r="R315" s="424" t="n">
        <f aca="false">B315</f>
        <v>1950</v>
      </c>
      <c r="S315" s="424" t="n">
        <f aca="false">C315</f>
        <v>314</v>
      </c>
      <c r="T315" s="424" t="n">
        <f aca="false">D315</f>
        <v>10.719999</v>
      </c>
      <c r="U315" s="424" t="n">
        <f aca="false">E315</f>
        <v>20.91</v>
      </c>
      <c r="V315" s="0" t="n">
        <f aca="false">MIN(0.263*M315/1000*1013.25*100/EXP(17.67*E315/(E315+273.16-29.65)), 100)</f>
        <v>58.0541808116991</v>
      </c>
      <c r="W315" s="0" t="n">
        <f aca="false">MIN(0.263*M315/1000*1013.25*100/EXP(17.67*D315/(D315+273.16-29.65)), 100)</f>
        <v>100</v>
      </c>
      <c r="X315" s="0" t="n">
        <f aca="false">(198.58*(1/(2/15*ACOS(-TAN(3.1416/180*$L$1)*TAN(3.1416/180*23.45*SIN((2*3.1416/365*(C315+284)))))/3.1416*180))^2+5.0551/(2/15*ACOS(-TAN(3.1416/180*$L$1)*TAN(3.1416/180*23.45*SIN((2*3.1416/365*(C315+284)))))/3.1416*180)+1.49)*G315*2.02</f>
        <v>232.160547697853</v>
      </c>
      <c r="Y315" s="424" t="n">
        <f aca="false">H315</f>
        <v>7.9</v>
      </c>
      <c r="Z315" s="424" t="n">
        <f aca="false">I315</f>
        <v>1</v>
      </c>
    </row>
    <row r="316" customFormat="false" ht="15.75" hidden="false" customHeight="false" outlineLevel="0" collapsed="false">
      <c r="B316" s="0" t="n">
        <v>1950</v>
      </c>
      <c r="C316" s="424" t="n">
        <v>315</v>
      </c>
      <c r="D316" s="0" t="n">
        <v>10.44</v>
      </c>
      <c r="E316" s="0" t="n">
        <v>15.389999</v>
      </c>
      <c r="F316" s="0" t="n">
        <v>94.700005</v>
      </c>
      <c r="G316" s="0" t="n">
        <v>75</v>
      </c>
      <c r="H316" s="0" t="n">
        <v>6</v>
      </c>
      <c r="I316" s="0" t="n">
        <v>1</v>
      </c>
      <c r="M316" s="0" t="n">
        <f aca="false">F316/0.263*1000/1013.25/100*EXP(17.67*(D316+E316)/2/((D316+E316)/2+273.16-29.65))</f>
        <v>8.65331354907194</v>
      </c>
      <c r="R316" s="424" t="n">
        <f aca="false">B316</f>
        <v>1950</v>
      </c>
      <c r="S316" s="424" t="n">
        <f aca="false">C316</f>
        <v>315</v>
      </c>
      <c r="T316" s="424" t="n">
        <f aca="false">D316</f>
        <v>10.44</v>
      </c>
      <c r="U316" s="424" t="n">
        <f aca="false">E316</f>
        <v>15.389999</v>
      </c>
      <c r="V316" s="0" t="n">
        <f aca="false">MIN(0.263*M316/1000*1013.25*100/EXP(17.67*E316/(E316+273.16-29.65)), 100)</f>
        <v>80.6648041737244</v>
      </c>
      <c r="W316" s="0" t="n">
        <f aca="false">MIN(0.263*M316/1000*1013.25*100/EXP(17.67*D316/(D316+273.16-29.65)), 100)</f>
        <v>100</v>
      </c>
      <c r="X316" s="0" t="n">
        <f aca="false">(198.58*(1/(2/15*ACOS(-TAN(3.1416/180*$L$1)*TAN(3.1416/180*23.45*SIN((2*3.1416/365*(C316+284)))))/3.1416*180))^2+5.0551/(2/15*ACOS(-TAN(3.1416/180*$L$1)*TAN(3.1416/180*23.45*SIN((2*3.1416/365*(C316+284)))))/3.1416*180)+1.49)*G316*2.02</f>
        <v>648.20920308984</v>
      </c>
      <c r="Y316" s="424" t="n">
        <f aca="false">H316</f>
        <v>6</v>
      </c>
      <c r="Z316" s="424" t="n">
        <f aca="false">I316</f>
        <v>1</v>
      </c>
    </row>
    <row r="317" customFormat="false" ht="15.75" hidden="false" customHeight="false" outlineLevel="0" collapsed="false">
      <c r="B317" s="0" t="n">
        <v>1950</v>
      </c>
      <c r="C317" s="424" t="n">
        <v>316</v>
      </c>
      <c r="D317" s="0" t="n">
        <v>8.11</v>
      </c>
      <c r="E317" s="0" t="n">
        <v>14.54</v>
      </c>
      <c r="F317" s="0" t="n">
        <v>89.525</v>
      </c>
      <c r="G317" s="0" t="n">
        <v>43</v>
      </c>
      <c r="H317" s="0" t="n">
        <v>18</v>
      </c>
      <c r="I317" s="0" t="n">
        <v>1</v>
      </c>
      <c r="M317" s="0" t="n">
        <f aca="false">F317/0.263*1000/1013.25/100*EXP(17.67*(D317+E317)/2/((D317+E317)/2+273.16-29.65))</f>
        <v>7.36729038945889</v>
      </c>
      <c r="R317" s="424" t="n">
        <f aca="false">B317</f>
        <v>1950</v>
      </c>
      <c r="S317" s="424" t="n">
        <f aca="false">C317</f>
        <v>316</v>
      </c>
      <c r="T317" s="424" t="n">
        <f aca="false">D317</f>
        <v>8.11</v>
      </c>
      <c r="U317" s="424" t="n">
        <f aca="false">E317</f>
        <v>14.54</v>
      </c>
      <c r="V317" s="0" t="n">
        <f aca="false">MIN(0.263*M317/1000*1013.25*100/EXP(17.67*E317/(E317+273.16-29.65)), 100)</f>
        <v>72.5411459455708</v>
      </c>
      <c r="W317" s="0" t="n">
        <f aca="false">MIN(0.263*M317/1000*1013.25*100/EXP(17.67*D317/(D317+273.16-29.65)), 100)</f>
        <v>100</v>
      </c>
      <c r="X317" s="0" t="n">
        <f aca="false">(198.58*(1/(2/15*ACOS(-TAN(3.1416/180*$L$1)*TAN(3.1416/180*23.45*SIN((2*3.1416/365*(C317+284)))))/3.1416*180))^2+5.0551/(2/15*ACOS(-TAN(3.1416/180*$L$1)*TAN(3.1416/180*23.45*SIN((2*3.1416/365*(C317+284)))))/3.1416*180)+1.49)*G317*2.02</f>
        <v>373.53562774377</v>
      </c>
      <c r="Y317" s="424" t="n">
        <f aca="false">H317</f>
        <v>18</v>
      </c>
      <c r="Z317" s="424" t="n">
        <f aca="false">I317</f>
        <v>1</v>
      </c>
    </row>
    <row r="318" customFormat="false" ht="15.75" hidden="false" customHeight="false" outlineLevel="0" collapsed="false">
      <c r="B318" s="0" t="n">
        <v>1950</v>
      </c>
      <c r="C318" s="424" t="n">
        <v>317</v>
      </c>
      <c r="D318" s="0" t="n">
        <v>9.19</v>
      </c>
      <c r="E318" s="0" t="n">
        <v>15.25</v>
      </c>
      <c r="F318" s="0" t="n">
        <v>93.24286</v>
      </c>
      <c r="G318" s="0" t="n">
        <v>51</v>
      </c>
      <c r="H318" s="0" t="n">
        <v>19.6</v>
      </c>
      <c r="I318" s="0" t="n">
        <v>1</v>
      </c>
      <c r="M318" s="0" t="n">
        <f aca="false">F318/0.263*1000/1013.25/100*EXP(17.67*(D318+E318)/2/((D318+E318)/2+273.16-29.65))</f>
        <v>8.14034449585363</v>
      </c>
      <c r="R318" s="424" t="n">
        <f aca="false">B318</f>
        <v>1950</v>
      </c>
      <c r="S318" s="424" t="n">
        <f aca="false">C318</f>
        <v>317</v>
      </c>
      <c r="T318" s="424" t="n">
        <f aca="false">D318</f>
        <v>9.19</v>
      </c>
      <c r="U318" s="424" t="n">
        <f aca="false">E318</f>
        <v>15.25</v>
      </c>
      <c r="V318" s="0" t="n">
        <f aca="false">MIN(0.263*M318/1000*1013.25*100/EXP(17.67*E318/(E318+273.16-29.65)), 100)</f>
        <v>76.5683941738373</v>
      </c>
      <c r="W318" s="0" t="n">
        <f aca="false">MIN(0.263*M318/1000*1013.25*100/EXP(17.67*D318/(D318+273.16-29.65)), 100)</f>
        <v>100</v>
      </c>
      <c r="X318" s="0" t="n">
        <f aca="false">(198.58*(1/(2/15*ACOS(-TAN(3.1416/180*$L$1)*TAN(3.1416/180*23.45*SIN((2*3.1416/365*(C318+284)))))/3.1416*180))^2+5.0551/(2/15*ACOS(-TAN(3.1416/180*$L$1)*TAN(3.1416/180*23.45*SIN((2*3.1416/365*(C318+284)))))/3.1416*180)+1.49)*G318*2.02</f>
        <v>445.268538883303</v>
      </c>
      <c r="Y318" s="424" t="n">
        <f aca="false">H318</f>
        <v>19.6</v>
      </c>
      <c r="Z318" s="424" t="n">
        <f aca="false">I318</f>
        <v>1</v>
      </c>
    </row>
    <row r="319" customFormat="false" ht="15.75" hidden="false" customHeight="false" outlineLevel="0" collapsed="false">
      <c r="B319" s="0" t="n">
        <v>1950</v>
      </c>
      <c r="C319" s="424" t="n">
        <v>318</v>
      </c>
      <c r="D319" s="0" t="n">
        <v>9.25</v>
      </c>
      <c r="E319" s="0" t="n">
        <v>15.19</v>
      </c>
      <c r="F319" s="0" t="n">
        <v>89.305</v>
      </c>
      <c r="G319" s="0" t="n">
        <v>77</v>
      </c>
      <c r="H319" s="0" t="n">
        <v>3.8</v>
      </c>
      <c r="I319" s="0" t="n">
        <v>1</v>
      </c>
      <c r="M319" s="0" t="n">
        <f aca="false">F319/0.263*1000/1013.25/100*EXP(17.67*(D319+E319)/2/((D319+E319)/2+273.16-29.65))</f>
        <v>7.79655906309833</v>
      </c>
      <c r="R319" s="424" t="n">
        <f aca="false">B319</f>
        <v>1950</v>
      </c>
      <c r="S319" s="424" t="n">
        <f aca="false">C319</f>
        <v>318</v>
      </c>
      <c r="T319" s="424" t="n">
        <f aca="false">D319</f>
        <v>9.25</v>
      </c>
      <c r="U319" s="424" t="n">
        <f aca="false">E319</f>
        <v>15.19</v>
      </c>
      <c r="V319" s="0" t="n">
        <f aca="false">MIN(0.263*M319/1000*1013.25*100/EXP(17.67*E319/(E319+273.16-29.65)), 100)</f>
        <v>73.618108152497</v>
      </c>
      <c r="W319" s="0" t="n">
        <f aca="false">MIN(0.263*M319/1000*1013.25*100/EXP(17.67*D319/(D319+273.16-29.65)), 100)</f>
        <v>100</v>
      </c>
      <c r="X319" s="0" t="n">
        <f aca="false">(198.58*(1/(2/15*ACOS(-TAN(3.1416/180*$L$1)*TAN(3.1416/180*23.45*SIN((2*3.1416/365*(C319+284)))))/3.1416*180))^2+5.0551/(2/15*ACOS(-TAN(3.1416/180*$L$1)*TAN(3.1416/180*23.45*SIN((2*3.1416/365*(C319+284)))))/3.1416*180)+1.49)*G319*2.02</f>
        <v>675.627985586897</v>
      </c>
      <c r="Y319" s="424" t="n">
        <f aca="false">H319</f>
        <v>3.8</v>
      </c>
      <c r="Z319" s="424" t="n">
        <f aca="false">I319</f>
        <v>1</v>
      </c>
    </row>
    <row r="320" customFormat="false" ht="15.75" hidden="false" customHeight="false" outlineLevel="0" collapsed="false">
      <c r="B320" s="0" t="n">
        <v>1950</v>
      </c>
      <c r="C320" s="424" t="n">
        <v>319</v>
      </c>
      <c r="D320" s="0" t="n">
        <v>5</v>
      </c>
      <c r="E320" s="0" t="n">
        <v>14.549999</v>
      </c>
      <c r="F320" s="0" t="n">
        <v>88.91</v>
      </c>
      <c r="G320" s="0" t="n">
        <v>68</v>
      </c>
      <c r="H320" s="0" t="n">
        <v>3.3</v>
      </c>
      <c r="I320" s="0" t="n">
        <v>1</v>
      </c>
      <c r="M320" s="0" t="n">
        <f aca="false">F320/0.263*1000/1013.25/100*EXP(17.67*(D320+E320)/2/((D320+E320)/2+273.16-29.65))</f>
        <v>6.59841203394609</v>
      </c>
      <c r="R320" s="424" t="n">
        <f aca="false">B320</f>
        <v>1950</v>
      </c>
      <c r="S320" s="424" t="n">
        <f aca="false">C320</f>
        <v>319</v>
      </c>
      <c r="T320" s="424" t="n">
        <f aca="false">D320</f>
        <v>5</v>
      </c>
      <c r="U320" s="424" t="n">
        <f aca="false">E320</f>
        <v>14.549999</v>
      </c>
      <c r="V320" s="0" t="n">
        <f aca="false">MIN(0.263*M320/1000*1013.25*100/EXP(17.67*E320/(E320+273.16-29.65)), 100)</f>
        <v>64.9285144621206</v>
      </c>
      <c r="W320" s="0" t="n">
        <f aca="false">MIN(0.263*M320/1000*1013.25*100/EXP(17.67*D320/(D320+273.16-29.65)), 100)</f>
        <v>100</v>
      </c>
      <c r="X320" s="0" t="n">
        <f aca="false">(198.58*(1/(2/15*ACOS(-TAN(3.1416/180*$L$1)*TAN(3.1416/180*23.45*SIN((2*3.1416/365*(C320+284)))))/3.1416*180))^2+5.0551/(2/15*ACOS(-TAN(3.1416/180*$L$1)*TAN(3.1416/180*23.45*SIN((2*3.1416/365*(C320+284)))))/3.1416*180)+1.49)*G320*2.02</f>
        <v>599.605849012828</v>
      </c>
      <c r="Y320" s="424" t="n">
        <f aca="false">H320</f>
        <v>3.3</v>
      </c>
      <c r="Z320" s="424" t="n">
        <f aca="false">I320</f>
        <v>1</v>
      </c>
    </row>
    <row r="321" customFormat="false" ht="15.75" hidden="false" customHeight="false" outlineLevel="0" collapsed="false">
      <c r="B321" s="0" t="n">
        <v>1950</v>
      </c>
      <c r="C321" s="424" t="n">
        <v>320</v>
      </c>
      <c r="D321" s="0" t="n">
        <v>9.639999</v>
      </c>
      <c r="E321" s="0" t="n">
        <v>15.469999</v>
      </c>
      <c r="F321" s="0" t="n">
        <v>94.137505</v>
      </c>
      <c r="G321" s="0" t="n">
        <v>47</v>
      </c>
      <c r="H321" s="0" t="n">
        <v>13.5</v>
      </c>
      <c r="I321" s="0" t="n">
        <v>1</v>
      </c>
      <c r="M321" s="0" t="n">
        <f aca="false">F321/0.263*1000/1013.25/100*EXP(17.67*(D321+E321)/2/((D321+E321)/2+273.16-29.65))</f>
        <v>8.40136188980145</v>
      </c>
      <c r="R321" s="424" t="n">
        <f aca="false">B321</f>
        <v>1950</v>
      </c>
      <c r="S321" s="424" t="n">
        <f aca="false">C321</f>
        <v>320</v>
      </c>
      <c r="T321" s="424" t="n">
        <f aca="false">D321</f>
        <v>9.639999</v>
      </c>
      <c r="U321" s="424" t="n">
        <f aca="false">E321</f>
        <v>15.469999</v>
      </c>
      <c r="V321" s="0" t="n">
        <f aca="false">MIN(0.263*M321/1000*1013.25*100/EXP(17.67*E321/(E321+273.16-29.65)), 100)</f>
        <v>77.9151163151724</v>
      </c>
      <c r="W321" s="0" t="n">
        <f aca="false">MIN(0.263*M321/1000*1013.25*100/EXP(17.67*D321/(D321+273.16-29.65)), 100)</f>
        <v>100</v>
      </c>
      <c r="X321" s="0" t="n">
        <f aca="false">(198.58*(1/(2/15*ACOS(-TAN(3.1416/180*$L$1)*TAN(3.1416/180*23.45*SIN((2*3.1416/365*(C321+284)))))/3.1416*180))^2+5.0551/(2/15*ACOS(-TAN(3.1416/180*$L$1)*TAN(3.1416/180*23.45*SIN((2*3.1416/365*(C321+284)))))/3.1416*180)+1.49)*G321*2.02</f>
        <v>416.45486823864</v>
      </c>
      <c r="Y321" s="424" t="n">
        <f aca="false">H321</f>
        <v>13.5</v>
      </c>
      <c r="Z321" s="424" t="n">
        <f aca="false">I321</f>
        <v>1</v>
      </c>
    </row>
    <row r="322" customFormat="false" ht="15.75" hidden="false" customHeight="false" outlineLevel="0" collapsed="false">
      <c r="B322" s="0" t="n">
        <v>1950</v>
      </c>
      <c r="C322" s="424" t="n">
        <v>321</v>
      </c>
      <c r="D322" s="0" t="n">
        <v>8.41</v>
      </c>
      <c r="E322" s="0" t="n">
        <v>14.58</v>
      </c>
      <c r="F322" s="0" t="n">
        <v>88.36</v>
      </c>
      <c r="G322" s="0" t="n">
        <v>54</v>
      </c>
      <c r="H322" s="0" t="n">
        <v>4.3</v>
      </c>
      <c r="I322" s="0" t="n">
        <v>1</v>
      </c>
      <c r="M322" s="0" t="n">
        <f aca="false">F322/0.263*1000/1013.25/100*EXP(17.67*(D322+E322)/2/((D322+E322)/2+273.16-29.65))</f>
        <v>7.35373036517493</v>
      </c>
      <c r="R322" s="424" t="n">
        <f aca="false">B322</f>
        <v>1950</v>
      </c>
      <c r="S322" s="424" t="n">
        <f aca="false">C322</f>
        <v>321</v>
      </c>
      <c r="T322" s="424" t="n">
        <f aca="false">D322</f>
        <v>8.41</v>
      </c>
      <c r="U322" s="424" t="n">
        <f aca="false">E322</f>
        <v>14.58</v>
      </c>
      <c r="V322" s="0" t="n">
        <f aca="false">MIN(0.263*M322/1000*1013.25*100/EXP(17.67*E322/(E322+273.16-29.65)), 100)</f>
        <v>72.220749320402</v>
      </c>
      <c r="W322" s="0" t="n">
        <f aca="false">MIN(0.263*M322/1000*1013.25*100/EXP(17.67*D322/(D322+273.16-29.65)), 100)</f>
        <v>100</v>
      </c>
      <c r="X322" s="0" t="n">
        <f aca="false">(198.58*(1/(2/15*ACOS(-TAN(3.1416/180*$L$1)*TAN(3.1416/180*23.45*SIN((2*3.1416/365*(C322+284)))))/3.1416*180))^2+5.0551/(2/15*ACOS(-TAN(3.1416/180*$L$1)*TAN(3.1416/180*23.45*SIN((2*3.1416/365*(C322+284)))))/3.1416*180)+1.49)*G322*2.02</f>
        <v>480.781962459938</v>
      </c>
      <c r="Y322" s="424" t="n">
        <f aca="false">H322</f>
        <v>4.3</v>
      </c>
      <c r="Z322" s="424" t="n">
        <f aca="false">I322</f>
        <v>1</v>
      </c>
    </row>
    <row r="323" customFormat="false" ht="15.75" hidden="false" customHeight="false" outlineLevel="0" collapsed="false">
      <c r="B323" s="0" t="n">
        <v>1950</v>
      </c>
      <c r="C323" s="424" t="n">
        <v>322</v>
      </c>
      <c r="D323" s="0" t="n">
        <v>2.47</v>
      </c>
      <c r="E323" s="0" t="n">
        <v>14.88</v>
      </c>
      <c r="F323" s="0" t="n">
        <v>89.090004</v>
      </c>
      <c r="G323" s="0" t="n">
        <v>75</v>
      </c>
      <c r="H323" s="0" t="n">
        <v>1.2</v>
      </c>
      <c r="I323" s="0" t="n">
        <v>1</v>
      </c>
      <c r="M323" s="0" t="n">
        <f aca="false">F323/0.263*1000/1013.25/100*EXP(17.67*(D323+E323)/2/((D323+E323)/2+273.16-29.65))</f>
        <v>6.13955167770682</v>
      </c>
      <c r="R323" s="424" t="n">
        <f aca="false">B323</f>
        <v>1950</v>
      </c>
      <c r="S323" s="424" t="n">
        <f aca="false">C323</f>
        <v>322</v>
      </c>
      <c r="T323" s="424" t="n">
        <f aca="false">D323</f>
        <v>2.47</v>
      </c>
      <c r="U323" s="424" t="n">
        <f aca="false">E323</f>
        <v>14.88</v>
      </c>
      <c r="V323" s="0" t="n">
        <f aca="false">MIN(0.263*M323/1000*1013.25*100/EXP(17.67*E323/(E323+273.16-29.65)), 100)</f>
        <v>59.1404342522345</v>
      </c>
      <c r="W323" s="0" t="n">
        <f aca="false">MIN(0.263*M323/1000*1013.25*100/EXP(17.67*D323/(D323+273.16-29.65)), 100)</f>
        <v>100</v>
      </c>
      <c r="X323" s="0" t="n">
        <f aca="false">(198.58*(1/(2/15*ACOS(-TAN(3.1416/180*$L$1)*TAN(3.1416/180*23.45*SIN((2*3.1416/365*(C323+284)))))/3.1416*180))^2+5.0551/(2/15*ACOS(-TAN(3.1416/180*$L$1)*TAN(3.1416/180*23.45*SIN((2*3.1416/365*(C323+284)))))/3.1416*180)+1.49)*G323*2.02</f>
        <v>670.917671150297</v>
      </c>
      <c r="Y323" s="424" t="n">
        <f aca="false">H323</f>
        <v>1.2</v>
      </c>
      <c r="Z323" s="424" t="n">
        <f aca="false">I323</f>
        <v>1</v>
      </c>
    </row>
    <row r="324" customFormat="false" ht="15.75" hidden="false" customHeight="false" outlineLevel="0" collapsed="false">
      <c r="B324" s="0" t="n">
        <v>1950</v>
      </c>
      <c r="C324" s="424" t="n">
        <v>323</v>
      </c>
      <c r="D324" s="0" t="n">
        <v>6.91</v>
      </c>
      <c r="E324" s="0" t="n">
        <v>11.37</v>
      </c>
      <c r="F324" s="0" t="n">
        <v>92.125</v>
      </c>
      <c r="G324" s="0" t="n">
        <v>29</v>
      </c>
      <c r="H324" s="0" t="n">
        <v>19.9</v>
      </c>
      <c r="I324" s="0" t="n">
        <v>1</v>
      </c>
      <c r="M324" s="0" t="n">
        <f aca="false">F324/0.263*1000/1013.25/100*EXP(17.67*(D324+E324)/2/((D324+E324)/2+273.16-29.65))</f>
        <v>6.55123570170902</v>
      </c>
      <c r="R324" s="424" t="n">
        <f aca="false">B324</f>
        <v>1950</v>
      </c>
      <c r="S324" s="424" t="n">
        <f aca="false">C324</f>
        <v>323</v>
      </c>
      <c r="T324" s="424" t="n">
        <f aca="false">D324</f>
        <v>6.91</v>
      </c>
      <c r="U324" s="424" t="n">
        <f aca="false">E324</f>
        <v>11.37</v>
      </c>
      <c r="V324" s="0" t="n">
        <f aca="false">MIN(0.263*M324/1000*1013.25*100/EXP(17.67*E324/(E324+273.16-29.65)), 100)</f>
        <v>79.3715949334133</v>
      </c>
      <c r="W324" s="0" t="n">
        <f aca="false">MIN(0.263*M324/1000*1013.25*100/EXP(17.67*D324/(D324+273.16-29.65)), 100)</f>
        <v>100</v>
      </c>
      <c r="X324" s="0" t="n">
        <f aca="false">(198.58*(1/(2/15*ACOS(-TAN(3.1416/180*$L$1)*TAN(3.1416/180*23.45*SIN((2*3.1416/365*(C324+284)))))/3.1416*180))^2+5.0551/(2/15*ACOS(-TAN(3.1416/180*$L$1)*TAN(3.1416/180*23.45*SIN((2*3.1416/365*(C324+284)))))/3.1416*180)+1.49)*G324*2.02</f>
        <v>260.631435873808</v>
      </c>
      <c r="Y324" s="424" t="n">
        <f aca="false">H324</f>
        <v>19.9</v>
      </c>
      <c r="Z324" s="424" t="n">
        <f aca="false">I324</f>
        <v>1</v>
      </c>
    </row>
    <row r="325" customFormat="false" ht="15.75" hidden="false" customHeight="false" outlineLevel="0" collapsed="false">
      <c r="B325" s="0" t="n">
        <v>1950</v>
      </c>
      <c r="C325" s="424" t="n">
        <v>324</v>
      </c>
      <c r="D325" s="0" t="n">
        <v>5.7799997</v>
      </c>
      <c r="E325" s="0" t="n">
        <v>11.61</v>
      </c>
      <c r="F325" s="0" t="n">
        <v>91.37895</v>
      </c>
      <c r="G325" s="0" t="n">
        <v>57</v>
      </c>
      <c r="H325" s="0" t="n">
        <v>14.8</v>
      </c>
      <c r="I325" s="0" t="n">
        <v>1</v>
      </c>
      <c r="M325" s="0" t="n">
        <f aca="false">F325/0.263*1000/1013.25/100*EXP(17.67*(D325+E325)/2/((D325+E325)/2+273.16-29.65))</f>
        <v>6.30581836960469</v>
      </c>
      <c r="R325" s="424" t="n">
        <f aca="false">B325</f>
        <v>1950</v>
      </c>
      <c r="S325" s="424" t="n">
        <f aca="false">C325</f>
        <v>324</v>
      </c>
      <c r="T325" s="424" t="n">
        <f aca="false">D325</f>
        <v>5.7799997</v>
      </c>
      <c r="U325" s="424" t="n">
        <f aca="false">E325</f>
        <v>11.61</v>
      </c>
      <c r="V325" s="0" t="n">
        <f aca="false">MIN(0.263*M325/1000*1013.25*100/EXP(17.67*E325/(E325+273.16-29.65)), 100)</f>
        <v>75.1945225685564</v>
      </c>
      <c r="W325" s="0" t="n">
        <f aca="false">MIN(0.263*M325/1000*1013.25*100/EXP(17.67*D325/(D325+273.16-29.65)), 100)</f>
        <v>100</v>
      </c>
      <c r="X325" s="0" t="n">
        <f aca="false">(198.58*(1/(2/15*ACOS(-TAN(3.1416/180*$L$1)*TAN(3.1416/180*23.45*SIN((2*3.1416/365*(C325+284)))))/3.1416*180))^2+5.0551/(2/15*ACOS(-TAN(3.1416/180*$L$1)*TAN(3.1416/180*23.45*SIN((2*3.1416/365*(C325+284)))))/3.1416*180)+1.49)*G325*2.02</f>
        <v>514.623673241802</v>
      </c>
      <c r="Y325" s="424" t="n">
        <f aca="false">H325</f>
        <v>14.8</v>
      </c>
      <c r="Z325" s="424" t="n">
        <f aca="false">I325</f>
        <v>1</v>
      </c>
    </row>
    <row r="326" customFormat="false" ht="15.75" hidden="false" customHeight="false" outlineLevel="0" collapsed="false">
      <c r="B326" s="0" t="n">
        <v>1950</v>
      </c>
      <c r="C326" s="424" t="n">
        <v>325</v>
      </c>
      <c r="D326" s="0" t="n">
        <v>6.68</v>
      </c>
      <c r="E326" s="0" t="n">
        <v>13.849999</v>
      </c>
      <c r="F326" s="0" t="n">
        <v>87.33</v>
      </c>
      <c r="G326" s="0" t="n">
        <v>34</v>
      </c>
      <c r="H326" s="0" t="n">
        <v>7.6</v>
      </c>
      <c r="I326" s="0" t="n">
        <v>1</v>
      </c>
      <c r="M326" s="0" t="n">
        <f aca="false">F326/0.263*1000/1013.25/100*EXP(17.67*(D326+E326)/2/((D326+E326)/2+273.16-29.65))</f>
        <v>6.69726844589084</v>
      </c>
      <c r="R326" s="424" t="n">
        <f aca="false">B326</f>
        <v>1950</v>
      </c>
      <c r="S326" s="424" t="n">
        <f aca="false">C326</f>
        <v>325</v>
      </c>
      <c r="T326" s="424" t="n">
        <f aca="false">D326</f>
        <v>6.68</v>
      </c>
      <c r="U326" s="424" t="n">
        <f aca="false">E326</f>
        <v>13.849999</v>
      </c>
      <c r="V326" s="0" t="n">
        <f aca="false">MIN(0.263*M326/1000*1013.25*100/EXP(17.67*E326/(E326+273.16-29.65)), 100)</f>
        <v>68.9587781162498</v>
      </c>
      <c r="W326" s="0" t="n">
        <f aca="false">MIN(0.263*M326/1000*1013.25*100/EXP(17.67*D326/(D326+273.16-29.65)), 100)</f>
        <v>100</v>
      </c>
      <c r="X326" s="0" t="n">
        <f aca="false">(198.58*(1/(2/15*ACOS(-TAN(3.1416/180*$L$1)*TAN(3.1416/180*23.45*SIN((2*3.1416/365*(C326+284)))))/3.1416*180))^2+5.0551/(2/15*ACOS(-TAN(3.1416/180*$L$1)*TAN(3.1416/180*23.45*SIN((2*3.1416/365*(C326+284)))))/3.1416*180)+1.49)*G326*2.02</f>
        <v>308.349455669093</v>
      </c>
      <c r="Y326" s="424" t="n">
        <f aca="false">H326</f>
        <v>7.6</v>
      </c>
      <c r="Z326" s="424" t="n">
        <f aca="false">I326</f>
        <v>1</v>
      </c>
    </row>
    <row r="327" customFormat="false" ht="15.75" hidden="false" customHeight="false" outlineLevel="0" collapsed="false">
      <c r="B327" s="0" t="n">
        <v>1950</v>
      </c>
      <c r="C327" s="424" t="n">
        <v>326</v>
      </c>
      <c r="D327" s="0" t="n">
        <v>7.2999997</v>
      </c>
      <c r="E327" s="0" t="n">
        <v>11.49</v>
      </c>
      <c r="F327" s="0" t="n">
        <v>92.8</v>
      </c>
      <c r="G327" s="0" t="n">
        <v>49</v>
      </c>
      <c r="H327" s="0" t="n">
        <v>11.900001</v>
      </c>
      <c r="I327" s="0" t="n">
        <v>1</v>
      </c>
      <c r="M327" s="0" t="n">
        <f aca="false">F327/0.263*1000/1013.25/100*EXP(17.67*(D327+E327)/2/((D327+E327)/2+273.16-29.65))</f>
        <v>6.71353613513481</v>
      </c>
      <c r="R327" s="424" t="n">
        <f aca="false">B327</f>
        <v>1950</v>
      </c>
      <c r="S327" s="424" t="n">
        <f aca="false">C327</f>
        <v>326</v>
      </c>
      <c r="T327" s="424" t="n">
        <f aca="false">D327</f>
        <v>7.2999997</v>
      </c>
      <c r="U327" s="424" t="n">
        <f aca="false">E327</f>
        <v>11.49</v>
      </c>
      <c r="V327" s="0" t="n">
        <f aca="false">MIN(0.263*M327/1000*1013.25*100/EXP(17.67*E327/(E327+273.16-29.65)), 100)</f>
        <v>80.6943306726192</v>
      </c>
      <c r="W327" s="0" t="n">
        <f aca="false">MIN(0.263*M327/1000*1013.25*100/EXP(17.67*D327/(D327+273.16-29.65)), 100)</f>
        <v>100</v>
      </c>
      <c r="X327" s="0" t="n">
        <f aca="false">(198.58*(1/(2/15*ACOS(-TAN(3.1416/180*$L$1)*TAN(3.1416/180*23.45*SIN((2*3.1416/365*(C327+284)))))/3.1416*180))^2+5.0551/(2/15*ACOS(-TAN(3.1416/180*$L$1)*TAN(3.1416/180*23.45*SIN((2*3.1416/365*(C327+284)))))/3.1416*180)+1.49)*G327*2.02</f>
        <v>446.345272348273</v>
      </c>
      <c r="Y327" s="424" t="n">
        <f aca="false">H327</f>
        <v>11.900001</v>
      </c>
      <c r="Z327" s="424" t="n">
        <f aca="false">I327</f>
        <v>1</v>
      </c>
    </row>
    <row r="328" customFormat="false" ht="15.75" hidden="false" customHeight="false" outlineLevel="0" collapsed="false">
      <c r="B328" s="0" t="n">
        <v>1950</v>
      </c>
      <c r="C328" s="424" t="n">
        <v>327</v>
      </c>
      <c r="D328" s="0" t="n">
        <v>5.15</v>
      </c>
      <c r="E328" s="0" t="n">
        <v>12.83</v>
      </c>
      <c r="F328" s="0" t="n">
        <v>90.17</v>
      </c>
      <c r="G328" s="0" t="n">
        <v>52</v>
      </c>
      <c r="H328" s="0" t="n">
        <v>8.1</v>
      </c>
      <c r="I328" s="0" t="n">
        <v>1</v>
      </c>
      <c r="M328" s="0" t="n">
        <f aca="false">F328/0.263*1000/1013.25/100*EXP(17.67*(D328+E328)/2/((D328+E328)/2+273.16-29.65))</f>
        <v>6.34766375112859</v>
      </c>
      <c r="R328" s="424" t="n">
        <f aca="false">B328</f>
        <v>1950</v>
      </c>
      <c r="S328" s="424" t="n">
        <f aca="false">C328</f>
        <v>327</v>
      </c>
      <c r="T328" s="424" t="n">
        <f aca="false">D328</f>
        <v>5.15</v>
      </c>
      <c r="U328" s="424" t="n">
        <f aca="false">E328</f>
        <v>12.83</v>
      </c>
      <c r="V328" s="0" t="n">
        <f aca="false">MIN(0.263*M328/1000*1013.25*100/EXP(17.67*E328/(E328+273.16-29.65)), 100)</f>
        <v>69.8550683232531</v>
      </c>
      <c r="W328" s="0" t="n">
        <f aca="false">MIN(0.263*M328/1000*1013.25*100/EXP(17.67*D328/(D328+273.16-29.65)), 100)</f>
        <v>100</v>
      </c>
      <c r="X328" s="0" t="n">
        <f aca="false">(198.58*(1/(2/15*ACOS(-TAN(3.1416/180*$L$1)*TAN(3.1416/180*23.45*SIN((2*3.1416/365*(C328+284)))))/3.1416*180))^2+5.0551/(2/15*ACOS(-TAN(3.1416/180*$L$1)*TAN(3.1416/180*23.45*SIN((2*3.1416/365*(C328+284)))))/3.1416*180)+1.49)*G328*2.02</f>
        <v>475.716235246943</v>
      </c>
      <c r="Y328" s="424" t="n">
        <f aca="false">H328</f>
        <v>8.1</v>
      </c>
      <c r="Z328" s="424" t="n">
        <f aca="false">I328</f>
        <v>1</v>
      </c>
    </row>
    <row r="329" customFormat="false" ht="15.75" hidden="false" customHeight="false" outlineLevel="0" collapsed="false">
      <c r="B329" s="0" t="n">
        <v>1950</v>
      </c>
      <c r="C329" s="424" t="n">
        <v>328</v>
      </c>
      <c r="D329" s="0" t="n">
        <v>7.64</v>
      </c>
      <c r="E329" s="0" t="n">
        <v>14.32</v>
      </c>
      <c r="F329" s="0" t="n">
        <v>93.96364</v>
      </c>
      <c r="G329" s="0" t="n">
        <v>75</v>
      </c>
      <c r="H329" s="0" t="n">
        <v>9.900001</v>
      </c>
      <c r="I329" s="0" t="n">
        <v>1</v>
      </c>
      <c r="M329" s="0" t="n">
        <f aca="false">F329/0.263*1000/1013.25/100*EXP(17.67*(D329+E329)/2/((D329+E329)/2+273.16-29.65))</f>
        <v>7.55757319952632</v>
      </c>
      <c r="R329" s="424" t="n">
        <f aca="false">B329</f>
        <v>1950</v>
      </c>
      <c r="S329" s="424" t="n">
        <f aca="false">C329</f>
        <v>328</v>
      </c>
      <c r="T329" s="424" t="n">
        <f aca="false">D329</f>
        <v>7.64</v>
      </c>
      <c r="U329" s="424" t="n">
        <f aca="false">E329</f>
        <v>14.32</v>
      </c>
      <c r="V329" s="0" t="n">
        <f aca="false">MIN(0.263*M329/1000*1013.25*100/EXP(17.67*E329/(E329+273.16-29.65)), 100)</f>
        <v>75.4810711541115</v>
      </c>
      <c r="W329" s="0" t="n">
        <f aca="false">MIN(0.263*M329/1000*1013.25*100/EXP(17.67*D329/(D329+273.16-29.65)), 100)</f>
        <v>100</v>
      </c>
      <c r="X329" s="0" t="n">
        <f aca="false">(198.58*(1/(2/15*ACOS(-TAN(3.1416/180*$L$1)*TAN(3.1416/180*23.45*SIN((2*3.1416/365*(C329+284)))))/3.1416*180))^2+5.0551/(2/15*ACOS(-TAN(3.1416/180*$L$1)*TAN(3.1416/180*23.45*SIN((2*3.1416/365*(C329+284)))))/3.1416*180)+1.49)*G329*2.02</f>
        <v>689.021527859685</v>
      </c>
      <c r="Y329" s="424" t="n">
        <f aca="false">H329</f>
        <v>9.900001</v>
      </c>
      <c r="Z329" s="424" t="n">
        <f aca="false">I329</f>
        <v>1</v>
      </c>
    </row>
    <row r="330" customFormat="false" ht="15.75" hidden="false" customHeight="false" outlineLevel="0" collapsed="false">
      <c r="B330" s="0" t="n">
        <v>1950</v>
      </c>
      <c r="C330" s="424" t="n">
        <v>329</v>
      </c>
      <c r="D330" s="0" t="n">
        <v>10.92</v>
      </c>
      <c r="E330" s="0" t="n">
        <v>18.449999</v>
      </c>
      <c r="F330" s="0" t="n">
        <v>89.17</v>
      </c>
      <c r="G330" s="0" t="n">
        <v>61</v>
      </c>
      <c r="H330" s="0" t="n">
        <v>0</v>
      </c>
      <c r="I330" s="0" t="n">
        <v>1</v>
      </c>
      <c r="M330" s="0" t="n">
        <f aca="false">F330/0.263*1000/1013.25/100*EXP(17.67*(D330+E330)/2/((D330+E330)/2+273.16-29.65))</f>
        <v>9.1413205858257</v>
      </c>
      <c r="R330" s="424" t="n">
        <f aca="false">B330</f>
        <v>1950</v>
      </c>
      <c r="S330" s="424" t="n">
        <f aca="false">C330</f>
        <v>329</v>
      </c>
      <c r="T330" s="424" t="n">
        <f aca="false">D330</f>
        <v>10.92</v>
      </c>
      <c r="U330" s="424" t="n">
        <f aca="false">E330</f>
        <v>18.449999</v>
      </c>
      <c r="V330" s="0" t="n">
        <f aca="false">MIN(0.263*M330/1000*1013.25*100/EXP(17.67*E330/(E330+273.16-29.65)), 100)</f>
        <v>70.1775278753927</v>
      </c>
      <c r="W330" s="0" t="n">
        <f aca="false">MIN(0.263*M330/1000*1013.25*100/EXP(17.67*D330/(D330+273.16-29.65)), 100)</f>
        <v>100</v>
      </c>
      <c r="X330" s="0" t="n">
        <f aca="false">(198.58*(1/(2/15*ACOS(-TAN(3.1416/180*$L$1)*TAN(3.1416/180*23.45*SIN((2*3.1416/365*(C330+284)))))/3.1416*180))^2+5.0551/(2/15*ACOS(-TAN(3.1416/180*$L$1)*TAN(3.1416/180*23.45*SIN((2*3.1416/365*(C330+284)))))/3.1416*180)+1.49)*G330*2.02</f>
        <v>562.708315637887</v>
      </c>
      <c r="Y330" s="424" t="n">
        <f aca="false">H330</f>
        <v>0</v>
      </c>
      <c r="Z330" s="424" t="n">
        <f aca="false">I330</f>
        <v>1</v>
      </c>
    </row>
    <row r="331" customFormat="false" ht="15.75" hidden="false" customHeight="false" outlineLevel="0" collapsed="false">
      <c r="B331" s="0" t="n">
        <v>1950</v>
      </c>
      <c r="C331" s="424" t="n">
        <v>330</v>
      </c>
      <c r="D331" s="0" t="n">
        <v>11.49</v>
      </c>
      <c r="E331" s="0" t="n">
        <v>15.67</v>
      </c>
      <c r="F331" s="0" t="n">
        <v>93.50001</v>
      </c>
      <c r="G331" s="0" t="n">
        <v>37</v>
      </c>
      <c r="H331" s="0" t="n">
        <v>3.2</v>
      </c>
      <c r="I331" s="0" t="n">
        <v>1</v>
      </c>
      <c r="M331" s="0" t="n">
        <f aca="false">F331/0.263*1000/1013.25/100*EXP(17.67*(D331+E331)/2/((D331+E331)/2+273.16-29.65))</f>
        <v>8.92265732899745</v>
      </c>
      <c r="R331" s="424" t="n">
        <f aca="false">B331</f>
        <v>1950</v>
      </c>
      <c r="S331" s="424" t="n">
        <f aca="false">C331</f>
        <v>330</v>
      </c>
      <c r="T331" s="424" t="n">
        <f aca="false">D331</f>
        <v>11.49</v>
      </c>
      <c r="U331" s="424" t="n">
        <f aca="false">E331</f>
        <v>15.67</v>
      </c>
      <c r="V331" s="0" t="n">
        <f aca="false">MIN(0.263*M331/1000*1013.25*100/EXP(17.67*E331/(E331+273.16-29.65)), 100)</f>
        <v>81.6955137583895</v>
      </c>
      <c r="W331" s="0" t="n">
        <f aca="false">MIN(0.263*M331/1000*1013.25*100/EXP(17.67*D331/(D331+273.16-29.65)), 100)</f>
        <v>100</v>
      </c>
      <c r="X331" s="0" t="n">
        <f aca="false">(198.58*(1/(2/15*ACOS(-TAN(3.1416/180*$L$1)*TAN(3.1416/180*23.45*SIN((2*3.1416/365*(C331+284)))))/3.1416*180))^2+5.0551/(2/15*ACOS(-TAN(3.1416/180*$L$1)*TAN(3.1416/180*23.45*SIN((2*3.1416/365*(C331+284)))))/3.1416*180)+1.49)*G331*2.02</f>
        <v>342.681146507125</v>
      </c>
      <c r="Y331" s="424" t="n">
        <f aca="false">H331</f>
        <v>3.2</v>
      </c>
      <c r="Z331" s="424" t="n">
        <f aca="false">I331</f>
        <v>1</v>
      </c>
    </row>
    <row r="332" customFormat="false" ht="15.75" hidden="false" customHeight="false" outlineLevel="0" collapsed="false">
      <c r="B332" s="0" t="n">
        <v>1950</v>
      </c>
      <c r="C332" s="424" t="n">
        <v>331</v>
      </c>
      <c r="D332" s="0" t="n">
        <v>8</v>
      </c>
      <c r="E332" s="0" t="n">
        <v>15.88</v>
      </c>
      <c r="F332" s="0" t="n">
        <v>94.03334</v>
      </c>
      <c r="G332" s="0" t="n">
        <v>47</v>
      </c>
      <c r="H332" s="0" t="n">
        <v>0</v>
      </c>
      <c r="I332" s="0" t="n">
        <v>1</v>
      </c>
      <c r="M332" s="0" t="n">
        <f aca="false">F332/0.263*1000/1013.25/100*EXP(17.67*(D332+E332)/2/((D332+E332)/2+273.16-29.65))</f>
        <v>8.05934061375282</v>
      </c>
      <c r="R332" s="424" t="n">
        <f aca="false">B332</f>
        <v>1950</v>
      </c>
      <c r="S332" s="424" t="n">
        <f aca="false">C332</f>
        <v>331</v>
      </c>
      <c r="T332" s="424" t="n">
        <f aca="false">D332</f>
        <v>8</v>
      </c>
      <c r="U332" s="424" t="n">
        <f aca="false">E332</f>
        <v>15.88</v>
      </c>
      <c r="V332" s="0" t="n">
        <f aca="false">MIN(0.263*M332/1000*1013.25*100/EXP(17.67*E332/(E332+273.16-29.65)), 100)</f>
        <v>72.8058599712327</v>
      </c>
      <c r="W332" s="0" t="n">
        <f aca="false">MIN(0.263*M332/1000*1013.25*100/EXP(17.67*D332/(D332+273.16-29.65)), 100)</f>
        <v>100</v>
      </c>
      <c r="X332" s="0" t="n">
        <f aca="false">(198.58*(1/(2/15*ACOS(-TAN(3.1416/180*$L$1)*TAN(3.1416/180*23.45*SIN((2*3.1416/365*(C332+284)))))/3.1416*180))^2+5.0551/(2/15*ACOS(-TAN(3.1416/180*$L$1)*TAN(3.1416/180*23.45*SIN((2*3.1416/365*(C332+284)))))/3.1416*180)+1.49)*G332*2.02</f>
        <v>436.990813606267</v>
      </c>
      <c r="Y332" s="424" t="n">
        <f aca="false">H332</f>
        <v>0</v>
      </c>
      <c r="Z332" s="424" t="n">
        <f aca="false">I332</f>
        <v>1</v>
      </c>
    </row>
    <row r="333" customFormat="false" ht="15.75" hidden="false" customHeight="false" outlineLevel="0" collapsed="false">
      <c r="B333" s="0" t="n">
        <v>1950</v>
      </c>
      <c r="C333" s="424" t="n">
        <v>332</v>
      </c>
      <c r="D333" s="0" t="n">
        <v>11.58</v>
      </c>
      <c r="E333" s="0" t="n">
        <v>17.18</v>
      </c>
      <c r="F333" s="0" t="n">
        <v>88.82</v>
      </c>
      <c r="G333" s="0" t="n">
        <v>39</v>
      </c>
      <c r="H333" s="0" t="n">
        <v>2.2</v>
      </c>
      <c r="I333" s="0" t="n">
        <v>1</v>
      </c>
      <c r="M333" s="0" t="n">
        <f aca="false">F333/0.263*1000/1013.25/100*EXP(17.67*(D333+E333)/2/((D333+E333)/2+273.16-29.65))</f>
        <v>8.92773565527538</v>
      </c>
      <c r="R333" s="424" t="n">
        <f aca="false">B333</f>
        <v>1950</v>
      </c>
      <c r="S333" s="424" t="n">
        <f aca="false">C333</f>
        <v>332</v>
      </c>
      <c r="T333" s="424" t="n">
        <f aca="false">D333</f>
        <v>11.58</v>
      </c>
      <c r="U333" s="424" t="n">
        <f aca="false">E333</f>
        <v>17.18</v>
      </c>
      <c r="V333" s="0" t="n">
        <f aca="false">MIN(0.263*M333/1000*1013.25*100/EXP(17.67*E333/(E333+273.16-29.65)), 100)</f>
        <v>74.2476305886968</v>
      </c>
      <c r="W333" s="0" t="n">
        <f aca="false">MIN(0.263*M333/1000*1013.25*100/EXP(17.67*D333/(D333+273.16-29.65)), 100)</f>
        <v>100</v>
      </c>
      <c r="X333" s="0" t="n">
        <f aca="false">(198.58*(1/(2/15*ACOS(-TAN(3.1416/180*$L$1)*TAN(3.1416/180*23.45*SIN((2*3.1416/365*(C333+284)))))/3.1416*180))^2+5.0551/(2/15*ACOS(-TAN(3.1416/180*$L$1)*TAN(3.1416/180*23.45*SIN((2*3.1416/365*(C333+284)))))/3.1416*180)+1.49)*G333*2.02</f>
        <v>363.977015527615</v>
      </c>
      <c r="Y333" s="424" t="n">
        <f aca="false">H333</f>
        <v>2.2</v>
      </c>
      <c r="Z333" s="424" t="n">
        <f aca="false">I333</f>
        <v>1</v>
      </c>
    </row>
    <row r="334" customFormat="false" ht="15.75" hidden="false" customHeight="false" outlineLevel="0" collapsed="false">
      <c r="B334" s="0" t="n">
        <v>1950</v>
      </c>
      <c r="C334" s="424" t="n">
        <v>333</v>
      </c>
      <c r="D334" s="0" t="n">
        <v>9.33</v>
      </c>
      <c r="E334" s="0" t="n">
        <v>14.74</v>
      </c>
      <c r="F334" s="0" t="n">
        <v>87.15</v>
      </c>
      <c r="G334" s="0" t="n">
        <v>22</v>
      </c>
      <c r="H334" s="0" t="n">
        <v>5.8</v>
      </c>
      <c r="I334" s="0" t="n">
        <v>1</v>
      </c>
      <c r="M334" s="0" t="n">
        <f aca="false">F334/0.263*1000/1013.25/100*EXP(17.67*(D334+E334)/2/((D334+E334)/2+273.16-29.65))</f>
        <v>7.51630739615629</v>
      </c>
      <c r="R334" s="424" t="n">
        <f aca="false">B334</f>
        <v>1950</v>
      </c>
      <c r="S334" s="424" t="n">
        <f aca="false">C334</f>
        <v>333</v>
      </c>
      <c r="T334" s="424" t="n">
        <f aca="false">D334</f>
        <v>9.33</v>
      </c>
      <c r="U334" s="424" t="n">
        <f aca="false">E334</f>
        <v>14.74</v>
      </c>
      <c r="V334" s="0" t="n">
        <f aca="false">MIN(0.263*M334/1000*1013.25*100/EXP(17.67*E334/(E334+273.16-29.65)), 100)</f>
        <v>73.058871088971</v>
      </c>
      <c r="W334" s="0" t="n">
        <f aca="false">MIN(0.263*M334/1000*1013.25*100/EXP(17.67*D334/(D334+273.16-29.65)), 100)</f>
        <v>100</v>
      </c>
      <c r="X334" s="0" t="n">
        <f aca="false">(198.58*(1/(2/15*ACOS(-TAN(3.1416/180*$L$1)*TAN(3.1416/180*23.45*SIN((2*3.1416/365*(C334+284)))))/3.1416*180))^2+5.0551/(2/15*ACOS(-TAN(3.1416/180*$L$1)*TAN(3.1416/180*23.45*SIN((2*3.1416/365*(C334+284)))))/3.1416*180)+1.49)*G334*2.02</f>
        <v>206.069569765221</v>
      </c>
      <c r="Y334" s="424" t="n">
        <f aca="false">H334</f>
        <v>5.8</v>
      </c>
      <c r="Z334" s="424" t="n">
        <f aca="false">I334</f>
        <v>1</v>
      </c>
    </row>
    <row r="335" customFormat="false" ht="15.75" hidden="false" customHeight="false" outlineLevel="0" collapsed="false">
      <c r="B335" s="0" t="n">
        <v>1950</v>
      </c>
      <c r="C335" s="424" t="n">
        <v>334</v>
      </c>
      <c r="D335" s="0" t="n">
        <v>5.3199997</v>
      </c>
      <c r="E335" s="0" t="n">
        <v>12.21</v>
      </c>
      <c r="F335" s="0" t="n">
        <v>92.52354</v>
      </c>
      <c r="G335" s="0" t="n">
        <v>67</v>
      </c>
      <c r="H335" s="0" t="n">
        <v>0</v>
      </c>
      <c r="I335" s="0" t="n">
        <v>1</v>
      </c>
      <c r="M335" s="0" t="n">
        <f aca="false">F335/0.263*1000/1013.25/100*EXP(17.67*(D335+E335)/2/((D335+E335)/2+273.16-29.65))</f>
        <v>6.41510046542447</v>
      </c>
      <c r="R335" s="424" t="n">
        <f aca="false">B335</f>
        <v>1950</v>
      </c>
      <c r="S335" s="424" t="n">
        <f aca="false">C335</f>
        <v>334</v>
      </c>
      <c r="T335" s="424" t="n">
        <f aca="false">D335</f>
        <v>5.3199997</v>
      </c>
      <c r="U335" s="424" t="n">
        <f aca="false">E335</f>
        <v>12.21</v>
      </c>
      <c r="V335" s="0" t="n">
        <f aca="false">MIN(0.263*M335/1000*1013.25*100/EXP(17.67*E335/(E335+273.16-29.65)), 100)</f>
        <v>73.5295684421571</v>
      </c>
      <c r="W335" s="0" t="n">
        <f aca="false">MIN(0.263*M335/1000*1013.25*100/EXP(17.67*D335/(D335+273.16-29.65)), 100)</f>
        <v>100</v>
      </c>
      <c r="X335" s="0" t="n">
        <f aca="false">(198.58*(1/(2/15*ACOS(-TAN(3.1416/180*$L$1)*TAN(3.1416/180*23.45*SIN((2*3.1416/365*(C335+284)))))/3.1416*180))^2+5.0551/(2/15*ACOS(-TAN(3.1416/180*$L$1)*TAN(3.1416/180*23.45*SIN((2*3.1416/365*(C335+284)))))/3.1416*180)+1.49)*G335*2.02</f>
        <v>629.785644267047</v>
      </c>
      <c r="Y335" s="424" t="n">
        <f aca="false">H335</f>
        <v>0</v>
      </c>
      <c r="Z335" s="424" t="n">
        <f aca="false">I335</f>
        <v>1</v>
      </c>
    </row>
    <row r="336" customFormat="false" ht="15.75" hidden="false" customHeight="false" outlineLevel="0" collapsed="false">
      <c r="B336" s="0" t="n">
        <v>1950</v>
      </c>
      <c r="C336" s="424" t="n">
        <v>335</v>
      </c>
      <c r="D336" s="0" t="n">
        <v>1.51</v>
      </c>
      <c r="E336" s="0" t="n">
        <v>14.82</v>
      </c>
      <c r="F336" s="0" t="n">
        <v>87.525</v>
      </c>
      <c r="G336" s="0" t="n">
        <v>74</v>
      </c>
      <c r="H336" s="0" t="n">
        <v>0</v>
      </c>
      <c r="I336" s="0" t="n">
        <v>1</v>
      </c>
      <c r="M336" s="0" t="n">
        <f aca="false">F336/0.263*1000/1013.25/100*EXP(17.67*(D336+E336)/2/((D336+E336)/2+273.16-29.65))</f>
        <v>5.82671799128069</v>
      </c>
      <c r="R336" s="424" t="n">
        <f aca="false">B336</f>
        <v>1950</v>
      </c>
      <c r="S336" s="424" t="n">
        <f aca="false">C336</f>
        <v>335</v>
      </c>
      <c r="T336" s="424" t="n">
        <f aca="false">D336</f>
        <v>1.51</v>
      </c>
      <c r="U336" s="424" t="n">
        <f aca="false">E336</f>
        <v>14.82</v>
      </c>
      <c r="V336" s="0" t="n">
        <f aca="false">MIN(0.263*M336/1000*1013.25*100/EXP(17.67*E336/(E336+273.16-29.65)), 100)</f>
        <v>56.3445058781777</v>
      </c>
      <c r="W336" s="0" t="n">
        <f aca="false">MIN(0.263*M336/1000*1013.25*100/EXP(17.67*D336/(D336+273.16-29.65)), 100)</f>
        <v>100</v>
      </c>
      <c r="X336" s="0" t="n">
        <f aca="false">(198.58*(1/(2/15*ACOS(-TAN(3.1416/180*$L$1)*TAN(3.1416/180*23.45*SIN((2*3.1416/365*(C336+284)))))/3.1416*180))^2+5.0551/(2/15*ACOS(-TAN(3.1416/180*$L$1)*TAN(3.1416/180*23.45*SIN((2*3.1416/365*(C336+284)))))/3.1416*180)+1.49)*G336*2.02</f>
        <v>697.942150143282</v>
      </c>
      <c r="Y336" s="424" t="n">
        <f aca="false">H336</f>
        <v>0</v>
      </c>
      <c r="Z336" s="424" t="n">
        <f aca="false">I336</f>
        <v>1</v>
      </c>
    </row>
    <row r="337" customFormat="false" ht="15.75" hidden="false" customHeight="false" outlineLevel="0" collapsed="false">
      <c r="B337" s="0" t="n">
        <v>1950</v>
      </c>
      <c r="C337" s="424" t="n">
        <v>336</v>
      </c>
      <c r="D337" s="0" t="n">
        <v>9.11</v>
      </c>
      <c r="E337" s="0" t="n">
        <v>16.34</v>
      </c>
      <c r="F337" s="0" t="n">
        <v>79.215004</v>
      </c>
      <c r="G337" s="0" t="n">
        <v>48</v>
      </c>
      <c r="H337" s="0" t="n">
        <v>3</v>
      </c>
      <c r="I337" s="0" t="n">
        <v>1</v>
      </c>
      <c r="M337" s="0" t="n">
        <f aca="false">F337/0.263*1000/1013.25/100*EXP(17.67*(D337+E337)/2/((D337+E337)/2+273.16-29.65))</f>
        <v>7.14885002399926</v>
      </c>
      <c r="R337" s="424" t="n">
        <f aca="false">B337</f>
        <v>1950</v>
      </c>
      <c r="S337" s="424" t="n">
        <f aca="false">C337</f>
        <v>336</v>
      </c>
      <c r="T337" s="424" t="n">
        <f aca="false">D337</f>
        <v>9.11</v>
      </c>
      <c r="U337" s="424" t="n">
        <f aca="false">E337</f>
        <v>16.34</v>
      </c>
      <c r="V337" s="0" t="n">
        <f aca="false">MIN(0.263*M337/1000*1013.25*100/EXP(17.67*E337/(E337+273.16-29.65)), 100)</f>
        <v>62.7118771036207</v>
      </c>
      <c r="W337" s="0" t="n">
        <f aca="false">MIN(0.263*M337/1000*1013.25*100/EXP(17.67*D337/(D337+273.16-29.65)), 100)</f>
        <v>100</v>
      </c>
      <c r="X337" s="0" t="n">
        <f aca="false">(198.58*(1/(2/15*ACOS(-TAN(3.1416/180*$L$1)*TAN(3.1416/180*23.45*SIN((2*3.1416/365*(C337+284)))))/3.1416*180))^2+5.0551/(2/15*ACOS(-TAN(3.1416/180*$L$1)*TAN(3.1416/180*23.45*SIN((2*3.1416/365*(C337+284)))))/3.1416*180)+1.49)*G337*2.02</f>
        <v>454.192293182832</v>
      </c>
      <c r="Y337" s="424" t="n">
        <f aca="false">H337</f>
        <v>3</v>
      </c>
      <c r="Z337" s="424" t="n">
        <f aca="false">I337</f>
        <v>1</v>
      </c>
    </row>
    <row r="338" customFormat="false" ht="15.75" hidden="false" customHeight="false" outlineLevel="0" collapsed="false">
      <c r="B338" s="0" t="n">
        <v>1950</v>
      </c>
      <c r="C338" s="424" t="n">
        <v>337</v>
      </c>
      <c r="D338" s="0" t="n">
        <v>5.62</v>
      </c>
      <c r="E338" s="0" t="n">
        <v>10.32</v>
      </c>
      <c r="F338" s="0" t="n">
        <v>92.57223</v>
      </c>
      <c r="G338" s="0" t="n">
        <v>35</v>
      </c>
      <c r="H338" s="0" t="n">
        <v>2.8</v>
      </c>
      <c r="I338" s="0" t="n">
        <v>1</v>
      </c>
      <c r="M338" s="0" t="n">
        <f aca="false">F338/0.263*1000/1013.25/100*EXP(17.67*(D338+E338)/2/((D338+E338)/2+273.16-29.65))</f>
        <v>6.08156249981052</v>
      </c>
      <c r="R338" s="424" t="n">
        <f aca="false">B338</f>
        <v>1950</v>
      </c>
      <c r="S338" s="424" t="n">
        <f aca="false">C338</f>
        <v>337</v>
      </c>
      <c r="T338" s="424" t="n">
        <f aca="false">D338</f>
        <v>5.62</v>
      </c>
      <c r="U338" s="424" t="n">
        <f aca="false">E338</f>
        <v>10.32</v>
      </c>
      <c r="V338" s="0" t="n">
        <f aca="false">MIN(0.263*M338/1000*1013.25*100/EXP(17.67*E338/(E338+273.16-29.65)), 100)</f>
        <v>79.0106018023439</v>
      </c>
      <c r="W338" s="0" t="n">
        <f aca="false">MIN(0.263*M338/1000*1013.25*100/EXP(17.67*D338/(D338+273.16-29.65)), 100)</f>
        <v>100</v>
      </c>
      <c r="X338" s="0" t="n">
        <f aca="false">(198.58*(1/(2/15*ACOS(-TAN(3.1416/180*$L$1)*TAN(3.1416/180*23.45*SIN((2*3.1416/365*(C338+284)))))/3.1416*180))^2+5.0551/(2/15*ACOS(-TAN(3.1416/180*$L$1)*TAN(3.1416/180*23.45*SIN((2*3.1416/365*(C338+284)))))/3.1416*180)+1.49)*G338*2.02</f>
        <v>332.212959845657</v>
      </c>
      <c r="Y338" s="424" t="n">
        <f aca="false">H338</f>
        <v>2.8</v>
      </c>
      <c r="Z338" s="424" t="n">
        <f aca="false">I338</f>
        <v>1</v>
      </c>
    </row>
    <row r="339" customFormat="false" ht="15.75" hidden="false" customHeight="false" outlineLevel="0" collapsed="false">
      <c r="B339" s="0" t="n">
        <v>1950</v>
      </c>
      <c r="C339" s="424" t="n">
        <v>338</v>
      </c>
      <c r="D339" s="0" t="n">
        <v>0.44</v>
      </c>
      <c r="E339" s="0" t="n">
        <v>7.2999997</v>
      </c>
      <c r="F339" s="0" t="n">
        <v>89.130005</v>
      </c>
      <c r="G339" s="0" t="n">
        <v>27</v>
      </c>
      <c r="H339" s="0" t="n">
        <v>0</v>
      </c>
      <c r="I339" s="0" t="n">
        <v>1</v>
      </c>
      <c r="M339" s="0" t="n">
        <f aca="false">F339/0.263*1000/1013.25/100*EXP(17.67*(D339+E339)/2/((D339+E339)/2+273.16-29.65))</f>
        <v>4.40963830642866</v>
      </c>
      <c r="R339" s="424" t="n">
        <f aca="false">B339</f>
        <v>1950</v>
      </c>
      <c r="S339" s="424" t="n">
        <f aca="false">C339</f>
        <v>338</v>
      </c>
      <c r="T339" s="424" t="n">
        <f aca="false">D339</f>
        <v>0.44</v>
      </c>
      <c r="U339" s="424" t="n">
        <f aca="false">E339</f>
        <v>7.2999997</v>
      </c>
      <c r="V339" s="0" t="n">
        <f aca="false">MIN(0.263*M339/1000*1013.25*100/EXP(17.67*E339/(E339+273.16-29.65)), 100)</f>
        <v>70.2617068661467</v>
      </c>
      <c r="W339" s="0" t="n">
        <f aca="false">MIN(0.263*M339/1000*1013.25*100/EXP(17.67*D339/(D339+273.16-29.65)), 100)</f>
        <v>100</v>
      </c>
      <c r="X339" s="0" t="n">
        <f aca="false">(198.58*(1/(2/15*ACOS(-TAN(3.1416/180*$L$1)*TAN(3.1416/180*23.45*SIN((2*3.1416/365*(C339+284)))))/3.1416*180))^2+5.0551/(2/15*ACOS(-TAN(3.1416/180*$L$1)*TAN(3.1416/180*23.45*SIN((2*3.1416/365*(C339+284)))))/3.1416*180)+1.49)*G339*2.02</f>
        <v>257.039373325459</v>
      </c>
      <c r="Y339" s="424" t="n">
        <f aca="false">H339</f>
        <v>0</v>
      </c>
      <c r="Z339" s="424" t="n">
        <f aca="false">I339</f>
        <v>1</v>
      </c>
    </row>
    <row r="340" customFormat="false" ht="15.75" hidden="false" customHeight="false" outlineLevel="0" collapsed="false">
      <c r="B340" s="0" t="n">
        <v>1950</v>
      </c>
      <c r="C340" s="424" t="n">
        <v>339</v>
      </c>
      <c r="D340" s="0" t="n">
        <v>-0.099999994</v>
      </c>
      <c r="E340" s="0" t="n">
        <v>5.1099997</v>
      </c>
      <c r="F340" s="0" t="n">
        <v>86.045</v>
      </c>
      <c r="G340" s="0" t="n">
        <v>17</v>
      </c>
      <c r="H340" s="0" t="n">
        <v>0</v>
      </c>
      <c r="I340" s="0" t="n">
        <v>1</v>
      </c>
      <c r="M340" s="0" t="n">
        <f aca="false">F340/0.263*1000/1013.25/100*EXP(17.67*(D340+E340)/2/((D340+E340)/2+273.16-29.65))</f>
        <v>3.86537934237682</v>
      </c>
      <c r="R340" s="424" t="n">
        <f aca="false">B340</f>
        <v>1950</v>
      </c>
      <c r="S340" s="424" t="n">
        <f aca="false">C340</f>
        <v>339</v>
      </c>
      <c r="T340" s="424" t="n">
        <f aca="false">D340</f>
        <v>-0.099999994</v>
      </c>
      <c r="U340" s="424" t="n">
        <f aca="false">E340</f>
        <v>5.1099997</v>
      </c>
      <c r="V340" s="0" t="n">
        <f aca="false">MIN(0.263*M340/1000*1013.25*100/EXP(17.67*E340/(E340+273.16-29.65)), 100)</f>
        <v>71.6370372883563</v>
      </c>
      <c r="W340" s="0" t="n">
        <f aca="false">MIN(0.263*M340/1000*1013.25*100/EXP(17.67*D340/(D340+273.16-29.65)), 100)</f>
        <v>100</v>
      </c>
      <c r="X340" s="0" t="n">
        <f aca="false">(198.58*(1/(2/15*ACOS(-TAN(3.1416/180*$L$1)*TAN(3.1416/180*23.45*SIN((2*3.1416/365*(C340+284)))))/3.1416*180))^2+5.0551/(2/15*ACOS(-TAN(3.1416/180*$L$1)*TAN(3.1416/180*23.45*SIN((2*3.1416/365*(C340+284)))))/3.1416*180)+1.49)*G340*2.02</f>
        <v>162.295980789741</v>
      </c>
      <c r="Y340" s="424" t="n">
        <f aca="false">H340</f>
        <v>0</v>
      </c>
      <c r="Z340" s="424" t="n">
        <f aca="false">I340</f>
        <v>1</v>
      </c>
    </row>
    <row r="341" customFormat="false" ht="15.75" hidden="false" customHeight="false" outlineLevel="0" collapsed="false">
      <c r="B341" s="0" t="n">
        <v>1950</v>
      </c>
      <c r="C341" s="424" t="n">
        <v>340</v>
      </c>
      <c r="D341" s="0" t="n">
        <v>0.39</v>
      </c>
      <c r="E341" s="0" t="n">
        <v>4.21</v>
      </c>
      <c r="F341" s="0" t="n">
        <v>76</v>
      </c>
      <c r="G341" s="0" t="n">
        <v>17</v>
      </c>
      <c r="H341" s="0" t="n">
        <v>0</v>
      </c>
      <c r="I341" s="0" t="n">
        <v>1</v>
      </c>
      <c r="M341" s="0" t="n">
        <f aca="false">F341/0.263*1000/1013.25/100*EXP(17.67*(D341+E341)/2/((D341+E341)/2+273.16-29.65))</f>
        <v>3.36469200329168</v>
      </c>
      <c r="R341" s="424" t="n">
        <f aca="false">B341</f>
        <v>1950</v>
      </c>
      <c r="S341" s="424" t="n">
        <f aca="false">C341</f>
        <v>340</v>
      </c>
      <c r="T341" s="424" t="n">
        <f aca="false">D341</f>
        <v>0.39</v>
      </c>
      <c r="U341" s="424" t="n">
        <f aca="false">E341</f>
        <v>4.21</v>
      </c>
      <c r="V341" s="0" t="n">
        <f aca="false">MIN(0.263*M341/1000*1013.25*100/EXP(17.67*E341/(E341+273.16-29.65)), 100)</f>
        <v>66.40463146295</v>
      </c>
      <c r="W341" s="0" t="n">
        <f aca="false">MIN(0.263*M341/1000*1013.25*100/EXP(17.67*D341/(D341+273.16-29.65)), 100)</f>
        <v>87.1659473487019</v>
      </c>
      <c r="X341" s="0" t="n">
        <f aca="false">(198.58*(1/(2/15*ACOS(-TAN(3.1416/180*$L$1)*TAN(3.1416/180*23.45*SIN((2*3.1416/365*(C341+284)))))/3.1416*180))^2+5.0551/(2/15*ACOS(-TAN(3.1416/180*$L$1)*TAN(3.1416/180*23.45*SIN((2*3.1416/365*(C341+284)))))/3.1416*180)+1.49)*G341*2.02</f>
        <v>162.728867370277</v>
      </c>
      <c r="Y341" s="424" t="n">
        <f aca="false">H341</f>
        <v>0</v>
      </c>
      <c r="Z341" s="424" t="n">
        <f aca="false">I341</f>
        <v>1</v>
      </c>
    </row>
    <row r="342" customFormat="false" ht="15.75" hidden="false" customHeight="false" outlineLevel="0" collapsed="false">
      <c r="B342" s="0" t="n">
        <v>1950</v>
      </c>
      <c r="C342" s="424" t="n">
        <v>341</v>
      </c>
      <c r="D342" s="0" t="n">
        <v>-3.56</v>
      </c>
      <c r="E342" s="0" t="n">
        <v>8.65</v>
      </c>
      <c r="F342" s="0" t="n">
        <v>88.295</v>
      </c>
      <c r="G342" s="0" t="n">
        <v>31</v>
      </c>
      <c r="H342" s="0" t="n">
        <v>5</v>
      </c>
      <c r="I342" s="0" t="n">
        <v>1</v>
      </c>
      <c r="M342" s="0" t="n">
        <f aca="false">F342/0.263*1000/1013.25/100*EXP(17.67*(D342+E342)/2/((D342+E342)/2+273.16-29.65))</f>
        <v>3.97774939595605</v>
      </c>
      <c r="R342" s="424" t="n">
        <f aca="false">B342</f>
        <v>1950</v>
      </c>
      <c r="S342" s="424" t="n">
        <f aca="false">C342</f>
        <v>341</v>
      </c>
      <c r="T342" s="424" t="n">
        <f aca="false">D342</f>
        <v>-3.56</v>
      </c>
      <c r="U342" s="424" t="n">
        <f aca="false">E342</f>
        <v>8.65</v>
      </c>
      <c r="V342" s="0" t="n">
        <f aca="false">MIN(0.263*M342/1000*1013.25*100/EXP(17.67*E342/(E342+273.16-29.65)), 100)</f>
        <v>57.8181765060474</v>
      </c>
      <c r="W342" s="0" t="n">
        <f aca="false">MIN(0.263*M342/1000*1013.25*100/EXP(17.67*D342/(D342+273.16-29.65)), 100)</f>
        <v>100</v>
      </c>
      <c r="X342" s="0" t="n">
        <f aca="false">(198.58*(1/(2/15*ACOS(-TAN(3.1416/180*$L$1)*TAN(3.1416/180*23.45*SIN((2*3.1416/365*(C342+284)))))/3.1416*180))^2+5.0551/(2/15*ACOS(-TAN(3.1416/180*$L$1)*TAN(3.1416/180*23.45*SIN((2*3.1416/365*(C342+284)))))/3.1416*180)+1.49)*G342*2.02</f>
        <v>297.485947291484</v>
      </c>
      <c r="Y342" s="424" t="n">
        <f aca="false">H342</f>
        <v>5</v>
      </c>
      <c r="Z342" s="424" t="n">
        <f aca="false">I342</f>
        <v>1</v>
      </c>
    </row>
    <row r="343" customFormat="false" ht="15.75" hidden="false" customHeight="false" outlineLevel="0" collapsed="false">
      <c r="B343" s="0" t="n">
        <v>1950</v>
      </c>
      <c r="C343" s="424" t="n">
        <v>342</v>
      </c>
      <c r="D343" s="0" t="n">
        <v>1.9599999</v>
      </c>
      <c r="E343" s="0" t="n">
        <v>8.889999</v>
      </c>
      <c r="F343" s="0" t="n">
        <v>92.54</v>
      </c>
      <c r="G343" s="0" t="n">
        <v>23</v>
      </c>
      <c r="H343" s="0" t="n">
        <v>0</v>
      </c>
      <c r="I343" s="0" t="n">
        <v>1</v>
      </c>
      <c r="M343" s="0" t="n">
        <f aca="false">F343/0.263*1000/1013.25/100*EXP(17.67*(D343+E343)/2/((D343+E343)/2+273.16-29.65))</f>
        <v>5.10381580988812</v>
      </c>
      <c r="R343" s="424" t="n">
        <f aca="false">B343</f>
        <v>1950</v>
      </c>
      <c r="S343" s="424" t="n">
        <f aca="false">C343</f>
        <v>342</v>
      </c>
      <c r="T343" s="424" t="n">
        <f aca="false">D343</f>
        <v>1.9599999</v>
      </c>
      <c r="U343" s="424" t="n">
        <f aca="false">E343</f>
        <v>8.889999</v>
      </c>
      <c r="V343" s="0" t="n">
        <f aca="false">MIN(0.263*M343/1000*1013.25*100/EXP(17.67*E343/(E343+273.16-29.65)), 100)</f>
        <v>72.9920117806907</v>
      </c>
      <c r="W343" s="0" t="n">
        <f aca="false">MIN(0.263*M343/1000*1013.25*100/EXP(17.67*D343/(D343+273.16-29.65)), 100)</f>
        <v>100</v>
      </c>
      <c r="X343" s="0" t="n">
        <f aca="false">(198.58*(1/(2/15*ACOS(-TAN(3.1416/180*$L$1)*TAN(3.1416/180*23.45*SIN((2*3.1416/365*(C343+284)))))/3.1416*180))^2+5.0551/(2/15*ACOS(-TAN(3.1416/180*$L$1)*TAN(3.1416/180*23.45*SIN((2*3.1416/365*(C343+284)))))/3.1416*180)+1.49)*G343*2.02</f>
        <v>221.234248226386</v>
      </c>
      <c r="Y343" s="424" t="n">
        <f aca="false">H343</f>
        <v>0</v>
      </c>
      <c r="Z343" s="424" t="n">
        <f aca="false">I343</f>
        <v>1</v>
      </c>
    </row>
    <row r="344" customFormat="false" ht="15.75" hidden="false" customHeight="false" outlineLevel="0" collapsed="false">
      <c r="B344" s="0" t="n">
        <v>1950</v>
      </c>
      <c r="C344" s="424" t="n">
        <v>343</v>
      </c>
      <c r="D344" s="0" t="n">
        <v>0.53999996</v>
      </c>
      <c r="E344" s="0" t="n">
        <v>8.17</v>
      </c>
      <c r="F344" s="0" t="n">
        <v>92.39375</v>
      </c>
      <c r="G344" s="0" t="n">
        <v>31</v>
      </c>
      <c r="H344" s="0" t="n">
        <v>0</v>
      </c>
      <c r="I344" s="0" t="n">
        <v>1</v>
      </c>
      <c r="M344" s="0" t="n">
        <f aca="false">F344/0.263*1000/1013.25/100*EXP(17.67*(D344+E344)/2/((D344+E344)/2+273.16-29.65))</f>
        <v>4.72936129424914</v>
      </c>
      <c r="R344" s="424" t="n">
        <f aca="false">B344</f>
        <v>1950</v>
      </c>
      <c r="S344" s="424" t="n">
        <f aca="false">C344</f>
        <v>343</v>
      </c>
      <c r="T344" s="424" t="n">
        <f aca="false">D344</f>
        <v>0.53999996</v>
      </c>
      <c r="U344" s="424" t="n">
        <f aca="false">E344</f>
        <v>8.17</v>
      </c>
      <c r="V344" s="0" t="n">
        <f aca="false">MIN(0.263*M344/1000*1013.25*100/EXP(17.67*E344/(E344+273.16-29.65)), 100)</f>
        <v>71.0171278233049</v>
      </c>
      <c r="W344" s="0" t="n">
        <f aca="false">MIN(0.263*M344/1000*1013.25*100/EXP(17.67*D344/(D344+273.16-29.65)), 100)</f>
        <v>100</v>
      </c>
      <c r="X344" s="0" t="n">
        <f aca="false">(198.58*(1/(2/15*ACOS(-TAN(3.1416/180*$L$1)*TAN(3.1416/180*23.45*SIN((2*3.1416/365*(C344+284)))))/3.1416*180))^2+5.0551/(2/15*ACOS(-TAN(3.1416/180*$L$1)*TAN(3.1416/180*23.45*SIN((2*3.1416/365*(C344+284)))))/3.1416*180)+1.49)*G344*2.02</f>
        <v>298.837555662435</v>
      </c>
      <c r="Y344" s="424" t="n">
        <f aca="false">H344</f>
        <v>0</v>
      </c>
      <c r="Z344" s="424" t="n">
        <f aca="false">I344</f>
        <v>1</v>
      </c>
    </row>
    <row r="345" customFormat="false" ht="15.75" hidden="false" customHeight="false" outlineLevel="0" collapsed="false">
      <c r="B345" s="0" t="n">
        <v>1950</v>
      </c>
      <c r="C345" s="424" t="n">
        <v>344</v>
      </c>
      <c r="D345" s="0" t="n">
        <v>4.36</v>
      </c>
      <c r="E345" s="0" t="n">
        <v>10.73</v>
      </c>
      <c r="F345" s="0" t="n">
        <v>81.15</v>
      </c>
      <c r="G345" s="0" t="n">
        <v>56</v>
      </c>
      <c r="H345" s="0" t="n">
        <v>7.5</v>
      </c>
      <c r="I345" s="0" t="n">
        <v>1</v>
      </c>
      <c r="M345" s="0" t="n">
        <f aca="false">F345/0.263*1000/1013.25/100*EXP(17.67*(D345+E345)/2/((D345+E345)/2+273.16-29.65))</f>
        <v>5.17897407214038</v>
      </c>
      <c r="R345" s="424" t="n">
        <f aca="false">B345</f>
        <v>1950</v>
      </c>
      <c r="S345" s="424" t="n">
        <f aca="false">C345</f>
        <v>344</v>
      </c>
      <c r="T345" s="424" t="n">
        <f aca="false">D345</f>
        <v>4.36</v>
      </c>
      <c r="U345" s="424" t="n">
        <f aca="false">E345</f>
        <v>10.73</v>
      </c>
      <c r="V345" s="0" t="n">
        <f aca="false">MIN(0.263*M345/1000*1013.25*100/EXP(17.67*E345/(E345+273.16-29.65)), 100)</f>
        <v>65.4698938727031</v>
      </c>
      <c r="W345" s="0" t="n">
        <f aca="false">MIN(0.263*M345/1000*1013.25*100/EXP(17.67*D345/(D345+273.16-29.65)), 100)</f>
        <v>100</v>
      </c>
      <c r="X345" s="0" t="n">
        <f aca="false">(198.58*(1/(2/15*ACOS(-TAN(3.1416/180*$L$1)*TAN(3.1416/180*23.45*SIN((2*3.1416/365*(C345+284)))))/3.1416*180))^2+5.0551/(2/15*ACOS(-TAN(3.1416/180*$L$1)*TAN(3.1416/180*23.45*SIN((2*3.1416/365*(C345+284)))))/3.1416*180)+1.49)*G345*2.02</f>
        <v>540.926512433949</v>
      </c>
      <c r="Y345" s="424" t="n">
        <f aca="false">H345</f>
        <v>7.5</v>
      </c>
      <c r="Z345" s="424" t="n">
        <f aca="false">I345</f>
        <v>1</v>
      </c>
    </row>
    <row r="346" customFormat="false" ht="15.75" hidden="false" customHeight="false" outlineLevel="0" collapsed="false">
      <c r="B346" s="0" t="n">
        <v>1950</v>
      </c>
      <c r="C346" s="424" t="n">
        <v>345</v>
      </c>
      <c r="D346" s="0" t="n">
        <v>6.37</v>
      </c>
      <c r="E346" s="0" t="n">
        <v>9.69</v>
      </c>
      <c r="F346" s="0" t="n">
        <v>90.12</v>
      </c>
      <c r="G346" s="0" t="n">
        <v>36</v>
      </c>
      <c r="H346" s="0" t="n">
        <v>8.400001</v>
      </c>
      <c r="I346" s="0" t="n">
        <v>1</v>
      </c>
      <c r="M346" s="0" t="n">
        <f aca="false">F346/0.263*1000/1013.25/100*EXP(17.67*(D346+E346)/2/((D346+E346)/2+273.16-29.65))</f>
        <v>5.94467477111498</v>
      </c>
      <c r="R346" s="424" t="n">
        <f aca="false">B346</f>
        <v>1950</v>
      </c>
      <c r="S346" s="424" t="n">
        <f aca="false">C346</f>
        <v>345</v>
      </c>
      <c r="T346" s="424" t="n">
        <f aca="false">D346</f>
        <v>6.37</v>
      </c>
      <c r="U346" s="424" t="n">
        <f aca="false">E346</f>
        <v>9.69</v>
      </c>
      <c r="V346" s="0" t="n">
        <f aca="false">MIN(0.263*M346/1000*1013.25*100/EXP(17.67*E346/(E346+273.16-29.65)), 100)</f>
        <v>80.5593625582488</v>
      </c>
      <c r="W346" s="0" t="n">
        <f aca="false">MIN(0.263*M346/1000*1013.25*100/EXP(17.67*D346/(D346+273.16-29.65)), 100)</f>
        <v>100</v>
      </c>
      <c r="X346" s="0" t="n">
        <f aca="false">(198.58*(1/(2/15*ACOS(-TAN(3.1416/180*$L$1)*TAN(3.1416/180*23.45*SIN((2*3.1416/365*(C346+284)))))/3.1416*180))^2+5.0551/(2/15*ACOS(-TAN(3.1416/180*$L$1)*TAN(3.1416/180*23.45*SIN((2*3.1416/365*(C346+284)))))/3.1416*180)+1.49)*G346*2.02</f>
        <v>348.382232186891</v>
      </c>
      <c r="Y346" s="424" t="n">
        <f aca="false">H346</f>
        <v>8.400001</v>
      </c>
      <c r="Z346" s="424" t="n">
        <f aca="false">I346</f>
        <v>1</v>
      </c>
    </row>
    <row r="347" customFormat="false" ht="15.75" hidden="false" customHeight="false" outlineLevel="0" collapsed="false">
      <c r="B347" s="0" t="n">
        <v>1950</v>
      </c>
      <c r="C347" s="424" t="n">
        <v>346</v>
      </c>
      <c r="D347" s="0" t="n">
        <v>3.1299999</v>
      </c>
      <c r="E347" s="0" t="n">
        <v>7.1499996</v>
      </c>
      <c r="F347" s="0" t="n">
        <v>93.55</v>
      </c>
      <c r="G347" s="0" t="n">
        <v>33</v>
      </c>
      <c r="H347" s="0" t="n">
        <v>10</v>
      </c>
      <c r="I347" s="0" t="n">
        <v>1</v>
      </c>
      <c r="M347" s="0" t="n">
        <f aca="false">F347/0.263*1000/1013.25/100*EXP(17.67*(D347+E347)/2/((D347+E347)/2+273.16-29.65))</f>
        <v>5.0583065577161</v>
      </c>
      <c r="R347" s="424" t="n">
        <f aca="false">B347</f>
        <v>1950</v>
      </c>
      <c r="S347" s="424" t="n">
        <f aca="false">C347</f>
        <v>346</v>
      </c>
      <c r="T347" s="424" t="n">
        <f aca="false">D347</f>
        <v>3.1299999</v>
      </c>
      <c r="U347" s="424" t="n">
        <f aca="false">E347</f>
        <v>7.1499996</v>
      </c>
      <c r="V347" s="0" t="n">
        <f aca="false">MIN(0.263*M347/1000*1013.25*100/EXP(17.67*E347/(E347+273.16-29.65)), 100)</f>
        <v>81.4290713208348</v>
      </c>
      <c r="W347" s="0" t="n">
        <f aca="false">MIN(0.263*M347/1000*1013.25*100/EXP(17.67*D347/(D347+273.16-29.65)), 100)</f>
        <v>100</v>
      </c>
      <c r="X347" s="0" t="n">
        <f aca="false">(198.58*(1/(2/15*ACOS(-TAN(3.1416/180*$L$1)*TAN(3.1416/180*23.45*SIN((2*3.1416/365*(C347+284)))))/3.1416*180))^2+5.0551/(2/15*ACOS(-TAN(3.1416/180*$L$1)*TAN(3.1416/180*23.45*SIN((2*3.1416/365*(C347+284)))))/3.1416*180)+1.49)*G347*2.02</f>
        <v>319.886551013671</v>
      </c>
      <c r="Y347" s="424" t="n">
        <f aca="false">H347</f>
        <v>10</v>
      </c>
      <c r="Z347" s="424" t="n">
        <f aca="false">I347</f>
        <v>1</v>
      </c>
    </row>
    <row r="348" customFormat="false" ht="15.75" hidden="false" customHeight="false" outlineLevel="0" collapsed="false">
      <c r="B348" s="0" t="n">
        <v>1950</v>
      </c>
      <c r="C348" s="424" t="n">
        <v>347</v>
      </c>
      <c r="D348" s="0" t="n">
        <v>3.81</v>
      </c>
      <c r="E348" s="0" t="n">
        <v>10.5</v>
      </c>
      <c r="F348" s="0" t="n">
        <v>93.81539</v>
      </c>
      <c r="G348" s="0" t="n">
        <v>25</v>
      </c>
      <c r="H348" s="0" t="n">
        <v>22.5</v>
      </c>
      <c r="I348" s="0" t="n">
        <v>1</v>
      </c>
      <c r="M348" s="0" t="n">
        <f aca="false">F348/0.263*1000/1013.25/100*EXP(17.67*(D348+E348)/2/((D348+E348)/2+273.16-29.65))</f>
        <v>5.82973039647922</v>
      </c>
      <c r="R348" s="424" t="n">
        <f aca="false">B348</f>
        <v>1950</v>
      </c>
      <c r="S348" s="424" t="n">
        <f aca="false">C348</f>
        <v>347</v>
      </c>
      <c r="T348" s="424" t="n">
        <f aca="false">D348</f>
        <v>3.81</v>
      </c>
      <c r="U348" s="424" t="n">
        <f aca="false">E348</f>
        <v>10.5</v>
      </c>
      <c r="V348" s="0" t="n">
        <f aca="false">MIN(0.263*M348/1000*1013.25*100/EXP(17.67*E348/(E348+273.16-29.65)), 100)</f>
        <v>74.8344755428301</v>
      </c>
      <c r="W348" s="0" t="n">
        <f aca="false">MIN(0.263*M348/1000*1013.25*100/EXP(17.67*D348/(D348+273.16-29.65)), 100)</f>
        <v>100</v>
      </c>
      <c r="X348" s="0" t="n">
        <f aca="false">(198.58*(1/(2/15*ACOS(-TAN(3.1416/180*$L$1)*TAN(3.1416/180*23.45*SIN((2*3.1416/365*(C348+284)))))/3.1416*180))^2+5.0551/(2/15*ACOS(-TAN(3.1416/180*$L$1)*TAN(3.1416/180*23.45*SIN((2*3.1416/365*(C348+284)))))/3.1416*180)+1.49)*G348*2.02</f>
        <v>242.702795909745</v>
      </c>
      <c r="Y348" s="424" t="n">
        <f aca="false">H348</f>
        <v>22.5</v>
      </c>
      <c r="Z348" s="424" t="n">
        <f aca="false">I348</f>
        <v>1</v>
      </c>
    </row>
    <row r="349" customFormat="false" ht="15.75" hidden="false" customHeight="false" outlineLevel="0" collapsed="false">
      <c r="B349" s="0" t="n">
        <v>1950</v>
      </c>
      <c r="C349" s="424" t="n">
        <v>348</v>
      </c>
      <c r="D349" s="0" t="n">
        <v>5.49</v>
      </c>
      <c r="E349" s="0" t="n">
        <v>8.96</v>
      </c>
      <c r="F349" s="0" t="n">
        <v>92.49375</v>
      </c>
      <c r="G349" s="0" t="n">
        <v>17</v>
      </c>
      <c r="H349" s="0" t="n">
        <v>8</v>
      </c>
      <c r="I349" s="0" t="n">
        <v>1</v>
      </c>
      <c r="M349" s="0" t="n">
        <f aca="false">F349/0.263*1000/1013.25/100*EXP(17.67*(D349+E349)/2/((D349+E349)/2+273.16-29.65))</f>
        <v>5.77521335760774</v>
      </c>
      <c r="R349" s="424" t="n">
        <f aca="false">B349</f>
        <v>1950</v>
      </c>
      <c r="S349" s="424" t="n">
        <f aca="false">C349</f>
        <v>348</v>
      </c>
      <c r="T349" s="424" t="n">
        <f aca="false">D349</f>
        <v>5.49</v>
      </c>
      <c r="U349" s="424" t="n">
        <f aca="false">E349</f>
        <v>8.96</v>
      </c>
      <c r="V349" s="0" t="n">
        <f aca="false">MIN(0.263*M349/1000*1013.25*100/EXP(17.67*E349/(E349+273.16-29.65)), 100)</f>
        <v>82.2045000448149</v>
      </c>
      <c r="W349" s="0" t="n">
        <f aca="false">MIN(0.263*M349/1000*1013.25*100/EXP(17.67*D349/(D349+273.16-29.65)), 100)</f>
        <v>100</v>
      </c>
      <c r="X349" s="0" t="n">
        <f aca="false">(198.58*(1/(2/15*ACOS(-TAN(3.1416/180*$L$1)*TAN(3.1416/180*23.45*SIN((2*3.1416/365*(C349+284)))))/3.1416*180))^2+5.0551/(2/15*ACOS(-TAN(3.1416/180*$L$1)*TAN(3.1416/180*23.45*SIN((2*3.1416/365*(C349+284)))))/3.1416*180)+1.49)*G349*2.02</f>
        <v>165.256902241828</v>
      </c>
      <c r="Y349" s="424" t="n">
        <f aca="false">H349</f>
        <v>8</v>
      </c>
      <c r="Z349" s="424" t="n">
        <f aca="false">I349</f>
        <v>1</v>
      </c>
    </row>
    <row r="350" customFormat="false" ht="15.75" hidden="false" customHeight="false" outlineLevel="0" collapsed="false">
      <c r="B350" s="0" t="n">
        <v>1950</v>
      </c>
      <c r="C350" s="424" t="n">
        <v>349</v>
      </c>
      <c r="D350" s="0" t="n">
        <v>4.0899997</v>
      </c>
      <c r="E350" s="0" t="n">
        <v>10.469999</v>
      </c>
      <c r="F350" s="0" t="n">
        <v>89.48</v>
      </c>
      <c r="G350" s="0" t="n">
        <v>25</v>
      </c>
      <c r="H350" s="0" t="n">
        <v>10.7</v>
      </c>
      <c r="I350" s="0" t="n">
        <v>1</v>
      </c>
      <c r="M350" s="0" t="n">
        <f aca="false">F350/0.263*1000/1013.25/100*EXP(17.67*(D350+E350)/2/((D350+E350)/2+273.16-29.65))</f>
        <v>5.60810408183999</v>
      </c>
      <c r="R350" s="424" t="n">
        <f aca="false">B350</f>
        <v>1950</v>
      </c>
      <c r="S350" s="424" t="n">
        <f aca="false">C350</f>
        <v>349</v>
      </c>
      <c r="T350" s="424" t="n">
        <f aca="false">D350</f>
        <v>4.0899997</v>
      </c>
      <c r="U350" s="424" t="n">
        <f aca="false">E350</f>
        <v>10.469999</v>
      </c>
      <c r="V350" s="0" t="n">
        <f aca="false">MIN(0.263*M350/1000*1013.25*100/EXP(17.67*E350/(E350+273.16-29.65)), 100)</f>
        <v>72.1337184555287</v>
      </c>
      <c r="W350" s="0" t="n">
        <f aca="false">MIN(0.263*M350/1000*1013.25*100/EXP(17.67*D350/(D350+273.16-29.65)), 100)</f>
        <v>100</v>
      </c>
      <c r="X350" s="0" t="n">
        <f aca="false">(198.58*(1/(2/15*ACOS(-TAN(3.1416/180*$L$1)*TAN(3.1416/180*23.45*SIN((2*3.1416/365*(C350+284)))))/3.1416*180))^2+5.0551/(2/15*ACOS(-TAN(3.1416/180*$L$1)*TAN(3.1416/180*23.45*SIN((2*3.1416/365*(C350+284)))))/3.1416*180)+1.49)*G350*2.02</f>
        <v>243.303810010306</v>
      </c>
      <c r="Y350" s="424" t="n">
        <f aca="false">H350</f>
        <v>10.7</v>
      </c>
      <c r="Z350" s="424" t="n">
        <f aca="false">I350</f>
        <v>1</v>
      </c>
    </row>
    <row r="351" customFormat="false" ht="15.75" hidden="false" customHeight="false" outlineLevel="0" collapsed="false">
      <c r="B351" s="0" t="n">
        <v>1950</v>
      </c>
      <c r="C351" s="424" t="n">
        <v>350</v>
      </c>
      <c r="D351" s="0" t="n">
        <v>-2.1499999</v>
      </c>
      <c r="E351" s="0" t="n">
        <v>4.47</v>
      </c>
      <c r="F351" s="0" t="n">
        <v>93.2375</v>
      </c>
      <c r="G351" s="0" t="n">
        <v>36</v>
      </c>
      <c r="H351" s="0" t="n">
        <v>6.3</v>
      </c>
      <c r="I351" s="0" t="n">
        <v>1</v>
      </c>
      <c r="M351" s="0" t="n">
        <f aca="false">F351/0.263*1000/1013.25/100*EXP(17.67*(D351+E351)/2/((D351+E351)/2+273.16-29.65))</f>
        <v>3.80453189318842</v>
      </c>
      <c r="R351" s="424" t="n">
        <f aca="false">B351</f>
        <v>1950</v>
      </c>
      <c r="S351" s="424" t="n">
        <f aca="false">C351</f>
        <v>350</v>
      </c>
      <c r="T351" s="424" t="n">
        <f aca="false">D351</f>
        <v>-2.1499999</v>
      </c>
      <c r="U351" s="424" t="n">
        <f aca="false">E351</f>
        <v>4.47</v>
      </c>
      <c r="V351" s="0" t="n">
        <f aca="false">MIN(0.263*M351/1000*1013.25*100/EXP(17.67*E351/(E351+273.16-29.65)), 100)</f>
        <v>73.7301420614424</v>
      </c>
      <c r="W351" s="0" t="n">
        <f aca="false">MIN(0.263*M351/1000*1013.25*100/EXP(17.67*D351/(D351+273.16-29.65)), 100)</f>
        <v>100</v>
      </c>
      <c r="X351" s="0" t="n">
        <f aca="false">(198.58*(1/(2/15*ACOS(-TAN(3.1416/180*$L$1)*TAN(3.1416/180*23.45*SIN((2*3.1416/365*(C351+284)))))/3.1416*180))^2+5.0551/(2/15*ACOS(-TAN(3.1416/180*$L$1)*TAN(3.1416/180*23.45*SIN((2*3.1416/365*(C351+284)))))/3.1416*180)+1.49)*G351*2.02</f>
        <v>350.696267837144</v>
      </c>
      <c r="Y351" s="424" t="n">
        <f aca="false">H351</f>
        <v>6.3</v>
      </c>
      <c r="Z351" s="424" t="n">
        <f aca="false">I351</f>
        <v>1</v>
      </c>
    </row>
    <row r="352" customFormat="false" ht="15.75" hidden="false" customHeight="false" outlineLevel="0" collapsed="false">
      <c r="B352" s="0" t="n">
        <v>1950</v>
      </c>
      <c r="C352" s="424" t="n">
        <v>351</v>
      </c>
      <c r="D352" s="0" t="n">
        <v>-1.62</v>
      </c>
      <c r="E352" s="0" t="n">
        <v>6.5</v>
      </c>
      <c r="F352" s="0" t="n">
        <v>92.31765</v>
      </c>
      <c r="G352" s="0" t="n">
        <v>17</v>
      </c>
      <c r="H352" s="0" t="n">
        <v>2.9</v>
      </c>
      <c r="I352" s="0" t="n">
        <v>1</v>
      </c>
      <c r="M352" s="0" t="n">
        <f aca="false">F352/0.263*1000/1013.25/100*EXP(17.67*(D352+E352)/2/((D352+E352)/2+273.16-29.65))</f>
        <v>4.12803896077809</v>
      </c>
      <c r="R352" s="424" t="n">
        <f aca="false">B352</f>
        <v>1950</v>
      </c>
      <c r="S352" s="424" t="n">
        <f aca="false">C352</f>
        <v>351</v>
      </c>
      <c r="T352" s="424" t="n">
        <f aca="false">D352</f>
        <v>-1.62</v>
      </c>
      <c r="U352" s="424" t="n">
        <f aca="false">E352</f>
        <v>6.5</v>
      </c>
      <c r="V352" s="0" t="n">
        <f aca="false">MIN(0.263*M352/1000*1013.25*100/EXP(17.67*E352/(E352+273.16-29.65)), 100)</f>
        <v>69.4865193856358</v>
      </c>
      <c r="W352" s="0" t="n">
        <f aca="false">MIN(0.263*M352/1000*1013.25*100/EXP(17.67*D352/(D352+273.16-29.65)), 100)</f>
        <v>100</v>
      </c>
      <c r="X352" s="0" t="n">
        <f aca="false">(198.58*(1/(2/15*ACOS(-TAN(3.1416/180*$L$1)*TAN(3.1416/180*23.45*SIN((2*3.1416/365*(C352+284)))))/3.1416*180))^2+5.0551/(2/15*ACOS(-TAN(3.1416/180*$L$1)*TAN(3.1416/180*23.45*SIN((2*3.1416/365*(C352+284)))))/3.1416*180)+1.49)*G352*2.02</f>
        <v>165.736506429312</v>
      </c>
      <c r="Y352" s="424" t="n">
        <f aca="false">H352</f>
        <v>2.9</v>
      </c>
      <c r="Z352" s="424" t="n">
        <f aca="false">I352</f>
        <v>1</v>
      </c>
    </row>
    <row r="353" customFormat="false" ht="15.75" hidden="false" customHeight="false" outlineLevel="0" collapsed="false">
      <c r="B353" s="0" t="n">
        <v>1950</v>
      </c>
      <c r="C353" s="424" t="n">
        <v>352</v>
      </c>
      <c r="D353" s="0" t="n">
        <v>-0.31</v>
      </c>
      <c r="E353" s="0" t="n">
        <v>11.86</v>
      </c>
      <c r="F353" s="0" t="n">
        <v>94.200005</v>
      </c>
      <c r="G353" s="0" t="n">
        <v>29</v>
      </c>
      <c r="H353" s="0" t="n">
        <v>18.1</v>
      </c>
      <c r="I353" s="0" t="n">
        <v>1</v>
      </c>
      <c r="M353" s="0" t="n">
        <f aca="false">F353/0.263*1000/1013.25/100*EXP(17.67*(D353+E353)/2/((D353+E353)/2+273.16-29.65))</f>
        <v>5.32299461994538</v>
      </c>
      <c r="R353" s="424" t="n">
        <f aca="false">B353</f>
        <v>1950</v>
      </c>
      <c r="S353" s="424" t="n">
        <f aca="false">C353</f>
        <v>352</v>
      </c>
      <c r="T353" s="424" t="n">
        <f aca="false">D353</f>
        <v>-0.31</v>
      </c>
      <c r="U353" s="424" t="n">
        <f aca="false">E353</f>
        <v>11.86</v>
      </c>
      <c r="V353" s="0" t="n">
        <f aca="false">MIN(0.263*M353/1000*1013.25*100/EXP(17.67*E353/(E353+273.16-29.65)), 100)</f>
        <v>62.4352776647447</v>
      </c>
      <c r="W353" s="0" t="n">
        <f aca="false">MIN(0.263*M353/1000*1013.25*100/EXP(17.67*D353/(D353+273.16-29.65)), 100)</f>
        <v>100</v>
      </c>
      <c r="X353" s="0" t="n">
        <f aca="false">(198.58*(1/(2/15*ACOS(-TAN(3.1416/180*$L$1)*TAN(3.1416/180*23.45*SIN((2*3.1416/365*(C353+284)))))/3.1416*180))^2+5.0551/(2/15*ACOS(-TAN(3.1416/180*$L$1)*TAN(3.1416/180*23.45*SIN((2*3.1416/365*(C353+284)))))/3.1416*180)+1.49)*G353*2.02</f>
        <v>282.896915396049</v>
      </c>
      <c r="Y353" s="424" t="n">
        <f aca="false">H353</f>
        <v>18.1</v>
      </c>
      <c r="Z353" s="424" t="n">
        <f aca="false">I353</f>
        <v>1</v>
      </c>
    </row>
    <row r="354" customFormat="false" ht="15.75" hidden="false" customHeight="false" outlineLevel="0" collapsed="false">
      <c r="B354" s="0" t="n">
        <v>1950</v>
      </c>
      <c r="C354" s="424" t="n">
        <v>353</v>
      </c>
      <c r="D354" s="0" t="n">
        <v>4.8199997</v>
      </c>
      <c r="E354" s="0" t="n">
        <v>9.8</v>
      </c>
      <c r="F354" s="0" t="n">
        <v>88.515</v>
      </c>
      <c r="G354" s="0" t="n">
        <v>32</v>
      </c>
      <c r="H354" s="0" t="n">
        <v>0</v>
      </c>
      <c r="I354" s="0" t="n">
        <v>1</v>
      </c>
      <c r="M354" s="0" t="n">
        <f aca="false">F354/0.263*1000/1013.25/100*EXP(17.67*(D354+E354)/2/((D354+E354)/2+273.16-29.65))</f>
        <v>5.5590195532123</v>
      </c>
      <c r="R354" s="424" t="n">
        <f aca="false">B354</f>
        <v>1950</v>
      </c>
      <c r="S354" s="424" t="n">
        <f aca="false">C354</f>
        <v>353</v>
      </c>
      <c r="T354" s="424" t="n">
        <f aca="false">D354</f>
        <v>4.8199997</v>
      </c>
      <c r="U354" s="424" t="n">
        <f aca="false">E354</f>
        <v>9.8</v>
      </c>
      <c r="V354" s="0" t="n">
        <f aca="false">MIN(0.263*M354/1000*1013.25*100/EXP(17.67*E354/(E354+273.16-29.65)), 100)</f>
        <v>74.7792705374921</v>
      </c>
      <c r="W354" s="0" t="n">
        <f aca="false">MIN(0.263*M354/1000*1013.25*100/EXP(17.67*D354/(D354+273.16-29.65)), 100)</f>
        <v>100</v>
      </c>
      <c r="X354" s="0" t="n">
        <f aca="false">(198.58*(1/(2/15*ACOS(-TAN(3.1416/180*$L$1)*TAN(3.1416/180*23.45*SIN((2*3.1416/365*(C354+284)))))/3.1416*180))^2+5.0551/(2/15*ACOS(-TAN(3.1416/180*$L$1)*TAN(3.1416/180*23.45*SIN((2*3.1416/365*(C354+284)))))/3.1416*180)+1.49)*G354*2.02</f>
        <v>312.292157622523</v>
      </c>
      <c r="Y354" s="424" t="n">
        <f aca="false">H354</f>
        <v>0</v>
      </c>
      <c r="Z354" s="424" t="n">
        <f aca="false">I354</f>
        <v>1</v>
      </c>
    </row>
    <row r="355" customFormat="false" ht="15.75" hidden="false" customHeight="false" outlineLevel="0" collapsed="false">
      <c r="B355" s="0" t="n">
        <v>1950</v>
      </c>
      <c r="C355" s="424" t="n">
        <v>354</v>
      </c>
      <c r="D355" s="0" t="n">
        <v>3.25</v>
      </c>
      <c r="E355" s="0" t="n">
        <v>9.28</v>
      </c>
      <c r="F355" s="0" t="n">
        <v>93.05295</v>
      </c>
      <c r="G355" s="0" t="n">
        <v>23</v>
      </c>
      <c r="H355" s="0" t="n">
        <v>3.5</v>
      </c>
      <c r="I355" s="0" t="n">
        <v>1</v>
      </c>
      <c r="M355" s="0" t="n">
        <f aca="false">F355/0.263*1000/1013.25/100*EXP(17.67*(D355+E355)/2/((D355+E355)/2+273.16-29.65))</f>
        <v>5.43927537266018</v>
      </c>
      <c r="R355" s="424" t="n">
        <f aca="false">B355</f>
        <v>1950</v>
      </c>
      <c r="S355" s="424" t="n">
        <f aca="false">C355</f>
        <v>354</v>
      </c>
      <c r="T355" s="424" t="n">
        <f aca="false">D355</f>
        <v>3.25</v>
      </c>
      <c r="U355" s="424" t="n">
        <f aca="false">E355</f>
        <v>9.28</v>
      </c>
      <c r="V355" s="0" t="n">
        <f aca="false">MIN(0.263*M355/1000*1013.25*100/EXP(17.67*E355/(E355+273.16-29.65)), 100)</f>
        <v>75.7703113489383</v>
      </c>
      <c r="W355" s="0" t="n">
        <f aca="false">MIN(0.263*M355/1000*1013.25*100/EXP(17.67*D355/(D355+273.16-29.65)), 100)</f>
        <v>100</v>
      </c>
      <c r="X355" s="0" t="n">
        <f aca="false">(198.58*(1/(2/15*ACOS(-TAN(3.1416/180*$L$1)*TAN(3.1416/180*23.45*SIN((2*3.1416/365*(C355+284)))))/3.1416*180))^2+5.0551/(2/15*ACOS(-TAN(3.1416/180*$L$1)*TAN(3.1416/180*23.45*SIN((2*3.1416/365*(C355+284)))))/3.1416*180)+1.49)*G355*2.02</f>
        <v>224.511952612165</v>
      </c>
      <c r="Y355" s="424" t="n">
        <f aca="false">H355</f>
        <v>3.5</v>
      </c>
      <c r="Z355" s="424" t="n">
        <f aca="false">I355</f>
        <v>1</v>
      </c>
    </row>
    <row r="356" customFormat="false" ht="15.75" hidden="false" customHeight="false" outlineLevel="0" collapsed="false">
      <c r="B356" s="0" t="n">
        <v>1950</v>
      </c>
      <c r="C356" s="424" t="n">
        <v>355</v>
      </c>
      <c r="D356" s="0" t="n">
        <v>3.58</v>
      </c>
      <c r="E356" s="0" t="n">
        <v>5.87</v>
      </c>
      <c r="F356" s="0" t="n">
        <v>95.200005</v>
      </c>
      <c r="G356" s="0" t="n">
        <v>39</v>
      </c>
      <c r="H356" s="0" t="n">
        <v>4.1</v>
      </c>
      <c r="I356" s="0" t="n">
        <v>1</v>
      </c>
      <c r="M356" s="0" t="n">
        <f aca="false">F356/0.263*1000/1013.25/100*EXP(17.67*(D356+E356)/2/((D356+E356)/2+273.16-29.65))</f>
        <v>5.00073855068128</v>
      </c>
      <c r="R356" s="424" t="n">
        <f aca="false">B356</f>
        <v>1950</v>
      </c>
      <c r="S356" s="424" t="n">
        <f aca="false">C356</f>
        <v>355</v>
      </c>
      <c r="T356" s="424" t="n">
        <f aca="false">D356</f>
        <v>3.58</v>
      </c>
      <c r="U356" s="424" t="n">
        <f aca="false">E356</f>
        <v>5.87</v>
      </c>
      <c r="V356" s="0" t="n">
        <f aca="false">MIN(0.263*M356/1000*1013.25*100/EXP(17.67*E356/(E356+273.16-29.65)), 100)</f>
        <v>87.9171108217998</v>
      </c>
      <c r="W356" s="0" t="n">
        <f aca="false">MIN(0.263*M356/1000*1013.25*100/EXP(17.67*D356/(D356+273.16-29.65)), 100)</f>
        <v>100</v>
      </c>
      <c r="X356" s="0" t="n">
        <f aca="false">(198.58*(1/(2/15*ACOS(-TAN(3.1416/180*$L$1)*TAN(3.1416/180*23.45*SIN((2*3.1416/365*(C356+284)))))/3.1416*180))^2+5.0551/(2/15*ACOS(-TAN(3.1416/180*$L$1)*TAN(3.1416/180*23.45*SIN((2*3.1416/365*(C356+284)))))/3.1416*180)+1.49)*G356*2.02</f>
        <v>380.711728211626</v>
      </c>
      <c r="Y356" s="424" t="n">
        <f aca="false">H356</f>
        <v>4.1</v>
      </c>
      <c r="Z356" s="424" t="n">
        <f aca="false">I356</f>
        <v>1</v>
      </c>
    </row>
    <row r="357" customFormat="false" ht="15.75" hidden="false" customHeight="false" outlineLevel="0" collapsed="false">
      <c r="B357" s="0" t="n">
        <v>1950</v>
      </c>
      <c r="C357" s="424" t="n">
        <v>356</v>
      </c>
      <c r="D357" s="0" t="n">
        <v>3.31</v>
      </c>
      <c r="E357" s="0" t="n">
        <v>8</v>
      </c>
      <c r="F357" s="0" t="n">
        <f aca="false">F356</f>
        <v>95.200005</v>
      </c>
      <c r="G357" s="0" t="n">
        <v>37</v>
      </c>
      <c r="H357" s="0" t="n">
        <v>7.6</v>
      </c>
      <c r="I357" s="0" t="n">
        <v>1</v>
      </c>
      <c r="M357" s="0" t="n">
        <f aca="false">F357/0.263*1000/1013.25/100*EXP(17.67*(D357+E357)/2/((D357+E357)/2+273.16-29.65))</f>
        <v>5.33496820496216</v>
      </c>
      <c r="R357" s="424" t="n">
        <f aca="false">B357</f>
        <v>1950</v>
      </c>
      <c r="S357" s="424" t="n">
        <f aca="false">C357</f>
        <v>356</v>
      </c>
      <c r="T357" s="424" t="n">
        <f aca="false">D357</f>
        <v>3.31</v>
      </c>
      <c r="U357" s="424" t="n">
        <f aca="false">E357</f>
        <v>8</v>
      </c>
      <c r="V357" s="0" t="n">
        <f aca="false">MIN(0.263*M357/1000*1013.25*100/EXP(17.67*E357/(E357+273.16-29.65)), 100)</f>
        <v>81.0421673699117</v>
      </c>
      <c r="W357" s="0" t="n">
        <f aca="false">MIN(0.263*M357/1000*1013.25*100/EXP(17.67*D357/(D357+273.16-29.65)), 100)</f>
        <v>100</v>
      </c>
      <c r="X357" s="0" t="n">
        <f aca="false">(198.58*(1/(2/15*ACOS(-TAN(3.1416/180*$L$1)*TAN(3.1416/180*23.45*SIN((2*3.1416/365*(C357+284)))))/3.1416*180))^2+5.0551/(2/15*ACOS(-TAN(3.1416/180*$L$1)*TAN(3.1416/180*23.45*SIN((2*3.1416/365*(C357+284)))))/3.1416*180)+1.49)*G357*2.02</f>
        <v>361.137715158877</v>
      </c>
      <c r="Y357" s="424" t="n">
        <f aca="false">H357</f>
        <v>7.6</v>
      </c>
      <c r="Z357" s="424" t="n">
        <f aca="false">I357</f>
        <v>1</v>
      </c>
    </row>
    <row r="358" customFormat="false" ht="15.75" hidden="false" customHeight="false" outlineLevel="0" collapsed="false">
      <c r="B358" s="0" t="n">
        <v>1950</v>
      </c>
      <c r="C358" s="424" t="n">
        <v>357</v>
      </c>
      <c r="D358" s="0" t="n">
        <v>3.08</v>
      </c>
      <c r="E358" s="0" t="n">
        <v>5.94</v>
      </c>
      <c r="F358" s="0" t="n">
        <v>93.75556</v>
      </c>
      <c r="G358" s="0" t="n">
        <v>32</v>
      </c>
      <c r="H358" s="0" t="n">
        <v>2.7</v>
      </c>
      <c r="I358" s="0" t="n">
        <v>1</v>
      </c>
      <c r="M358" s="0" t="n">
        <f aca="false">F358/0.263*1000/1013.25/100*EXP(17.67*(D358+E358)/2/((D358+E358)/2+273.16-29.65))</f>
        <v>4.85141605202262</v>
      </c>
      <c r="R358" s="424" t="n">
        <f aca="false">B358</f>
        <v>1950</v>
      </c>
      <c r="S358" s="424" t="n">
        <f aca="false">C358</f>
        <v>357</v>
      </c>
      <c r="T358" s="424" t="n">
        <f aca="false">D358</f>
        <v>3.08</v>
      </c>
      <c r="U358" s="424" t="n">
        <f aca="false">E358</f>
        <v>5.94</v>
      </c>
      <c r="V358" s="0" t="n">
        <f aca="false">MIN(0.263*M358/1000*1013.25*100/EXP(17.67*E358/(E358+273.16-29.65)), 100)</f>
        <v>84.8799304396832</v>
      </c>
      <c r="W358" s="0" t="n">
        <f aca="false">MIN(0.263*M358/1000*1013.25*100/EXP(17.67*D358/(D358+273.16-29.65)), 100)</f>
        <v>100</v>
      </c>
      <c r="X358" s="0" t="n">
        <f aca="false">(198.58*(1/(2/15*ACOS(-TAN(3.1416/180*$L$1)*TAN(3.1416/180*23.45*SIN((2*3.1416/365*(C358+284)))))/3.1416*180))^2+5.0551/(2/15*ACOS(-TAN(3.1416/180*$L$1)*TAN(3.1416/180*23.45*SIN((2*3.1416/365*(C358+284)))))/3.1416*180)+1.49)*G358*2.02</f>
        <v>312.233950600733</v>
      </c>
      <c r="Y358" s="424" t="n">
        <f aca="false">H358</f>
        <v>2.7</v>
      </c>
      <c r="Z358" s="424" t="n">
        <f aca="false">I358</f>
        <v>1</v>
      </c>
    </row>
    <row r="359" customFormat="false" ht="15.75" hidden="false" customHeight="false" outlineLevel="0" collapsed="false">
      <c r="B359" s="0" t="n">
        <v>1950</v>
      </c>
      <c r="C359" s="424" t="n">
        <v>358</v>
      </c>
      <c r="D359" s="0" t="n">
        <v>-1.68</v>
      </c>
      <c r="E359" s="0" t="n">
        <v>4.43</v>
      </c>
      <c r="F359" s="0" t="n">
        <v>92.8</v>
      </c>
      <c r="G359" s="0" t="n">
        <v>15</v>
      </c>
      <c r="H359" s="0" t="n">
        <v>0</v>
      </c>
      <c r="I359" s="0" t="n">
        <v>1</v>
      </c>
      <c r="M359" s="0" t="n">
        <f aca="false">F359/0.263*1000/1013.25/100*EXP(17.67*(D359+E359)/2/((D359+E359)/2+273.16-29.65))</f>
        <v>3.84560005425497</v>
      </c>
      <c r="R359" s="424" t="n">
        <f aca="false">B359</f>
        <v>1950</v>
      </c>
      <c r="S359" s="424" t="n">
        <f aca="false">C359</f>
        <v>358</v>
      </c>
      <c r="T359" s="424" t="n">
        <f aca="false">D359</f>
        <v>-1.68</v>
      </c>
      <c r="U359" s="424" t="n">
        <f aca="false">E359</f>
        <v>4.43</v>
      </c>
      <c r="V359" s="0" t="n">
        <f aca="false">MIN(0.263*M359/1000*1013.25*100/EXP(17.67*E359/(E359+273.16-29.65)), 100)</f>
        <v>74.7349381035464</v>
      </c>
      <c r="W359" s="0" t="n">
        <f aca="false">MIN(0.263*M359/1000*1013.25*100/EXP(17.67*D359/(D359+273.16-29.65)), 100)</f>
        <v>100</v>
      </c>
      <c r="X359" s="0" t="n">
        <f aca="false">(198.58*(1/(2/15*ACOS(-TAN(3.1416/180*$L$1)*TAN(3.1416/180*23.45*SIN((2*3.1416/365*(C359+284)))))/3.1416*180))^2+5.0551/(2/15*ACOS(-TAN(3.1416/180*$L$1)*TAN(3.1416/180*23.45*SIN((2*3.1416/365*(C359+284)))))/3.1416*180)+1.49)*G359*2.02</f>
        <v>146.285136589421</v>
      </c>
      <c r="Y359" s="424" t="n">
        <f aca="false">H359</f>
        <v>0</v>
      </c>
      <c r="Z359" s="424" t="n">
        <f aca="false">I359</f>
        <v>1</v>
      </c>
    </row>
    <row r="360" customFormat="false" ht="15.75" hidden="false" customHeight="false" outlineLevel="0" collapsed="false">
      <c r="B360" s="0" t="n">
        <v>1950</v>
      </c>
      <c r="C360" s="424" t="n">
        <v>359</v>
      </c>
      <c r="D360" s="0" t="n">
        <v>-3.6899998</v>
      </c>
      <c r="E360" s="0" t="n">
        <v>0.78999996</v>
      </c>
      <c r="F360" s="0" t="n">
        <v>94.575005</v>
      </c>
      <c r="G360" s="0" t="n">
        <v>25</v>
      </c>
      <c r="H360" s="0" t="n">
        <v>0</v>
      </c>
      <c r="I360" s="0" t="n">
        <v>1</v>
      </c>
      <c r="M360" s="0" t="n">
        <f aca="false">F360/0.263*1000/1013.25/100*EXP(17.67*(D360+E360)/2/((D360+E360)/2+273.16-29.65))</f>
        <v>3.19252959755766</v>
      </c>
      <c r="R360" s="424" t="n">
        <f aca="false">B360</f>
        <v>1950</v>
      </c>
      <c r="S360" s="424" t="n">
        <f aca="false">C360</f>
        <v>359</v>
      </c>
      <c r="T360" s="424" t="n">
        <f aca="false">D360</f>
        <v>-3.6899998</v>
      </c>
      <c r="U360" s="424" t="n">
        <f aca="false">E360</f>
        <v>0.78999996</v>
      </c>
      <c r="V360" s="0" t="n">
        <f aca="false">MIN(0.263*M360/1000*1013.25*100/EXP(17.67*E360/(E360+273.16-29.65)), 100)</f>
        <v>80.3510786613251</v>
      </c>
      <c r="W360" s="0" t="n">
        <f aca="false">MIN(0.263*M360/1000*1013.25*100/EXP(17.67*D360/(D360+273.16-29.65)), 100)</f>
        <v>100</v>
      </c>
      <c r="X360" s="0" t="n">
        <f aca="false">(198.58*(1/(2/15*ACOS(-TAN(3.1416/180*$L$1)*TAN(3.1416/180*23.45*SIN((2*3.1416/365*(C360+284)))))/3.1416*180))^2+5.0551/(2/15*ACOS(-TAN(3.1416/180*$L$1)*TAN(3.1416/180*23.45*SIN((2*3.1416/365*(C360+284)))))/3.1416*180)+1.49)*G360*2.02</f>
        <v>243.639594915305</v>
      </c>
      <c r="Y360" s="424" t="n">
        <f aca="false">H360</f>
        <v>0</v>
      </c>
      <c r="Z360" s="424" t="n">
        <f aca="false">I360</f>
        <v>1</v>
      </c>
    </row>
    <row r="361" customFormat="false" ht="15.75" hidden="false" customHeight="false" outlineLevel="0" collapsed="false">
      <c r="B361" s="0" t="n">
        <v>1950</v>
      </c>
      <c r="C361" s="424" t="n">
        <v>360</v>
      </c>
      <c r="D361" s="0" t="n">
        <v>-3.08</v>
      </c>
      <c r="E361" s="0" t="n">
        <v>1.3199999</v>
      </c>
      <c r="F361" s="0" t="n">
        <v>90.935005</v>
      </c>
      <c r="G361" s="0" t="n">
        <v>15</v>
      </c>
      <c r="H361" s="0" t="n">
        <v>0</v>
      </c>
      <c r="I361" s="0" t="n">
        <v>1</v>
      </c>
      <c r="M361" s="0" t="n">
        <f aca="false">F361/0.263*1000/1013.25/100*EXP(17.67*(D361+E361)/2/((D361+E361)/2+273.16-29.65))</f>
        <v>3.20055869143173</v>
      </c>
      <c r="R361" s="424" t="n">
        <f aca="false">B361</f>
        <v>1950</v>
      </c>
      <c r="S361" s="424" t="n">
        <f aca="false">C361</f>
        <v>360</v>
      </c>
      <c r="T361" s="424" t="n">
        <f aca="false">D361</f>
        <v>-3.08</v>
      </c>
      <c r="U361" s="424" t="n">
        <f aca="false">E361</f>
        <v>1.3199999</v>
      </c>
      <c r="V361" s="0" t="n">
        <f aca="false">MIN(0.263*M361/1000*1013.25*100/EXP(17.67*E361/(E361+273.16-29.65)), 100)</f>
        <v>77.5396626619903</v>
      </c>
      <c r="W361" s="0" t="n">
        <f aca="false">MIN(0.263*M361/1000*1013.25*100/EXP(17.67*D361/(D361+273.16-29.65)), 100)</f>
        <v>100</v>
      </c>
      <c r="X361" s="0" t="n">
        <f aca="false">(198.58*(1/(2/15*ACOS(-TAN(3.1416/180*$L$1)*TAN(3.1416/180*23.45*SIN((2*3.1416/365*(C361+284)))))/3.1416*180))^2+5.0551/(2/15*ACOS(-TAN(3.1416/180*$L$1)*TAN(3.1416/180*23.45*SIN((2*3.1416/365*(C361+284)))))/3.1416*180)+1.49)*G361*2.02</f>
        <v>146.055740087275</v>
      </c>
      <c r="Y361" s="424" t="n">
        <f aca="false">H361</f>
        <v>0</v>
      </c>
      <c r="Z361" s="424" t="n">
        <f aca="false">I361</f>
        <v>1</v>
      </c>
    </row>
    <row r="362" customFormat="false" ht="15.75" hidden="false" customHeight="false" outlineLevel="0" collapsed="false">
      <c r="B362" s="0" t="n">
        <v>1950</v>
      </c>
      <c r="C362" s="424" t="n">
        <v>361</v>
      </c>
      <c r="D362" s="0" t="n">
        <v>-2.8799999</v>
      </c>
      <c r="E362" s="0" t="n">
        <v>0.68</v>
      </c>
      <c r="F362" s="0" t="n">
        <v>92.05455</v>
      </c>
      <c r="G362" s="0" t="n">
        <v>20</v>
      </c>
      <c r="H362" s="0" t="n">
        <v>0</v>
      </c>
      <c r="I362" s="0" t="n">
        <v>1</v>
      </c>
      <c r="M362" s="0" t="n">
        <f aca="false">F362/0.263*1000/1013.25/100*EXP(17.67*(D362+E362)/2/((D362+E362)/2+273.16-29.65))</f>
        <v>3.18823374452363</v>
      </c>
      <c r="R362" s="424" t="n">
        <f aca="false">B362</f>
        <v>1950</v>
      </c>
      <c r="S362" s="424" t="n">
        <f aca="false">C362</f>
        <v>361</v>
      </c>
      <c r="T362" s="424" t="n">
        <f aca="false">D362</f>
        <v>-2.8799999</v>
      </c>
      <c r="U362" s="424" t="n">
        <f aca="false">E362</f>
        <v>0.68</v>
      </c>
      <c r="V362" s="0" t="n">
        <f aca="false">MIN(0.263*M362/1000*1013.25*100/EXP(17.67*E362/(E362+273.16-29.65)), 100)</f>
        <v>80.882141986553</v>
      </c>
      <c r="W362" s="0" t="n">
        <f aca="false">MIN(0.263*M362/1000*1013.25*100/EXP(17.67*D362/(D362+273.16-29.65)), 100)</f>
        <v>100</v>
      </c>
      <c r="X362" s="0" t="n">
        <f aca="false">(198.58*(1/(2/15*ACOS(-TAN(3.1416/180*$L$1)*TAN(3.1416/180*23.45*SIN((2*3.1416/365*(C362+284)))))/3.1416*180))^2+5.0551/(2/15*ACOS(-TAN(3.1416/180*$L$1)*TAN(3.1416/180*23.45*SIN((2*3.1416/365*(C362+284)))))/3.1416*180)+1.49)*G362*2.02</f>
        <v>194.535141016346</v>
      </c>
      <c r="Y362" s="424" t="n">
        <f aca="false">H362</f>
        <v>0</v>
      </c>
      <c r="Z362" s="424" t="n">
        <f aca="false">I362</f>
        <v>1</v>
      </c>
    </row>
    <row r="363" customFormat="false" ht="15.75" hidden="false" customHeight="false" outlineLevel="0" collapsed="false">
      <c r="B363" s="0" t="n">
        <v>1950</v>
      </c>
      <c r="C363" s="424" t="n">
        <v>362</v>
      </c>
      <c r="D363" s="0" t="n">
        <v>-3.1699998</v>
      </c>
      <c r="E363" s="0" t="n">
        <v>0.26</v>
      </c>
      <c r="F363" s="0" t="n">
        <v>92.850006</v>
      </c>
      <c r="G363" s="0" t="n">
        <v>17</v>
      </c>
      <c r="H363" s="0" t="n">
        <v>0</v>
      </c>
      <c r="I363" s="0" t="n">
        <v>1</v>
      </c>
      <c r="M363" s="0" t="n">
        <f aca="false">F363/0.263*1000/1013.25/100*EXP(17.67*(D363+E363)/2/((D363+E363)/2+273.16-29.65))</f>
        <v>3.13314885941036</v>
      </c>
      <c r="R363" s="424" t="n">
        <f aca="false">B363</f>
        <v>1950</v>
      </c>
      <c r="S363" s="424" t="n">
        <f aca="false">C363</f>
        <v>362</v>
      </c>
      <c r="T363" s="424" t="n">
        <f aca="false">D363</f>
        <v>-3.1699998</v>
      </c>
      <c r="U363" s="424" t="n">
        <f aca="false">E363</f>
        <v>0.26</v>
      </c>
      <c r="V363" s="0" t="n">
        <f aca="false">MIN(0.263*M363/1000*1013.25*100/EXP(17.67*E363/(E363+273.16-29.65)), 100)</f>
        <v>81.9348153437816</v>
      </c>
      <c r="W363" s="0" t="n">
        <f aca="false">MIN(0.263*M363/1000*1013.25*100/EXP(17.67*D363/(D363+273.16-29.65)), 100)</f>
        <v>100</v>
      </c>
      <c r="X363" s="0" t="n">
        <f aca="false">(198.58*(1/(2/15*ACOS(-TAN(3.1416/180*$L$1)*TAN(3.1416/180*23.45*SIN((2*3.1416/365*(C363+284)))))/3.1416*180))^2+5.0551/(2/15*ACOS(-TAN(3.1416/180*$L$1)*TAN(3.1416/180*23.45*SIN((2*3.1416/365*(C363+284)))))/3.1416*180)+1.49)*G363*2.02</f>
        <v>165.150384339429</v>
      </c>
      <c r="Y363" s="424" t="n">
        <f aca="false">H363</f>
        <v>0</v>
      </c>
      <c r="Z363" s="424" t="n">
        <f aca="false">I363</f>
        <v>1</v>
      </c>
    </row>
    <row r="364" customFormat="false" ht="15.75" hidden="false" customHeight="false" outlineLevel="0" collapsed="false">
      <c r="B364" s="0" t="n">
        <v>1950</v>
      </c>
      <c r="C364" s="424" t="n">
        <v>363</v>
      </c>
      <c r="D364" s="0" t="n">
        <v>-1.06</v>
      </c>
      <c r="E364" s="0" t="n">
        <v>0.63</v>
      </c>
      <c r="F364" s="0" t="n">
        <f aca="false">F363</f>
        <v>92.850006</v>
      </c>
      <c r="G364" s="0" t="n">
        <v>24</v>
      </c>
      <c r="H364" s="0" t="n">
        <v>0</v>
      </c>
      <c r="I364" s="0" t="n">
        <v>1</v>
      </c>
      <c r="M364" s="0" t="n">
        <f aca="false">F364/0.263*1000/1013.25/100*EXP(17.67*(D364+E364)/2/((D364+E364)/2+273.16-29.65))</f>
        <v>3.43026813834213</v>
      </c>
      <c r="R364" s="424" t="n">
        <f aca="false">B364</f>
        <v>1950</v>
      </c>
      <c r="S364" s="424" t="n">
        <f aca="false">C364</f>
        <v>363</v>
      </c>
      <c r="T364" s="424" t="n">
        <f aca="false">D364</f>
        <v>-1.06</v>
      </c>
      <c r="U364" s="424" t="n">
        <f aca="false">E364</f>
        <v>0.63</v>
      </c>
      <c r="V364" s="0" t="n">
        <f aca="false">MIN(0.263*M364/1000*1013.25*100/EXP(17.67*E364/(E364+273.16-29.65)), 100)</f>
        <v>87.336909257153</v>
      </c>
      <c r="W364" s="0" t="n">
        <f aca="false">MIN(0.263*M364/1000*1013.25*100/EXP(17.67*D364/(D364+273.16-29.65)), 100)</f>
        <v>98.7532411537575</v>
      </c>
      <c r="X364" s="0" t="n">
        <f aca="false">(198.58*(1/(2/15*ACOS(-TAN(3.1416/180*$L$1)*TAN(3.1416/180*23.45*SIN((2*3.1416/365*(C364+284)))))/3.1416*180))^2+5.0551/(2/15*ACOS(-TAN(3.1416/180*$L$1)*TAN(3.1416/180*23.45*SIN((2*3.1416/365*(C364+284)))))/3.1416*180)+1.49)*G364*2.02</f>
        <v>232.823728222888</v>
      </c>
      <c r="Y364" s="424" t="n">
        <f aca="false">H364</f>
        <v>0</v>
      </c>
      <c r="Z364" s="424" t="n">
        <f aca="false">I364</f>
        <v>1</v>
      </c>
    </row>
    <row r="365" customFormat="false" ht="15.75" hidden="false" customHeight="false" outlineLevel="0" collapsed="false">
      <c r="B365" s="0" t="n">
        <v>1950</v>
      </c>
      <c r="C365" s="424" t="n">
        <v>364</v>
      </c>
      <c r="D365" s="0" t="n">
        <v>-0.96</v>
      </c>
      <c r="E365" s="0" t="n">
        <v>6.5</v>
      </c>
      <c r="F365" s="0" t="n">
        <v>91.7579</v>
      </c>
      <c r="G365" s="0" t="n">
        <v>22</v>
      </c>
      <c r="H365" s="0" t="n">
        <v>10.2</v>
      </c>
      <c r="I365" s="0" t="n">
        <v>1</v>
      </c>
      <c r="M365" s="0" t="n">
        <f aca="false">F365/0.263*1000/1013.25/100*EXP(17.67*(D365+E365)/2/((D365+E365)/2+273.16-29.65))</f>
        <v>4.20032761205455</v>
      </c>
      <c r="R365" s="424" t="n">
        <f aca="false">B365</f>
        <v>1950</v>
      </c>
      <c r="S365" s="424" t="n">
        <f aca="false">C365</f>
        <v>364</v>
      </c>
      <c r="T365" s="424" t="n">
        <f aca="false">D365</f>
        <v>-0.96</v>
      </c>
      <c r="U365" s="424" t="n">
        <f aca="false">E365</f>
        <v>6.5</v>
      </c>
      <c r="V365" s="0" t="n">
        <f aca="false">MIN(0.263*M365/1000*1013.25*100/EXP(17.67*E365/(E365+273.16-29.65)), 100)</f>
        <v>70.7033409360158</v>
      </c>
      <c r="W365" s="0" t="n">
        <f aca="false">MIN(0.263*M365/1000*1013.25*100/EXP(17.67*D365/(D365+273.16-29.65)), 100)</f>
        <v>100</v>
      </c>
      <c r="X365" s="0" t="n">
        <f aca="false">(198.58*(1/(2/15*ACOS(-TAN(3.1416/180*$L$1)*TAN(3.1416/180*23.45*SIN((2*3.1416/365*(C365+284)))))/3.1416*180))^2+5.0551/(2/15*ACOS(-TAN(3.1416/180*$L$1)*TAN(3.1416/180*23.45*SIN((2*3.1416/365*(C365+284)))))/3.1416*180)+1.49)*G365*2.02</f>
        <v>213.082450890412</v>
      </c>
      <c r="Y365" s="424" t="n">
        <f aca="false">H365</f>
        <v>10.2</v>
      </c>
      <c r="Z365" s="424" t="n">
        <f aca="false">I365</f>
        <v>1</v>
      </c>
    </row>
    <row r="366" customFormat="false" ht="15.75" hidden="false" customHeight="false" outlineLevel="0" collapsed="false">
      <c r="B366" s="0" t="n">
        <v>1950</v>
      </c>
      <c r="C366" s="424" t="n">
        <v>365</v>
      </c>
      <c r="D366" s="0" t="n">
        <v>2.1699998</v>
      </c>
      <c r="E366" s="0" t="n">
        <v>9.96</v>
      </c>
      <c r="F366" s="0" t="n">
        <v>92.62942</v>
      </c>
      <c r="G366" s="0" t="n">
        <v>21</v>
      </c>
      <c r="H366" s="0" t="n">
        <v>8.2</v>
      </c>
      <c r="I366" s="0" t="n">
        <v>1</v>
      </c>
      <c r="M366" s="0" t="n">
        <f aca="false">F366/0.263*1000/1013.25/100*EXP(17.67*(D366+E366)/2/((D366+E366)/2+273.16-29.65))</f>
        <v>5.34028518125801</v>
      </c>
      <c r="R366" s="424" t="n">
        <f aca="false">B366</f>
        <v>1950</v>
      </c>
      <c r="S366" s="424" t="n">
        <f aca="false">C366</f>
        <v>365</v>
      </c>
      <c r="T366" s="424" t="n">
        <f aca="false">D366</f>
        <v>2.1699998</v>
      </c>
      <c r="U366" s="424" t="n">
        <f aca="false">E366</f>
        <v>9.96</v>
      </c>
      <c r="V366" s="0" t="n">
        <f aca="false">MIN(0.263*M366/1000*1013.25*100/EXP(17.67*E366/(E366+273.16-29.65)), 100)</f>
        <v>71.0707285306992</v>
      </c>
      <c r="W366" s="0" t="n">
        <f aca="false">MIN(0.263*M366/1000*1013.25*100/EXP(17.67*D366/(D366+273.16-29.65)), 100)</f>
        <v>100</v>
      </c>
      <c r="X366" s="0" t="n">
        <f aca="false">(198.58*(1/(2/15*ACOS(-TAN(3.1416/180*$L$1)*TAN(3.1416/180*23.45*SIN((2*3.1416/365*(C366+284)))))/3.1416*180))^2+5.0551/(2/15*ACOS(-TAN(3.1416/180*$L$1)*TAN(3.1416/180*23.45*SIN((2*3.1416/365*(C366+284)))))/3.1416*180)+1.49)*G366*2.02</f>
        <v>203.038328414262</v>
      </c>
      <c r="Y366" s="424" t="n">
        <f aca="false">H366</f>
        <v>8.2</v>
      </c>
      <c r="Z366" s="424" t="n">
        <f aca="false">I366</f>
        <v>1</v>
      </c>
    </row>
    <row r="367" customFormat="false" ht="15.75" hidden="false" customHeight="false" outlineLevel="0" collapsed="false">
      <c r="B367" s="0" t="n">
        <v>1950</v>
      </c>
      <c r="C367" s="0" t="n">
        <v>366</v>
      </c>
      <c r="D367" s="0" t="n">
        <v>5.5099998</v>
      </c>
      <c r="E367" s="0" t="n">
        <v>8.0199995</v>
      </c>
      <c r="F367" s="0" t="n">
        <v>92.26316</v>
      </c>
      <c r="G367" s="0" t="n">
        <v>48</v>
      </c>
      <c r="H367" s="0" t="n">
        <v>28.9</v>
      </c>
      <c r="I367" s="0" t="n">
        <v>1</v>
      </c>
      <c r="M367" s="0" t="n">
        <f aca="false">F367/0.263*1000/1013.25/100*EXP(17.67*(D367+E367)/2/((D367+E367)/2+273.16-29.65))</f>
        <v>5.58194784433452</v>
      </c>
      <c r="R367" s="424" t="n">
        <f aca="false">B367</f>
        <v>1950</v>
      </c>
      <c r="S367" s="424" t="n">
        <f aca="false">C367</f>
        <v>366</v>
      </c>
      <c r="T367" s="424" t="n">
        <f aca="false">D367</f>
        <v>5.5099998</v>
      </c>
      <c r="U367" s="424" t="n">
        <f aca="false">E367</f>
        <v>8.0199995</v>
      </c>
      <c r="V367" s="0" t="n">
        <f aca="false">MIN(0.263*M367/1000*1013.25*100/EXP(17.67*E367/(E367+273.16-29.65)), 100)</f>
        <v>84.6787083849</v>
      </c>
      <c r="W367" s="0" t="n">
        <f aca="false">MIN(0.263*M367/1000*1013.25*100/EXP(17.67*D367/(D367+273.16-29.65)), 100)</f>
        <v>100</v>
      </c>
      <c r="X367" s="0" t="n">
        <f aca="false">(198.58*(1/(2/15*ACOS(-TAN(3.1416/180*$L$1)*TAN(3.1416/180*23.45*SIN((2*3.1416/365*(C367+284)))))/3.1416*180))^2+5.0551/(2/15*ACOS(-TAN(3.1416/180*$L$1)*TAN(3.1416/180*23.45*SIN((2*3.1416/365*(C367+284)))))/3.1416*180)+1.49)*G367*2.02</f>
        <v>463.190440514311</v>
      </c>
      <c r="Y367" s="424" t="n">
        <f aca="false">H367</f>
        <v>28.9</v>
      </c>
      <c r="Z367" s="424" t="n">
        <f aca="false">I367</f>
        <v>1</v>
      </c>
    </row>
    <row r="368" customFormat="false" ht="15.75" hidden="false" customHeight="false" outlineLevel="0" collapsed="false">
      <c r="R368" s="424"/>
      <c r="S368" s="424"/>
      <c r="T368" s="424"/>
      <c r="U368" s="424"/>
      <c r="V368" s="424"/>
      <c r="W368" s="424"/>
      <c r="Y368" s="424"/>
      <c r="Z368" s="424"/>
    </row>
    <row r="369" customFormat="false" ht="15.75" hidden="false" customHeight="false" outlineLevel="0" collapsed="false">
      <c r="R369" s="424"/>
      <c r="S369" s="424"/>
      <c r="T369" s="424"/>
      <c r="U369" s="424"/>
      <c r="V369" s="424"/>
      <c r="W369" s="424"/>
      <c r="Y369" s="424"/>
      <c r="Z369" s="424"/>
    </row>
    <row r="370" customFormat="false" ht="15.75" hidden="false" customHeight="false" outlineLevel="0" collapsed="false">
      <c r="R370" s="424"/>
      <c r="S370" s="424"/>
      <c r="T370" s="424"/>
      <c r="U370" s="424"/>
      <c r="V370" s="424"/>
      <c r="W370" s="424"/>
      <c r="Y370" s="424"/>
      <c r="Z370" s="424"/>
    </row>
    <row r="371" customFormat="false" ht="15.75" hidden="false" customHeight="false" outlineLevel="0" collapsed="false">
      <c r="R371" s="424"/>
      <c r="S371" s="424"/>
      <c r="T371" s="424"/>
      <c r="U371" s="424"/>
      <c r="V371" s="424"/>
      <c r="W371" s="424"/>
      <c r="Y371" s="424"/>
      <c r="Z371" s="424"/>
    </row>
    <row r="372" customFormat="false" ht="15.75" hidden="false" customHeight="false" outlineLevel="0" collapsed="false">
      <c r="R372" s="424"/>
      <c r="S372" s="424"/>
      <c r="T372" s="424"/>
      <c r="U372" s="424"/>
      <c r="V372" s="424"/>
      <c r="W372" s="424"/>
      <c r="Y372" s="424"/>
      <c r="Z372" s="424"/>
    </row>
    <row r="373" customFormat="false" ht="15.75" hidden="false" customHeight="false" outlineLevel="0" collapsed="false">
      <c r="R373" s="424"/>
      <c r="S373" s="424"/>
      <c r="T373" s="424"/>
      <c r="U373" s="424"/>
      <c r="V373" s="424"/>
      <c r="W373" s="424"/>
      <c r="Y373" s="424"/>
      <c r="Z373" s="424"/>
    </row>
    <row r="374" customFormat="false" ht="15.75" hidden="false" customHeight="false" outlineLevel="0" collapsed="false">
      <c r="R374" s="424"/>
      <c r="S374" s="424"/>
      <c r="T374" s="424"/>
      <c r="U374" s="424"/>
      <c r="V374" s="424"/>
      <c r="W374" s="424"/>
      <c r="Y374" s="424"/>
      <c r="Z374" s="424"/>
    </row>
    <row r="375" customFormat="false" ht="15.75" hidden="false" customHeight="false" outlineLevel="0" collapsed="false">
      <c r="R375" s="424"/>
      <c r="S375" s="424"/>
      <c r="T375" s="424"/>
      <c r="U375" s="424"/>
      <c r="V375" s="424"/>
      <c r="W375" s="424"/>
      <c r="Y375" s="424"/>
      <c r="Z375" s="424"/>
    </row>
    <row r="376" customFormat="false" ht="15.75" hidden="false" customHeight="false" outlineLevel="0" collapsed="false">
      <c r="R376" s="424"/>
      <c r="S376" s="424"/>
      <c r="T376" s="424"/>
      <c r="U376" s="424"/>
      <c r="V376" s="424"/>
      <c r="W376" s="424"/>
      <c r="Y376" s="424"/>
      <c r="Z376" s="424"/>
    </row>
    <row r="377" customFormat="false" ht="15.75" hidden="false" customHeight="false" outlineLevel="0" collapsed="false">
      <c r="R377" s="424"/>
      <c r="S377" s="424"/>
      <c r="T377" s="424"/>
      <c r="U377" s="424"/>
      <c r="V377" s="424"/>
      <c r="W377" s="424"/>
      <c r="Y377" s="424"/>
      <c r="Z377" s="424"/>
    </row>
    <row r="378" customFormat="false" ht="15.75" hidden="false" customHeight="false" outlineLevel="0" collapsed="false">
      <c r="R378" s="424"/>
      <c r="S378" s="424"/>
      <c r="T378" s="424"/>
      <c r="U378" s="424"/>
      <c r="V378" s="424"/>
      <c r="W378" s="424"/>
      <c r="Y378" s="424"/>
      <c r="Z378" s="424"/>
    </row>
    <row r="379" customFormat="false" ht="15.75" hidden="false" customHeight="false" outlineLevel="0" collapsed="false">
      <c r="R379" s="424"/>
      <c r="S379" s="424"/>
      <c r="T379" s="424"/>
      <c r="U379" s="424"/>
      <c r="V379" s="424"/>
      <c r="W379" s="424"/>
      <c r="Y379" s="424"/>
      <c r="Z379" s="424"/>
    </row>
    <row r="380" customFormat="false" ht="15.75" hidden="false" customHeight="false" outlineLevel="0" collapsed="false">
      <c r="R380" s="424"/>
      <c r="S380" s="424"/>
      <c r="T380" s="424"/>
      <c r="U380" s="424"/>
      <c r="V380" s="424"/>
      <c r="W380" s="424"/>
      <c r="Y380" s="424"/>
      <c r="Z380" s="424"/>
    </row>
    <row r="381" customFormat="false" ht="15.75" hidden="false" customHeight="false" outlineLevel="0" collapsed="false">
      <c r="R381" s="424"/>
      <c r="S381" s="424"/>
      <c r="T381" s="424"/>
      <c r="U381" s="424"/>
      <c r="V381" s="424"/>
      <c r="W381" s="424"/>
      <c r="Y381" s="424"/>
      <c r="Z381" s="424"/>
    </row>
    <row r="382" customFormat="false" ht="15.75" hidden="false" customHeight="false" outlineLevel="0" collapsed="false">
      <c r="R382" s="424"/>
      <c r="S382" s="424"/>
      <c r="T382" s="424"/>
      <c r="U382" s="424"/>
      <c r="V382" s="424"/>
      <c r="W382" s="424"/>
      <c r="Y382" s="424"/>
      <c r="Z382" s="424"/>
    </row>
    <row r="383" customFormat="false" ht="15.75" hidden="false" customHeight="false" outlineLevel="0" collapsed="false">
      <c r="R383" s="424"/>
      <c r="S383" s="424"/>
      <c r="T383" s="424"/>
      <c r="U383" s="424"/>
      <c r="V383" s="424"/>
      <c r="W383" s="424"/>
      <c r="Y383" s="424"/>
      <c r="Z383" s="424"/>
    </row>
    <row r="384" customFormat="false" ht="15.75" hidden="false" customHeight="false" outlineLevel="0" collapsed="false">
      <c r="R384" s="424"/>
      <c r="S384" s="424"/>
      <c r="T384" s="424"/>
      <c r="U384" s="424"/>
      <c r="V384" s="424"/>
      <c r="W384" s="424"/>
      <c r="Y384" s="424"/>
      <c r="Z384" s="424"/>
    </row>
    <row r="385" customFormat="false" ht="15.75" hidden="false" customHeight="false" outlineLevel="0" collapsed="false">
      <c r="R385" s="424"/>
      <c r="S385" s="424"/>
      <c r="T385" s="424"/>
      <c r="U385" s="424"/>
      <c r="V385" s="424"/>
      <c r="W385" s="424"/>
      <c r="Y385" s="424"/>
      <c r="Z385" s="424"/>
    </row>
    <row r="386" customFormat="false" ht="15.75" hidden="false" customHeight="false" outlineLevel="0" collapsed="false">
      <c r="R386" s="424"/>
      <c r="S386" s="424"/>
      <c r="T386" s="424"/>
      <c r="U386" s="424"/>
      <c r="V386" s="424"/>
      <c r="W386" s="424"/>
      <c r="Y386" s="424"/>
      <c r="Z386" s="424"/>
    </row>
    <row r="387" customFormat="false" ht="15.75" hidden="false" customHeight="false" outlineLevel="0" collapsed="false">
      <c r="R387" s="424"/>
      <c r="S387" s="424"/>
      <c r="T387" s="424"/>
      <c r="U387" s="424"/>
      <c r="V387" s="424"/>
      <c r="W387" s="424"/>
      <c r="Y387" s="424"/>
      <c r="Z387" s="424"/>
    </row>
    <row r="388" customFormat="false" ht="15.75" hidden="false" customHeight="false" outlineLevel="0" collapsed="false">
      <c r="R388" s="424"/>
      <c r="S388" s="424"/>
      <c r="T388" s="424"/>
      <c r="U388" s="424"/>
      <c r="V388" s="424"/>
      <c r="W388" s="424"/>
      <c r="Y388" s="424"/>
      <c r="Z388" s="424"/>
    </row>
    <row r="389" customFormat="false" ht="15.75" hidden="false" customHeight="false" outlineLevel="0" collapsed="false">
      <c r="R389" s="424"/>
      <c r="S389" s="424"/>
      <c r="T389" s="424"/>
      <c r="U389" s="424"/>
      <c r="V389" s="424"/>
      <c r="W389" s="424"/>
      <c r="Y389" s="424"/>
      <c r="Z389" s="424"/>
    </row>
    <row r="390" customFormat="false" ht="15.75" hidden="false" customHeight="false" outlineLevel="0" collapsed="false">
      <c r="R390" s="424"/>
      <c r="S390" s="424"/>
      <c r="T390" s="424"/>
      <c r="U390" s="424"/>
      <c r="V390" s="424"/>
      <c r="W390" s="424"/>
      <c r="Y390" s="424"/>
      <c r="Z390" s="424"/>
    </row>
    <row r="391" customFormat="false" ht="15.75" hidden="false" customHeight="false" outlineLevel="0" collapsed="false">
      <c r="R391" s="424"/>
      <c r="S391" s="424"/>
      <c r="T391" s="424"/>
      <c r="U391" s="424"/>
      <c r="V391" s="424"/>
      <c r="W391" s="424"/>
      <c r="Y391" s="424"/>
      <c r="Z391" s="424"/>
    </row>
    <row r="392" customFormat="false" ht="15.75" hidden="false" customHeight="false" outlineLevel="0" collapsed="false">
      <c r="R392" s="424"/>
      <c r="S392" s="424"/>
      <c r="T392" s="424"/>
      <c r="U392" s="424"/>
      <c r="V392" s="424"/>
      <c r="W392" s="424"/>
      <c r="Y392" s="424"/>
      <c r="Z392" s="424"/>
    </row>
    <row r="393" customFormat="false" ht="15.75" hidden="false" customHeight="false" outlineLevel="0" collapsed="false">
      <c r="R393" s="424"/>
      <c r="S393" s="424"/>
      <c r="T393" s="424"/>
      <c r="U393" s="424"/>
      <c r="V393" s="424"/>
      <c r="W393" s="424"/>
      <c r="Y393" s="424"/>
      <c r="Z393" s="424"/>
    </row>
    <row r="394" customFormat="false" ht="15.75" hidden="false" customHeight="false" outlineLevel="0" collapsed="false">
      <c r="R394" s="424"/>
      <c r="S394" s="424"/>
      <c r="T394" s="424"/>
      <c r="U394" s="424"/>
      <c r="V394" s="424"/>
      <c r="W394" s="424"/>
      <c r="Y394" s="424"/>
      <c r="Z394" s="424"/>
    </row>
    <row r="395" customFormat="false" ht="15.75" hidden="false" customHeight="false" outlineLevel="0" collapsed="false">
      <c r="R395" s="424"/>
      <c r="S395" s="424"/>
      <c r="T395" s="424"/>
      <c r="U395" s="424"/>
      <c r="V395" s="424"/>
      <c r="W395" s="424"/>
      <c r="Y395" s="424"/>
      <c r="Z395" s="424"/>
    </row>
    <row r="396" customFormat="false" ht="15.75" hidden="false" customHeight="false" outlineLevel="0" collapsed="false">
      <c r="R396" s="424"/>
      <c r="S396" s="424"/>
      <c r="T396" s="424"/>
      <c r="U396" s="424"/>
      <c r="V396" s="424"/>
      <c r="W396" s="424"/>
      <c r="Y396" s="424"/>
      <c r="Z396" s="424"/>
    </row>
    <row r="397" customFormat="false" ht="15.75" hidden="false" customHeight="false" outlineLevel="0" collapsed="false">
      <c r="R397" s="424"/>
      <c r="S397" s="424"/>
      <c r="T397" s="424"/>
      <c r="U397" s="424"/>
      <c r="V397" s="424"/>
      <c r="W397" s="424"/>
      <c r="Y397" s="424"/>
      <c r="Z397" s="424"/>
    </row>
    <row r="398" customFormat="false" ht="15.75" hidden="false" customHeight="false" outlineLevel="0" collapsed="false">
      <c r="R398" s="424"/>
      <c r="S398" s="424"/>
      <c r="T398" s="424"/>
      <c r="U398" s="424"/>
      <c r="V398" s="424"/>
      <c r="W398" s="424"/>
      <c r="Y398" s="424"/>
      <c r="Z398" s="424"/>
    </row>
    <row r="399" customFormat="false" ht="15.75" hidden="false" customHeight="false" outlineLevel="0" collapsed="false">
      <c r="R399" s="424"/>
      <c r="S399" s="424"/>
      <c r="T399" s="424"/>
      <c r="U399" s="424"/>
      <c r="V399" s="424"/>
      <c r="W399" s="424"/>
      <c r="Y399" s="424"/>
      <c r="Z399" s="424"/>
    </row>
    <row r="400" customFormat="false" ht="15.75" hidden="false" customHeight="false" outlineLevel="0" collapsed="false">
      <c r="R400" s="424"/>
      <c r="S400" s="424"/>
      <c r="T400" s="424"/>
      <c r="U400" s="424"/>
      <c r="V400" s="424"/>
      <c r="W400" s="424"/>
      <c r="Y400" s="424"/>
      <c r="Z400" s="424"/>
    </row>
    <row r="401" customFormat="false" ht="15.75" hidden="false" customHeight="false" outlineLevel="0" collapsed="false">
      <c r="R401" s="424"/>
      <c r="S401" s="424"/>
      <c r="T401" s="424"/>
      <c r="U401" s="424"/>
      <c r="V401" s="424"/>
      <c r="W401" s="424"/>
      <c r="Y401" s="424"/>
      <c r="Z401" s="424"/>
    </row>
    <row r="402" customFormat="false" ht="15.75" hidden="false" customHeight="false" outlineLevel="0" collapsed="false">
      <c r="R402" s="424"/>
      <c r="S402" s="424"/>
      <c r="T402" s="424"/>
      <c r="U402" s="424"/>
      <c r="V402" s="424"/>
      <c r="W402" s="424"/>
      <c r="Y402" s="424"/>
      <c r="Z402" s="424"/>
    </row>
    <row r="403" customFormat="false" ht="15.75" hidden="false" customHeight="false" outlineLevel="0" collapsed="false">
      <c r="R403" s="424"/>
      <c r="S403" s="424"/>
      <c r="T403" s="424"/>
      <c r="U403" s="424"/>
      <c r="V403" s="424"/>
      <c r="W403" s="424"/>
      <c r="Y403" s="424"/>
      <c r="Z403" s="424"/>
    </row>
    <row r="404" customFormat="false" ht="15.75" hidden="false" customHeight="false" outlineLevel="0" collapsed="false">
      <c r="R404" s="424"/>
      <c r="S404" s="424"/>
      <c r="T404" s="424"/>
      <c r="U404" s="424"/>
      <c r="V404" s="424"/>
      <c r="W404" s="424"/>
      <c r="Y404" s="424"/>
      <c r="Z404" s="424"/>
    </row>
    <row r="405" customFormat="false" ht="15.75" hidden="false" customHeight="false" outlineLevel="0" collapsed="false">
      <c r="R405" s="424"/>
      <c r="S405" s="424"/>
      <c r="T405" s="424"/>
      <c r="U405" s="424"/>
      <c r="V405" s="424"/>
      <c r="W405" s="424"/>
      <c r="Y405" s="424"/>
      <c r="Z405" s="424"/>
    </row>
    <row r="406" customFormat="false" ht="15.75" hidden="false" customHeight="false" outlineLevel="0" collapsed="false">
      <c r="R406" s="424"/>
      <c r="S406" s="424"/>
      <c r="T406" s="424"/>
      <c r="U406" s="424"/>
      <c r="V406" s="424"/>
      <c r="W406" s="424"/>
      <c r="Y406" s="424"/>
      <c r="Z406" s="424"/>
    </row>
    <row r="407" customFormat="false" ht="15.75" hidden="false" customHeight="false" outlineLevel="0" collapsed="false">
      <c r="R407" s="424"/>
      <c r="S407" s="424"/>
      <c r="T407" s="424"/>
      <c r="U407" s="424"/>
      <c r="V407" s="424"/>
      <c r="W407" s="424"/>
      <c r="Y407" s="424"/>
      <c r="Z407" s="424"/>
    </row>
    <row r="408" customFormat="false" ht="15.75" hidden="false" customHeight="false" outlineLevel="0" collapsed="false">
      <c r="R408" s="424"/>
      <c r="S408" s="424"/>
      <c r="T408" s="424"/>
      <c r="U408" s="424"/>
      <c r="V408" s="424"/>
      <c r="W408" s="424"/>
      <c r="Y408" s="424"/>
      <c r="Z408" s="424"/>
    </row>
    <row r="409" customFormat="false" ht="15.75" hidden="false" customHeight="false" outlineLevel="0" collapsed="false">
      <c r="R409" s="424"/>
      <c r="S409" s="424"/>
      <c r="T409" s="424"/>
      <c r="U409" s="424"/>
      <c r="V409" s="424"/>
      <c r="W409" s="424"/>
      <c r="Y409" s="424"/>
      <c r="Z409" s="424"/>
    </row>
    <row r="410" customFormat="false" ht="15.75" hidden="false" customHeight="false" outlineLevel="0" collapsed="false">
      <c r="R410" s="424"/>
      <c r="S410" s="424"/>
      <c r="T410" s="424"/>
      <c r="U410" s="424"/>
      <c r="V410" s="424"/>
      <c r="W410" s="424"/>
      <c r="Y410" s="424"/>
      <c r="Z410" s="424"/>
    </row>
    <row r="411" customFormat="false" ht="15.75" hidden="false" customHeight="false" outlineLevel="0" collapsed="false">
      <c r="R411" s="424"/>
      <c r="S411" s="424"/>
      <c r="T411" s="424"/>
      <c r="U411" s="424"/>
      <c r="V411" s="424"/>
      <c r="W411" s="424"/>
      <c r="Y411" s="424"/>
      <c r="Z411" s="424"/>
    </row>
    <row r="412" customFormat="false" ht="15.75" hidden="false" customHeight="false" outlineLevel="0" collapsed="false">
      <c r="R412" s="424"/>
      <c r="S412" s="424"/>
      <c r="T412" s="424"/>
      <c r="U412" s="424"/>
      <c r="V412" s="424"/>
      <c r="W412" s="424"/>
      <c r="Y412" s="424"/>
      <c r="Z412" s="424"/>
    </row>
    <row r="413" customFormat="false" ht="15.75" hidden="false" customHeight="false" outlineLevel="0" collapsed="false">
      <c r="R413" s="424"/>
      <c r="S413" s="424"/>
      <c r="T413" s="424"/>
      <c r="U413" s="424"/>
      <c r="V413" s="424"/>
      <c r="W413" s="424"/>
      <c r="Y413" s="424"/>
      <c r="Z413" s="424"/>
    </row>
    <row r="414" customFormat="false" ht="15.75" hidden="false" customHeight="false" outlineLevel="0" collapsed="false">
      <c r="R414" s="424"/>
      <c r="S414" s="424"/>
      <c r="T414" s="424"/>
      <c r="U414" s="424"/>
      <c r="V414" s="424"/>
      <c r="W414" s="424"/>
      <c r="Y414" s="424"/>
      <c r="Z414" s="424"/>
    </row>
    <row r="415" customFormat="false" ht="15.75" hidden="false" customHeight="false" outlineLevel="0" collapsed="false">
      <c r="R415" s="424"/>
      <c r="S415" s="424"/>
      <c r="T415" s="424"/>
      <c r="U415" s="424"/>
      <c r="V415" s="424"/>
      <c r="W415" s="424"/>
      <c r="Y415" s="424"/>
      <c r="Z415" s="424"/>
    </row>
    <row r="416" customFormat="false" ht="15.75" hidden="false" customHeight="false" outlineLevel="0" collapsed="false">
      <c r="R416" s="424"/>
      <c r="S416" s="424"/>
      <c r="T416" s="424"/>
      <c r="U416" s="424"/>
      <c r="V416" s="424"/>
      <c r="W416" s="424"/>
      <c r="Y416" s="424"/>
      <c r="Z416" s="424"/>
    </row>
    <row r="417" customFormat="false" ht="15.75" hidden="false" customHeight="false" outlineLevel="0" collapsed="false">
      <c r="R417" s="424"/>
      <c r="S417" s="424"/>
      <c r="T417" s="424"/>
      <c r="U417" s="424"/>
      <c r="V417" s="424"/>
      <c r="W417" s="424"/>
      <c r="Y417" s="424"/>
      <c r="Z417" s="424"/>
    </row>
    <row r="418" customFormat="false" ht="15.75" hidden="false" customHeight="false" outlineLevel="0" collapsed="false">
      <c r="R418" s="424"/>
      <c r="S418" s="424"/>
      <c r="T418" s="424"/>
      <c r="U418" s="424"/>
      <c r="V418" s="424"/>
      <c r="W418" s="424"/>
      <c r="Y418" s="424"/>
      <c r="Z418" s="424"/>
    </row>
    <row r="419" customFormat="false" ht="15.75" hidden="false" customHeight="false" outlineLevel="0" collapsed="false">
      <c r="R419" s="424"/>
      <c r="S419" s="424"/>
      <c r="T419" s="424"/>
      <c r="U419" s="424"/>
      <c r="V419" s="424"/>
      <c r="W419" s="424"/>
      <c r="Y419" s="424"/>
      <c r="Z419" s="424"/>
    </row>
    <row r="420" customFormat="false" ht="15.75" hidden="false" customHeight="false" outlineLevel="0" collapsed="false">
      <c r="R420" s="424"/>
      <c r="S420" s="424"/>
      <c r="T420" s="424"/>
      <c r="U420" s="424"/>
      <c r="V420" s="424"/>
      <c r="W420" s="424"/>
      <c r="Y420" s="424"/>
      <c r="Z420" s="424"/>
    </row>
    <row r="421" customFormat="false" ht="15.75" hidden="false" customHeight="false" outlineLevel="0" collapsed="false">
      <c r="R421" s="424"/>
      <c r="S421" s="424"/>
      <c r="T421" s="424"/>
      <c r="U421" s="424"/>
      <c r="V421" s="424"/>
      <c r="W421" s="424"/>
      <c r="Y421" s="424"/>
      <c r="Z421" s="424"/>
    </row>
    <row r="422" customFormat="false" ht="15.75" hidden="false" customHeight="false" outlineLevel="0" collapsed="false">
      <c r="R422" s="424"/>
      <c r="S422" s="424"/>
      <c r="T422" s="424"/>
      <c r="U422" s="424"/>
      <c r="V422" s="424"/>
      <c r="W422" s="424"/>
      <c r="Y422" s="424"/>
      <c r="Z422" s="424"/>
    </row>
    <row r="423" customFormat="false" ht="15.75" hidden="false" customHeight="false" outlineLevel="0" collapsed="false">
      <c r="R423" s="424"/>
      <c r="S423" s="424"/>
      <c r="T423" s="424"/>
      <c r="U423" s="424"/>
      <c r="V423" s="424"/>
      <c r="W423" s="424"/>
      <c r="Y423" s="424"/>
      <c r="Z423" s="424"/>
    </row>
    <row r="424" customFormat="false" ht="15.75" hidden="false" customHeight="false" outlineLevel="0" collapsed="false">
      <c r="R424" s="424"/>
      <c r="S424" s="424"/>
      <c r="T424" s="424"/>
      <c r="U424" s="424"/>
      <c r="V424" s="424"/>
      <c r="W424" s="424"/>
      <c r="Y424" s="424"/>
      <c r="Z424" s="424"/>
    </row>
    <row r="425" customFormat="false" ht="15.75" hidden="false" customHeight="false" outlineLevel="0" collapsed="false">
      <c r="R425" s="424"/>
      <c r="S425" s="424"/>
      <c r="T425" s="424"/>
      <c r="U425" s="424"/>
      <c r="V425" s="424"/>
      <c r="W425" s="424"/>
      <c r="Y425" s="424"/>
      <c r="Z425" s="424"/>
    </row>
    <row r="426" customFormat="false" ht="15.75" hidden="false" customHeight="false" outlineLevel="0" collapsed="false">
      <c r="R426" s="424"/>
      <c r="S426" s="424"/>
      <c r="T426" s="424"/>
      <c r="U426" s="424"/>
      <c r="V426" s="424"/>
      <c r="W426" s="424"/>
      <c r="Y426" s="424"/>
      <c r="Z426" s="424"/>
    </row>
    <row r="427" customFormat="false" ht="15.75" hidden="false" customHeight="false" outlineLevel="0" collapsed="false">
      <c r="R427" s="424"/>
      <c r="S427" s="424"/>
      <c r="T427" s="424"/>
      <c r="U427" s="424"/>
      <c r="V427" s="424"/>
      <c r="W427" s="424"/>
      <c r="Y427" s="424"/>
      <c r="Z427" s="424"/>
    </row>
    <row r="428" customFormat="false" ht="15.75" hidden="false" customHeight="false" outlineLevel="0" collapsed="false">
      <c r="R428" s="424"/>
      <c r="S428" s="424"/>
      <c r="T428" s="424"/>
      <c r="U428" s="424"/>
      <c r="V428" s="424"/>
      <c r="W428" s="424"/>
      <c r="Y428" s="424"/>
      <c r="Z428" s="424"/>
    </row>
    <row r="429" customFormat="false" ht="15.75" hidden="false" customHeight="false" outlineLevel="0" collapsed="false">
      <c r="R429" s="424"/>
      <c r="S429" s="424"/>
      <c r="T429" s="424"/>
      <c r="U429" s="424"/>
      <c r="V429" s="424"/>
      <c r="W429" s="424"/>
      <c r="Y429" s="424"/>
      <c r="Z429" s="424"/>
    </row>
    <row r="430" customFormat="false" ht="15.75" hidden="false" customHeight="false" outlineLevel="0" collapsed="false">
      <c r="R430" s="424"/>
      <c r="S430" s="424"/>
      <c r="T430" s="424"/>
      <c r="U430" s="424"/>
      <c r="V430" s="424"/>
      <c r="W430" s="424"/>
      <c r="Y430" s="424"/>
      <c r="Z430" s="424"/>
    </row>
    <row r="431" customFormat="false" ht="15.75" hidden="false" customHeight="false" outlineLevel="0" collapsed="false">
      <c r="R431" s="424"/>
      <c r="S431" s="424"/>
      <c r="T431" s="424"/>
      <c r="U431" s="424"/>
      <c r="V431" s="424"/>
      <c r="W431" s="424"/>
      <c r="Y431" s="424"/>
      <c r="Z431" s="424"/>
    </row>
    <row r="432" customFormat="false" ht="15.75" hidden="false" customHeight="false" outlineLevel="0" collapsed="false">
      <c r="R432" s="424"/>
      <c r="S432" s="424"/>
      <c r="T432" s="424"/>
      <c r="U432" s="424"/>
      <c r="V432" s="424"/>
      <c r="W432" s="424"/>
      <c r="Y432" s="424"/>
      <c r="Z432" s="424"/>
    </row>
    <row r="433" customFormat="false" ht="15.75" hidden="false" customHeight="false" outlineLevel="0" collapsed="false">
      <c r="R433" s="424"/>
      <c r="S433" s="424"/>
      <c r="T433" s="424"/>
      <c r="U433" s="424"/>
      <c r="V433" s="424"/>
      <c r="W433" s="424"/>
      <c r="Y433" s="424"/>
      <c r="Z433" s="424"/>
    </row>
    <row r="434" customFormat="false" ht="15.75" hidden="false" customHeight="false" outlineLevel="0" collapsed="false">
      <c r="R434" s="424"/>
      <c r="S434" s="424"/>
      <c r="T434" s="424"/>
      <c r="U434" s="424"/>
      <c r="V434" s="424"/>
      <c r="W434" s="424"/>
      <c r="Y434" s="424"/>
      <c r="Z434" s="424"/>
    </row>
    <row r="435" customFormat="false" ht="15.75" hidden="false" customHeight="false" outlineLevel="0" collapsed="false">
      <c r="R435" s="424"/>
      <c r="S435" s="424"/>
      <c r="T435" s="424"/>
      <c r="U435" s="424"/>
      <c r="V435" s="424"/>
      <c r="W435" s="424"/>
      <c r="Y435" s="424"/>
      <c r="Z435" s="424"/>
    </row>
    <row r="436" customFormat="false" ht="15.75" hidden="false" customHeight="false" outlineLevel="0" collapsed="false">
      <c r="R436" s="424"/>
      <c r="S436" s="424"/>
      <c r="T436" s="424"/>
      <c r="U436" s="424"/>
      <c r="V436" s="424"/>
      <c r="W436" s="424"/>
      <c r="Y436" s="424"/>
      <c r="Z436" s="424"/>
    </row>
    <row r="437" customFormat="false" ht="15.75" hidden="false" customHeight="false" outlineLevel="0" collapsed="false">
      <c r="R437" s="424"/>
      <c r="S437" s="424"/>
      <c r="T437" s="424"/>
      <c r="U437" s="424"/>
      <c r="V437" s="424"/>
      <c r="W437" s="424"/>
      <c r="Y437" s="424"/>
      <c r="Z437" s="424"/>
    </row>
    <row r="438" customFormat="false" ht="15.75" hidden="false" customHeight="false" outlineLevel="0" collapsed="false">
      <c r="R438" s="424"/>
      <c r="S438" s="424"/>
      <c r="T438" s="424"/>
      <c r="U438" s="424"/>
      <c r="V438" s="424"/>
      <c r="W438" s="424"/>
      <c r="Y438" s="424"/>
      <c r="Z438" s="424"/>
    </row>
    <row r="439" customFormat="false" ht="15.75" hidden="false" customHeight="false" outlineLevel="0" collapsed="false">
      <c r="R439" s="424"/>
      <c r="S439" s="424"/>
      <c r="T439" s="424"/>
      <c r="U439" s="424"/>
      <c r="V439" s="424"/>
      <c r="W439" s="424"/>
      <c r="Y439" s="424"/>
      <c r="Z439" s="424"/>
    </row>
    <row r="440" customFormat="false" ht="15.75" hidden="false" customHeight="false" outlineLevel="0" collapsed="false">
      <c r="R440" s="424"/>
      <c r="S440" s="424"/>
      <c r="T440" s="424"/>
      <c r="U440" s="424"/>
      <c r="V440" s="424"/>
      <c r="W440" s="424"/>
      <c r="Y440" s="424"/>
      <c r="Z440" s="424"/>
    </row>
    <row r="441" customFormat="false" ht="15.75" hidden="false" customHeight="false" outlineLevel="0" collapsed="false">
      <c r="R441" s="424"/>
      <c r="S441" s="424"/>
      <c r="T441" s="424"/>
      <c r="U441" s="424"/>
      <c r="V441" s="424"/>
      <c r="W441" s="424"/>
      <c r="Y441" s="424"/>
      <c r="Z441" s="424"/>
    </row>
    <row r="442" customFormat="false" ht="15.75" hidden="false" customHeight="false" outlineLevel="0" collapsed="false">
      <c r="R442" s="424"/>
      <c r="S442" s="424"/>
      <c r="T442" s="424"/>
      <c r="U442" s="424"/>
      <c r="V442" s="424"/>
      <c r="W442" s="424"/>
      <c r="Y442" s="424"/>
      <c r="Z442" s="424"/>
    </row>
    <row r="443" customFormat="false" ht="15.75" hidden="false" customHeight="false" outlineLevel="0" collapsed="false">
      <c r="R443" s="424"/>
      <c r="S443" s="424"/>
      <c r="T443" s="424"/>
      <c r="U443" s="424"/>
      <c r="V443" s="424"/>
      <c r="W443" s="424"/>
      <c r="Y443" s="424"/>
      <c r="Z443" s="424"/>
    </row>
    <row r="444" customFormat="false" ht="15.75" hidden="false" customHeight="false" outlineLevel="0" collapsed="false">
      <c r="R444" s="424"/>
      <c r="S444" s="424"/>
      <c r="T444" s="424"/>
      <c r="U444" s="424"/>
      <c r="V444" s="424"/>
      <c r="W444" s="424"/>
      <c r="Y444" s="424"/>
      <c r="Z444" s="424"/>
    </row>
    <row r="445" customFormat="false" ht="15.75" hidden="false" customHeight="false" outlineLevel="0" collapsed="false">
      <c r="R445" s="424"/>
      <c r="S445" s="424"/>
      <c r="T445" s="424"/>
      <c r="U445" s="424"/>
      <c r="V445" s="424"/>
      <c r="W445" s="424"/>
      <c r="Y445" s="424"/>
      <c r="Z445" s="424"/>
    </row>
    <row r="446" customFormat="false" ht="15.75" hidden="false" customHeight="false" outlineLevel="0" collapsed="false">
      <c r="R446" s="424"/>
      <c r="S446" s="424"/>
      <c r="T446" s="424"/>
      <c r="U446" s="424"/>
      <c r="V446" s="424"/>
      <c r="W446" s="424"/>
      <c r="Y446" s="424"/>
      <c r="Z446" s="424"/>
    </row>
    <row r="447" customFormat="false" ht="15.75" hidden="false" customHeight="false" outlineLevel="0" collapsed="false">
      <c r="R447" s="424"/>
      <c r="S447" s="424"/>
      <c r="T447" s="424"/>
      <c r="U447" s="424"/>
      <c r="V447" s="424"/>
      <c r="W447" s="424"/>
      <c r="Y447" s="424"/>
      <c r="Z447" s="424"/>
    </row>
    <row r="448" customFormat="false" ht="15.75" hidden="false" customHeight="false" outlineLevel="0" collapsed="false">
      <c r="R448" s="424"/>
      <c r="S448" s="424"/>
      <c r="T448" s="424"/>
      <c r="U448" s="424"/>
      <c r="V448" s="424"/>
      <c r="W448" s="424"/>
      <c r="Y448" s="424"/>
      <c r="Z448" s="424"/>
    </row>
    <row r="449" customFormat="false" ht="15.75" hidden="false" customHeight="false" outlineLevel="0" collapsed="false">
      <c r="R449" s="424"/>
      <c r="S449" s="424"/>
      <c r="T449" s="424"/>
      <c r="U449" s="424"/>
      <c r="V449" s="424"/>
      <c r="W449" s="424"/>
      <c r="Y449" s="424"/>
      <c r="Z449" s="424"/>
    </row>
    <row r="450" customFormat="false" ht="15.75" hidden="false" customHeight="false" outlineLevel="0" collapsed="false">
      <c r="R450" s="424"/>
      <c r="S450" s="424"/>
      <c r="T450" s="424"/>
      <c r="U450" s="424"/>
      <c r="V450" s="424"/>
      <c r="W450" s="424"/>
      <c r="Y450" s="424"/>
      <c r="Z450" s="424"/>
    </row>
    <row r="451" customFormat="false" ht="15.75" hidden="false" customHeight="false" outlineLevel="0" collapsed="false">
      <c r="R451" s="424"/>
      <c r="S451" s="424"/>
      <c r="T451" s="424"/>
      <c r="U451" s="424"/>
      <c r="V451" s="424"/>
      <c r="W451" s="424"/>
      <c r="Y451" s="424"/>
      <c r="Z451" s="424"/>
    </row>
    <row r="452" customFormat="false" ht="15.75" hidden="false" customHeight="false" outlineLevel="0" collapsed="false">
      <c r="R452" s="424"/>
      <c r="S452" s="424"/>
      <c r="T452" s="424"/>
      <c r="U452" s="424"/>
      <c r="V452" s="424"/>
      <c r="W452" s="424"/>
      <c r="Y452" s="424"/>
      <c r="Z452" s="424"/>
    </row>
    <row r="453" customFormat="false" ht="15.75" hidden="false" customHeight="false" outlineLevel="0" collapsed="false">
      <c r="R453" s="424"/>
      <c r="S453" s="424"/>
      <c r="T453" s="424"/>
      <c r="U453" s="424"/>
      <c r="V453" s="424"/>
      <c r="W453" s="424"/>
      <c r="Y453" s="424"/>
      <c r="Z453" s="424"/>
    </row>
    <row r="454" customFormat="false" ht="15.75" hidden="false" customHeight="false" outlineLevel="0" collapsed="false">
      <c r="R454" s="424"/>
      <c r="S454" s="424"/>
      <c r="T454" s="424"/>
      <c r="U454" s="424"/>
      <c r="V454" s="424"/>
      <c r="W454" s="424"/>
      <c r="Y454" s="424"/>
      <c r="Z454" s="424"/>
    </row>
    <row r="455" customFormat="false" ht="15.75" hidden="false" customHeight="false" outlineLevel="0" collapsed="false">
      <c r="R455" s="424"/>
      <c r="S455" s="424"/>
      <c r="T455" s="424"/>
      <c r="U455" s="424"/>
      <c r="V455" s="424"/>
      <c r="W455" s="424"/>
      <c r="Y455" s="424"/>
      <c r="Z455" s="424"/>
    </row>
    <row r="456" customFormat="false" ht="15.75" hidden="false" customHeight="false" outlineLevel="0" collapsed="false">
      <c r="R456" s="424"/>
      <c r="S456" s="424"/>
      <c r="T456" s="424"/>
      <c r="U456" s="424"/>
      <c r="V456" s="424"/>
      <c r="W456" s="424"/>
      <c r="Y456" s="424"/>
      <c r="Z456" s="424"/>
    </row>
    <row r="457" customFormat="false" ht="15.75" hidden="false" customHeight="false" outlineLevel="0" collapsed="false">
      <c r="R457" s="424"/>
      <c r="S457" s="424"/>
      <c r="T457" s="424"/>
      <c r="U457" s="424"/>
      <c r="V457" s="424"/>
      <c r="W457" s="424"/>
      <c r="Y457" s="424"/>
      <c r="Z457" s="424"/>
    </row>
    <row r="458" customFormat="false" ht="15.75" hidden="false" customHeight="false" outlineLevel="0" collapsed="false">
      <c r="R458" s="424"/>
      <c r="S458" s="424"/>
      <c r="T458" s="424"/>
      <c r="U458" s="424"/>
      <c r="V458" s="424"/>
      <c r="W458" s="424"/>
      <c r="Y458" s="424"/>
      <c r="Z458" s="424"/>
    </row>
    <row r="459" customFormat="false" ht="15.75" hidden="false" customHeight="false" outlineLevel="0" collapsed="false">
      <c r="R459" s="424"/>
      <c r="S459" s="424"/>
      <c r="T459" s="424"/>
      <c r="U459" s="424"/>
      <c r="V459" s="424"/>
      <c r="W459" s="424"/>
      <c r="Y459" s="424"/>
      <c r="Z459" s="424"/>
    </row>
    <row r="460" customFormat="false" ht="15.75" hidden="false" customHeight="false" outlineLevel="0" collapsed="false">
      <c r="R460" s="424"/>
      <c r="S460" s="424"/>
      <c r="T460" s="424"/>
      <c r="U460" s="424"/>
      <c r="V460" s="424"/>
      <c r="W460" s="424"/>
      <c r="Y460" s="424"/>
      <c r="Z460" s="424"/>
    </row>
    <row r="461" customFormat="false" ht="15.75" hidden="false" customHeight="false" outlineLevel="0" collapsed="false">
      <c r="R461" s="424"/>
      <c r="S461" s="424"/>
      <c r="T461" s="424"/>
      <c r="U461" s="424"/>
      <c r="V461" s="424"/>
      <c r="W461" s="424"/>
      <c r="Y461" s="424"/>
      <c r="Z461" s="424"/>
    </row>
    <row r="462" customFormat="false" ht="15.75" hidden="false" customHeight="false" outlineLevel="0" collapsed="false">
      <c r="R462" s="424"/>
      <c r="S462" s="424"/>
      <c r="T462" s="424"/>
      <c r="U462" s="424"/>
      <c r="V462" s="424"/>
      <c r="W462" s="424"/>
      <c r="Y462" s="424"/>
      <c r="Z462" s="424"/>
    </row>
    <row r="463" customFormat="false" ht="15.75" hidden="false" customHeight="false" outlineLevel="0" collapsed="false">
      <c r="R463" s="424"/>
      <c r="S463" s="424"/>
      <c r="T463" s="424"/>
      <c r="U463" s="424"/>
      <c r="V463" s="424"/>
      <c r="W463" s="424"/>
      <c r="Y463" s="424"/>
      <c r="Z463" s="424"/>
    </row>
    <row r="464" customFormat="false" ht="15.75" hidden="false" customHeight="false" outlineLevel="0" collapsed="false">
      <c r="R464" s="424"/>
      <c r="S464" s="424"/>
      <c r="T464" s="424"/>
      <c r="U464" s="424"/>
      <c r="V464" s="424"/>
      <c r="W464" s="424"/>
      <c r="Y464" s="424"/>
      <c r="Z464" s="424"/>
    </row>
    <row r="465" customFormat="false" ht="15.75" hidden="false" customHeight="false" outlineLevel="0" collapsed="false">
      <c r="R465" s="424"/>
      <c r="S465" s="424"/>
      <c r="T465" s="424"/>
      <c r="U465" s="424"/>
      <c r="V465" s="424"/>
      <c r="W465" s="424"/>
      <c r="Y465" s="424"/>
      <c r="Z465" s="424"/>
    </row>
    <row r="466" customFormat="false" ht="15.75" hidden="false" customHeight="false" outlineLevel="0" collapsed="false">
      <c r="R466" s="424"/>
      <c r="S466" s="424"/>
      <c r="T466" s="424"/>
      <c r="U466" s="424"/>
      <c r="V466" s="424"/>
      <c r="W466" s="424"/>
      <c r="Y466" s="424"/>
      <c r="Z466" s="424"/>
    </row>
    <row r="467" customFormat="false" ht="15.75" hidden="false" customHeight="false" outlineLevel="0" collapsed="false">
      <c r="R467" s="424"/>
      <c r="S467" s="424"/>
      <c r="T467" s="424"/>
      <c r="U467" s="424"/>
      <c r="V467" s="424"/>
      <c r="W467" s="424"/>
      <c r="Y467" s="424"/>
      <c r="Z467" s="424"/>
    </row>
    <row r="468" customFormat="false" ht="15.75" hidden="false" customHeight="false" outlineLevel="0" collapsed="false">
      <c r="R468" s="424"/>
      <c r="S468" s="424"/>
      <c r="T468" s="424"/>
      <c r="U468" s="424"/>
      <c r="V468" s="424"/>
      <c r="W468" s="424"/>
      <c r="Y468" s="424"/>
      <c r="Z468" s="424"/>
    </row>
    <row r="469" customFormat="false" ht="15.75" hidden="false" customHeight="false" outlineLevel="0" collapsed="false">
      <c r="R469" s="424"/>
      <c r="S469" s="424"/>
      <c r="T469" s="424"/>
      <c r="U469" s="424"/>
      <c r="V469" s="424"/>
      <c r="W469" s="424"/>
      <c r="Y469" s="424"/>
      <c r="Z469" s="424"/>
    </row>
    <row r="470" customFormat="false" ht="15.75" hidden="false" customHeight="false" outlineLevel="0" collapsed="false">
      <c r="R470" s="424"/>
      <c r="S470" s="424"/>
      <c r="T470" s="424"/>
      <c r="U470" s="424"/>
      <c r="V470" s="424"/>
      <c r="W470" s="424"/>
      <c r="Y470" s="424"/>
      <c r="Z470" s="424"/>
    </row>
    <row r="471" customFormat="false" ht="15.75" hidden="false" customHeight="false" outlineLevel="0" collapsed="false">
      <c r="R471" s="424"/>
      <c r="S471" s="424"/>
      <c r="T471" s="424"/>
      <c r="U471" s="424"/>
      <c r="V471" s="424"/>
      <c r="W471" s="424"/>
      <c r="Y471" s="424"/>
      <c r="Z471" s="424"/>
    </row>
    <row r="472" customFormat="false" ht="15.75" hidden="false" customHeight="false" outlineLevel="0" collapsed="false">
      <c r="R472" s="424"/>
      <c r="S472" s="424"/>
      <c r="T472" s="424"/>
      <c r="U472" s="424"/>
      <c r="V472" s="424"/>
      <c r="W472" s="424"/>
      <c r="Y472" s="424"/>
      <c r="Z472" s="424"/>
    </row>
    <row r="473" customFormat="false" ht="15.75" hidden="false" customHeight="false" outlineLevel="0" collapsed="false">
      <c r="R473" s="424"/>
      <c r="S473" s="424"/>
      <c r="T473" s="424"/>
      <c r="U473" s="424"/>
      <c r="V473" s="424"/>
      <c r="W473" s="424"/>
      <c r="Y473" s="424"/>
      <c r="Z473" s="424"/>
    </row>
    <row r="474" customFormat="false" ht="15.75" hidden="false" customHeight="false" outlineLevel="0" collapsed="false">
      <c r="R474" s="424"/>
      <c r="S474" s="424"/>
      <c r="T474" s="424"/>
      <c r="U474" s="424"/>
      <c r="V474" s="424"/>
      <c r="W474" s="424"/>
      <c r="Y474" s="424"/>
      <c r="Z474" s="424"/>
    </row>
    <row r="475" customFormat="false" ht="15.75" hidden="false" customHeight="false" outlineLevel="0" collapsed="false">
      <c r="R475" s="424"/>
      <c r="S475" s="424"/>
      <c r="T475" s="424"/>
      <c r="U475" s="424"/>
      <c r="V475" s="424"/>
      <c r="W475" s="424"/>
      <c r="Y475" s="424"/>
      <c r="Z475" s="424"/>
    </row>
    <row r="476" customFormat="false" ht="15.75" hidden="false" customHeight="false" outlineLevel="0" collapsed="false">
      <c r="R476" s="424"/>
      <c r="S476" s="424"/>
      <c r="T476" s="424"/>
      <c r="U476" s="424"/>
      <c r="V476" s="424"/>
      <c r="W476" s="424"/>
      <c r="Y476" s="424"/>
      <c r="Z476" s="424"/>
    </row>
    <row r="477" customFormat="false" ht="15.75" hidden="false" customHeight="false" outlineLevel="0" collapsed="false">
      <c r="R477" s="424"/>
      <c r="S477" s="424"/>
      <c r="T477" s="424"/>
      <c r="U477" s="424"/>
      <c r="V477" s="424"/>
      <c r="W477" s="424"/>
      <c r="Y477" s="424"/>
      <c r="Z477" s="424"/>
    </row>
    <row r="478" customFormat="false" ht="15.75" hidden="false" customHeight="false" outlineLevel="0" collapsed="false">
      <c r="R478" s="424"/>
      <c r="S478" s="424"/>
      <c r="T478" s="424"/>
      <c r="U478" s="424"/>
      <c r="V478" s="424"/>
      <c r="W478" s="424"/>
      <c r="Y478" s="424"/>
      <c r="Z478" s="424"/>
    </row>
    <row r="479" customFormat="false" ht="15.75" hidden="false" customHeight="false" outlineLevel="0" collapsed="false">
      <c r="R479" s="424"/>
      <c r="S479" s="424"/>
      <c r="T479" s="424"/>
      <c r="U479" s="424"/>
      <c r="V479" s="424"/>
      <c r="W479" s="424"/>
      <c r="Y479" s="424"/>
      <c r="Z479" s="424"/>
    </row>
    <row r="480" customFormat="false" ht="15.75" hidden="false" customHeight="false" outlineLevel="0" collapsed="false">
      <c r="R480" s="424"/>
      <c r="S480" s="424"/>
      <c r="T480" s="424"/>
      <c r="U480" s="424"/>
      <c r="V480" s="424"/>
      <c r="W480" s="424"/>
      <c r="Y480" s="424"/>
      <c r="Z480" s="424"/>
    </row>
    <row r="481" customFormat="false" ht="15.75" hidden="false" customHeight="false" outlineLevel="0" collapsed="false">
      <c r="R481" s="424"/>
      <c r="S481" s="424"/>
      <c r="T481" s="424"/>
      <c r="U481" s="424"/>
      <c r="V481" s="424"/>
      <c r="W481" s="424"/>
      <c r="Y481" s="424"/>
      <c r="Z481" s="424"/>
    </row>
    <row r="482" customFormat="false" ht="15.75" hidden="false" customHeight="false" outlineLevel="0" collapsed="false">
      <c r="R482" s="424"/>
      <c r="S482" s="424"/>
      <c r="T482" s="424"/>
      <c r="U482" s="424"/>
      <c r="V482" s="424"/>
      <c r="W482" s="424"/>
      <c r="Y482" s="424"/>
      <c r="Z482" s="424"/>
    </row>
    <row r="483" customFormat="false" ht="15.75" hidden="false" customHeight="false" outlineLevel="0" collapsed="false">
      <c r="R483" s="424"/>
      <c r="S483" s="424"/>
      <c r="T483" s="424"/>
      <c r="U483" s="424"/>
      <c r="V483" s="424"/>
      <c r="W483" s="424"/>
      <c r="Y483" s="424"/>
      <c r="Z483" s="424"/>
    </row>
    <row r="484" customFormat="false" ht="15.75" hidden="false" customHeight="false" outlineLevel="0" collapsed="false">
      <c r="R484" s="424"/>
      <c r="S484" s="424"/>
      <c r="T484" s="424"/>
      <c r="U484" s="424"/>
      <c r="V484" s="424"/>
      <c r="W484" s="424"/>
      <c r="Y484" s="424"/>
      <c r="Z484" s="424"/>
    </row>
    <row r="485" customFormat="false" ht="15.75" hidden="false" customHeight="false" outlineLevel="0" collapsed="false">
      <c r="R485" s="424"/>
      <c r="S485" s="424"/>
      <c r="T485" s="424"/>
      <c r="U485" s="424"/>
      <c r="V485" s="424"/>
      <c r="W485" s="424"/>
      <c r="Y485" s="424"/>
      <c r="Z485" s="424"/>
    </row>
    <row r="486" customFormat="false" ht="15.75" hidden="false" customHeight="false" outlineLevel="0" collapsed="false">
      <c r="R486" s="424"/>
      <c r="S486" s="424"/>
      <c r="T486" s="424"/>
      <c r="U486" s="424"/>
      <c r="V486" s="424"/>
      <c r="W486" s="424"/>
      <c r="Y486" s="424"/>
      <c r="Z486" s="424"/>
    </row>
    <row r="487" customFormat="false" ht="15.75" hidden="false" customHeight="false" outlineLevel="0" collapsed="false">
      <c r="R487" s="424"/>
      <c r="S487" s="424"/>
      <c r="T487" s="424"/>
      <c r="U487" s="424"/>
      <c r="V487" s="424"/>
      <c r="W487" s="424"/>
      <c r="Y487" s="424"/>
      <c r="Z487" s="424"/>
    </row>
    <row r="488" customFormat="false" ht="15.75" hidden="false" customHeight="false" outlineLevel="0" collapsed="false">
      <c r="R488" s="424"/>
      <c r="S488" s="424"/>
      <c r="T488" s="424"/>
      <c r="U488" s="424"/>
      <c r="V488" s="424"/>
      <c r="W488" s="424"/>
      <c r="Y488" s="424"/>
      <c r="Z488" s="424"/>
    </row>
    <row r="489" customFormat="false" ht="15.75" hidden="false" customHeight="false" outlineLevel="0" collapsed="false">
      <c r="R489" s="424"/>
      <c r="S489" s="424"/>
      <c r="T489" s="424"/>
      <c r="U489" s="424"/>
      <c r="V489" s="424"/>
      <c r="W489" s="424"/>
      <c r="Y489" s="424"/>
      <c r="Z489" s="424"/>
    </row>
    <row r="490" customFormat="false" ht="15.75" hidden="false" customHeight="false" outlineLevel="0" collapsed="false">
      <c r="R490" s="424"/>
      <c r="S490" s="424"/>
      <c r="T490" s="424"/>
      <c r="U490" s="424"/>
      <c r="V490" s="424"/>
      <c r="W490" s="424"/>
      <c r="Y490" s="424"/>
      <c r="Z490" s="424"/>
    </row>
    <row r="491" customFormat="false" ht="15.75" hidden="false" customHeight="false" outlineLevel="0" collapsed="false">
      <c r="R491" s="424"/>
      <c r="S491" s="424"/>
      <c r="T491" s="424"/>
      <c r="U491" s="424"/>
      <c r="V491" s="424"/>
      <c r="W491" s="424"/>
      <c r="Y491" s="424"/>
      <c r="Z491" s="424"/>
    </row>
    <row r="492" customFormat="false" ht="15.75" hidden="false" customHeight="false" outlineLevel="0" collapsed="false">
      <c r="R492" s="424"/>
      <c r="S492" s="424"/>
      <c r="T492" s="424"/>
      <c r="U492" s="424"/>
      <c r="V492" s="424"/>
      <c r="W492" s="424"/>
      <c r="Y492" s="424"/>
      <c r="Z492" s="424"/>
    </row>
    <row r="493" customFormat="false" ht="15.75" hidden="false" customHeight="false" outlineLevel="0" collapsed="false">
      <c r="R493" s="424"/>
      <c r="S493" s="424"/>
      <c r="T493" s="424"/>
      <c r="U493" s="424"/>
      <c r="V493" s="424"/>
      <c r="W493" s="424"/>
      <c r="Y493" s="424"/>
      <c r="Z493" s="424"/>
    </row>
    <row r="494" customFormat="false" ht="15.75" hidden="false" customHeight="false" outlineLevel="0" collapsed="false">
      <c r="R494" s="424"/>
      <c r="S494" s="424"/>
      <c r="T494" s="424"/>
      <c r="U494" s="424"/>
      <c r="V494" s="424"/>
      <c r="W494" s="424"/>
      <c r="Y494" s="424"/>
      <c r="Z494" s="424"/>
    </row>
    <row r="495" customFormat="false" ht="15.75" hidden="false" customHeight="false" outlineLevel="0" collapsed="false">
      <c r="R495" s="424"/>
      <c r="S495" s="424"/>
      <c r="T495" s="424"/>
      <c r="U495" s="424"/>
      <c r="V495" s="424"/>
      <c r="W495" s="424"/>
      <c r="Y495" s="424"/>
      <c r="Z495" s="424"/>
    </row>
    <row r="496" customFormat="false" ht="15.75" hidden="false" customHeight="false" outlineLevel="0" collapsed="false">
      <c r="R496" s="424"/>
      <c r="S496" s="424"/>
      <c r="T496" s="424"/>
      <c r="U496" s="424"/>
      <c r="V496" s="424"/>
      <c r="W496" s="424"/>
      <c r="Y496" s="424"/>
      <c r="Z496" s="424"/>
    </row>
    <row r="497" customFormat="false" ht="15.75" hidden="false" customHeight="false" outlineLevel="0" collapsed="false">
      <c r="R497" s="424"/>
      <c r="S497" s="424"/>
      <c r="T497" s="424"/>
      <c r="U497" s="424"/>
      <c r="V497" s="424"/>
      <c r="W497" s="424"/>
      <c r="Y497" s="424"/>
      <c r="Z497" s="424"/>
    </row>
    <row r="498" customFormat="false" ht="15.75" hidden="false" customHeight="false" outlineLevel="0" collapsed="false">
      <c r="R498" s="424"/>
      <c r="S498" s="424"/>
      <c r="T498" s="424"/>
      <c r="U498" s="424"/>
      <c r="V498" s="424"/>
      <c r="W498" s="424"/>
      <c r="Y498" s="424"/>
      <c r="Z498" s="424"/>
    </row>
    <row r="499" customFormat="false" ht="15.75" hidden="false" customHeight="false" outlineLevel="0" collapsed="false">
      <c r="R499" s="424"/>
      <c r="S499" s="424"/>
      <c r="T499" s="424"/>
      <c r="U499" s="424"/>
      <c r="V499" s="424"/>
      <c r="W499" s="424"/>
      <c r="Y499" s="424"/>
      <c r="Z499" s="424"/>
    </row>
    <row r="500" customFormat="false" ht="15.75" hidden="false" customHeight="false" outlineLevel="0" collapsed="false">
      <c r="R500" s="424"/>
      <c r="S500" s="424"/>
      <c r="T500" s="424"/>
      <c r="U500" s="424"/>
      <c r="V500" s="424"/>
      <c r="W500" s="424"/>
      <c r="Y500" s="424"/>
      <c r="Z500" s="424"/>
    </row>
    <row r="501" customFormat="false" ht="15.75" hidden="false" customHeight="false" outlineLevel="0" collapsed="false">
      <c r="R501" s="424"/>
      <c r="S501" s="424"/>
      <c r="T501" s="424"/>
      <c r="U501" s="424"/>
      <c r="V501" s="424"/>
      <c r="W501" s="424"/>
      <c r="Y501" s="424"/>
      <c r="Z501" s="424"/>
    </row>
    <row r="502" customFormat="false" ht="15.75" hidden="false" customHeight="false" outlineLevel="0" collapsed="false">
      <c r="R502" s="424"/>
      <c r="S502" s="424"/>
      <c r="T502" s="424"/>
      <c r="U502" s="424"/>
      <c r="V502" s="424"/>
      <c r="W502" s="424"/>
      <c r="Y502" s="424"/>
      <c r="Z502" s="424"/>
    </row>
    <row r="503" customFormat="false" ht="15.75" hidden="false" customHeight="false" outlineLevel="0" collapsed="false">
      <c r="R503" s="424"/>
      <c r="S503" s="424"/>
      <c r="T503" s="424"/>
      <c r="U503" s="424"/>
      <c r="V503" s="424"/>
      <c r="W503" s="424"/>
      <c r="Y503" s="424"/>
      <c r="Z503" s="424"/>
    </row>
    <row r="504" customFormat="false" ht="15.75" hidden="false" customHeight="false" outlineLevel="0" collapsed="false">
      <c r="R504" s="424"/>
      <c r="S504" s="424"/>
      <c r="T504" s="424"/>
      <c r="U504" s="424"/>
      <c r="V504" s="424"/>
      <c r="W504" s="424"/>
      <c r="Y504" s="424"/>
      <c r="Z504" s="424"/>
    </row>
    <row r="505" customFormat="false" ht="15.75" hidden="false" customHeight="false" outlineLevel="0" collapsed="false">
      <c r="R505" s="424"/>
      <c r="S505" s="424"/>
      <c r="T505" s="424"/>
      <c r="U505" s="424"/>
      <c r="V505" s="424"/>
      <c r="W505" s="424"/>
      <c r="Y505" s="424"/>
      <c r="Z505" s="424"/>
    </row>
    <row r="506" customFormat="false" ht="15.75" hidden="false" customHeight="false" outlineLevel="0" collapsed="false">
      <c r="R506" s="424"/>
      <c r="S506" s="424"/>
      <c r="T506" s="424"/>
      <c r="U506" s="424"/>
      <c r="V506" s="424"/>
      <c r="W506" s="424"/>
      <c r="Y506" s="424"/>
      <c r="Z506" s="424"/>
    </row>
    <row r="507" customFormat="false" ht="15.75" hidden="false" customHeight="false" outlineLevel="0" collapsed="false">
      <c r="R507" s="424"/>
      <c r="S507" s="424"/>
      <c r="T507" s="424"/>
      <c r="U507" s="424"/>
      <c r="V507" s="424"/>
      <c r="W507" s="424"/>
      <c r="Y507" s="424"/>
      <c r="Z507" s="424"/>
    </row>
    <row r="508" customFormat="false" ht="15.75" hidden="false" customHeight="false" outlineLevel="0" collapsed="false">
      <c r="R508" s="424"/>
      <c r="S508" s="424"/>
      <c r="T508" s="424"/>
      <c r="U508" s="424"/>
      <c r="V508" s="424"/>
      <c r="W508" s="424"/>
      <c r="Y508" s="424"/>
      <c r="Z508" s="424"/>
    </row>
    <row r="509" customFormat="false" ht="15.75" hidden="false" customHeight="false" outlineLevel="0" collapsed="false">
      <c r="R509" s="424"/>
      <c r="S509" s="424"/>
      <c r="T509" s="424"/>
      <c r="U509" s="424"/>
      <c r="V509" s="424"/>
      <c r="W509" s="424"/>
      <c r="Y509" s="424"/>
      <c r="Z509" s="424"/>
    </row>
    <row r="510" customFormat="false" ht="15.75" hidden="false" customHeight="false" outlineLevel="0" collapsed="false">
      <c r="R510" s="424"/>
      <c r="S510" s="424"/>
      <c r="T510" s="424"/>
      <c r="U510" s="424"/>
      <c r="V510" s="424"/>
      <c r="W510" s="424"/>
      <c r="Y510" s="424"/>
      <c r="Z510" s="424"/>
    </row>
    <row r="511" customFormat="false" ht="15.75" hidden="false" customHeight="false" outlineLevel="0" collapsed="false">
      <c r="R511" s="424"/>
      <c r="S511" s="424"/>
      <c r="T511" s="424"/>
      <c r="U511" s="424"/>
      <c r="V511" s="424"/>
      <c r="W511" s="424"/>
      <c r="Y511" s="424"/>
      <c r="Z511" s="424"/>
    </row>
    <row r="512" customFormat="false" ht="15.75" hidden="false" customHeight="false" outlineLevel="0" collapsed="false">
      <c r="R512" s="424"/>
      <c r="S512" s="424"/>
      <c r="T512" s="424"/>
      <c r="U512" s="424"/>
      <c r="V512" s="424"/>
      <c r="W512" s="424"/>
      <c r="Y512" s="424"/>
      <c r="Z512" s="424"/>
    </row>
    <row r="513" customFormat="false" ht="15.75" hidden="false" customHeight="false" outlineLevel="0" collapsed="false">
      <c r="R513" s="424"/>
      <c r="S513" s="424"/>
      <c r="T513" s="424"/>
      <c r="U513" s="424"/>
      <c r="V513" s="424"/>
      <c r="W513" s="424"/>
      <c r="Y513" s="424"/>
      <c r="Z513" s="424"/>
    </row>
    <row r="514" customFormat="false" ht="15.75" hidden="false" customHeight="false" outlineLevel="0" collapsed="false">
      <c r="R514" s="424"/>
      <c r="S514" s="424"/>
      <c r="T514" s="424"/>
      <c r="U514" s="424"/>
      <c r="V514" s="424"/>
      <c r="W514" s="424"/>
      <c r="Y514" s="424"/>
      <c r="Z514" s="424"/>
    </row>
    <row r="515" customFormat="false" ht="15.75" hidden="false" customHeight="false" outlineLevel="0" collapsed="false">
      <c r="R515" s="424"/>
      <c r="S515" s="424"/>
      <c r="T515" s="424"/>
      <c r="U515" s="424"/>
      <c r="V515" s="424"/>
      <c r="W515" s="424"/>
      <c r="Y515" s="424"/>
      <c r="Z515" s="424"/>
    </row>
    <row r="516" customFormat="false" ht="15.75" hidden="false" customHeight="false" outlineLevel="0" collapsed="false">
      <c r="R516" s="424"/>
      <c r="S516" s="424"/>
      <c r="T516" s="424"/>
      <c r="U516" s="424"/>
      <c r="V516" s="424"/>
      <c r="W516" s="424"/>
      <c r="Y516" s="424"/>
      <c r="Z516" s="424"/>
    </row>
    <row r="517" customFormat="false" ht="15.75" hidden="false" customHeight="false" outlineLevel="0" collapsed="false">
      <c r="R517" s="424"/>
      <c r="S517" s="424"/>
      <c r="T517" s="424"/>
      <c r="U517" s="424"/>
      <c r="V517" s="424"/>
      <c r="W517" s="424"/>
      <c r="Y517" s="424"/>
      <c r="Z517" s="424"/>
    </row>
    <row r="518" customFormat="false" ht="15.75" hidden="false" customHeight="false" outlineLevel="0" collapsed="false">
      <c r="R518" s="424"/>
      <c r="S518" s="424"/>
      <c r="T518" s="424"/>
      <c r="U518" s="424"/>
      <c r="V518" s="424"/>
      <c r="W518" s="424"/>
      <c r="Y518" s="424"/>
      <c r="Z518" s="424"/>
    </row>
    <row r="519" customFormat="false" ht="15.75" hidden="false" customHeight="false" outlineLevel="0" collapsed="false">
      <c r="R519" s="424"/>
      <c r="S519" s="424"/>
      <c r="T519" s="424"/>
      <c r="U519" s="424"/>
      <c r="V519" s="424"/>
      <c r="W519" s="424"/>
      <c r="Y519" s="424"/>
      <c r="Z519" s="424"/>
    </row>
    <row r="520" customFormat="false" ht="15.75" hidden="false" customHeight="false" outlineLevel="0" collapsed="false">
      <c r="R520" s="424"/>
      <c r="S520" s="424"/>
      <c r="T520" s="424"/>
      <c r="U520" s="424"/>
      <c r="V520" s="424"/>
      <c r="W520" s="424"/>
      <c r="Y520" s="424"/>
      <c r="Z520" s="424"/>
    </row>
    <row r="521" customFormat="false" ht="15.75" hidden="false" customHeight="false" outlineLevel="0" collapsed="false">
      <c r="R521" s="424"/>
      <c r="S521" s="424"/>
      <c r="T521" s="424"/>
      <c r="U521" s="424"/>
      <c r="V521" s="424"/>
      <c r="W521" s="424"/>
      <c r="Y521" s="424"/>
      <c r="Z521" s="424"/>
    </row>
    <row r="522" customFormat="false" ht="15.75" hidden="false" customHeight="false" outlineLevel="0" collapsed="false">
      <c r="R522" s="424"/>
      <c r="S522" s="424"/>
      <c r="T522" s="424"/>
      <c r="U522" s="424"/>
      <c r="V522" s="424"/>
      <c r="W522" s="424"/>
      <c r="Y522" s="424"/>
      <c r="Z522" s="424"/>
    </row>
    <row r="523" customFormat="false" ht="15.75" hidden="false" customHeight="false" outlineLevel="0" collapsed="false">
      <c r="R523" s="424"/>
      <c r="S523" s="424"/>
      <c r="T523" s="424"/>
      <c r="U523" s="424"/>
      <c r="V523" s="424"/>
      <c r="W523" s="424"/>
      <c r="Y523" s="424"/>
      <c r="Z523" s="424"/>
    </row>
    <row r="524" customFormat="false" ht="15.75" hidden="false" customHeight="false" outlineLevel="0" collapsed="false">
      <c r="R524" s="424"/>
      <c r="S524" s="424"/>
      <c r="T524" s="424"/>
      <c r="U524" s="424"/>
      <c r="V524" s="424"/>
      <c r="W524" s="424"/>
      <c r="Y524" s="424"/>
      <c r="Z524" s="424"/>
    </row>
    <row r="525" customFormat="false" ht="15.75" hidden="false" customHeight="false" outlineLevel="0" collapsed="false">
      <c r="R525" s="424"/>
      <c r="S525" s="424"/>
      <c r="T525" s="424"/>
      <c r="U525" s="424"/>
      <c r="V525" s="424"/>
      <c r="W525" s="424"/>
      <c r="Y525" s="424"/>
      <c r="Z525" s="424"/>
    </row>
    <row r="526" customFormat="false" ht="15.75" hidden="false" customHeight="false" outlineLevel="0" collapsed="false">
      <c r="R526" s="424"/>
      <c r="S526" s="424"/>
      <c r="T526" s="424"/>
      <c r="U526" s="424"/>
      <c r="V526" s="424"/>
      <c r="W526" s="424"/>
      <c r="Y526" s="424"/>
      <c r="Z526" s="424"/>
    </row>
    <row r="527" customFormat="false" ht="15.75" hidden="false" customHeight="false" outlineLevel="0" collapsed="false">
      <c r="R527" s="424"/>
      <c r="S527" s="424"/>
      <c r="T527" s="424"/>
      <c r="U527" s="424"/>
      <c r="V527" s="424"/>
      <c r="W527" s="424"/>
      <c r="Y527" s="424"/>
      <c r="Z527" s="424"/>
    </row>
    <row r="528" customFormat="false" ht="15.75" hidden="false" customHeight="false" outlineLevel="0" collapsed="false">
      <c r="R528" s="424"/>
      <c r="S528" s="424"/>
      <c r="T528" s="424"/>
      <c r="U528" s="424"/>
      <c r="V528" s="424"/>
      <c r="W528" s="424"/>
      <c r="Y528" s="424"/>
      <c r="Z528" s="424"/>
    </row>
    <row r="529" customFormat="false" ht="15.75" hidden="false" customHeight="false" outlineLevel="0" collapsed="false">
      <c r="R529" s="424"/>
      <c r="S529" s="424"/>
      <c r="T529" s="424"/>
      <c r="U529" s="424"/>
      <c r="V529" s="424"/>
      <c r="W529" s="424"/>
      <c r="Y529" s="424"/>
      <c r="Z529" s="424"/>
    </row>
    <row r="530" customFormat="false" ht="15.75" hidden="false" customHeight="false" outlineLevel="0" collapsed="false">
      <c r="R530" s="424"/>
      <c r="S530" s="424"/>
      <c r="T530" s="424"/>
      <c r="U530" s="424"/>
      <c r="V530" s="424"/>
      <c r="W530" s="424"/>
      <c r="Y530" s="424"/>
      <c r="Z530" s="424"/>
    </row>
    <row r="531" customFormat="false" ht="15.75" hidden="false" customHeight="false" outlineLevel="0" collapsed="false">
      <c r="R531" s="424"/>
      <c r="S531" s="424"/>
      <c r="T531" s="424"/>
      <c r="U531" s="424"/>
      <c r="V531" s="424"/>
      <c r="W531" s="424"/>
      <c r="Y531" s="424"/>
      <c r="Z531" s="424"/>
    </row>
    <row r="532" customFormat="false" ht="15.75" hidden="false" customHeight="false" outlineLevel="0" collapsed="false">
      <c r="R532" s="424"/>
      <c r="S532" s="424"/>
      <c r="T532" s="424"/>
      <c r="U532" s="424"/>
      <c r="V532" s="424"/>
      <c r="W532" s="424"/>
      <c r="Y532" s="424"/>
      <c r="Z532" s="424"/>
    </row>
    <row r="533" customFormat="false" ht="15.75" hidden="false" customHeight="false" outlineLevel="0" collapsed="false">
      <c r="R533" s="424"/>
      <c r="S533" s="424"/>
      <c r="T533" s="424"/>
      <c r="U533" s="424"/>
      <c r="V533" s="424"/>
      <c r="W533" s="424"/>
      <c r="Y533" s="424"/>
      <c r="Z533" s="424"/>
    </row>
    <row r="534" customFormat="false" ht="15.75" hidden="false" customHeight="false" outlineLevel="0" collapsed="false">
      <c r="R534" s="424"/>
      <c r="S534" s="424"/>
      <c r="T534" s="424"/>
      <c r="U534" s="424"/>
      <c r="V534" s="424"/>
      <c r="W534" s="424"/>
      <c r="Y534" s="424"/>
      <c r="Z534" s="424"/>
    </row>
    <row r="535" customFormat="false" ht="15.75" hidden="false" customHeight="false" outlineLevel="0" collapsed="false">
      <c r="R535" s="424"/>
      <c r="S535" s="424"/>
      <c r="T535" s="424"/>
      <c r="U535" s="424"/>
      <c r="V535" s="424"/>
      <c r="W535" s="424"/>
      <c r="Y535" s="424"/>
      <c r="Z535" s="424"/>
    </row>
    <row r="536" customFormat="false" ht="15.75" hidden="false" customHeight="false" outlineLevel="0" collapsed="false">
      <c r="R536" s="424"/>
      <c r="S536" s="424"/>
      <c r="T536" s="424"/>
      <c r="U536" s="424"/>
      <c r="V536" s="424"/>
      <c r="W536" s="424"/>
      <c r="Y536" s="424"/>
      <c r="Z536" s="424"/>
    </row>
    <row r="537" customFormat="false" ht="15.75" hidden="false" customHeight="false" outlineLevel="0" collapsed="false">
      <c r="R537" s="424"/>
      <c r="S537" s="424"/>
      <c r="T537" s="424"/>
      <c r="U537" s="424"/>
      <c r="V537" s="424"/>
      <c r="W537" s="424"/>
      <c r="Y537" s="424"/>
      <c r="Z537" s="424"/>
    </row>
    <row r="538" customFormat="false" ht="15.75" hidden="false" customHeight="false" outlineLevel="0" collapsed="false">
      <c r="R538" s="424"/>
      <c r="S538" s="424"/>
      <c r="T538" s="424"/>
      <c r="U538" s="424"/>
      <c r="V538" s="424"/>
      <c r="W538" s="424"/>
      <c r="Y538" s="424"/>
      <c r="Z538" s="424"/>
    </row>
    <row r="539" customFormat="false" ht="15.75" hidden="false" customHeight="false" outlineLevel="0" collapsed="false">
      <c r="R539" s="424"/>
      <c r="S539" s="424"/>
      <c r="T539" s="424"/>
      <c r="U539" s="424"/>
      <c r="V539" s="424"/>
      <c r="W539" s="424"/>
      <c r="Y539" s="424"/>
      <c r="Z539" s="424"/>
    </row>
    <row r="540" customFormat="false" ht="15.75" hidden="false" customHeight="false" outlineLevel="0" collapsed="false">
      <c r="R540" s="424"/>
      <c r="S540" s="424"/>
      <c r="T540" s="424"/>
      <c r="U540" s="424"/>
      <c r="V540" s="424"/>
      <c r="W540" s="424"/>
      <c r="Y540" s="424"/>
      <c r="Z540" s="424"/>
    </row>
    <row r="541" customFormat="false" ht="15.75" hidden="false" customHeight="false" outlineLevel="0" collapsed="false">
      <c r="R541" s="424"/>
      <c r="S541" s="424"/>
      <c r="T541" s="424"/>
      <c r="U541" s="424"/>
      <c r="V541" s="424"/>
      <c r="W541" s="424"/>
      <c r="Y541" s="424"/>
      <c r="Z541" s="424"/>
    </row>
    <row r="542" customFormat="false" ht="15.75" hidden="false" customHeight="false" outlineLevel="0" collapsed="false">
      <c r="R542" s="424"/>
      <c r="S542" s="424"/>
      <c r="T542" s="424"/>
      <c r="U542" s="424"/>
      <c r="V542" s="424"/>
      <c r="W542" s="424"/>
      <c r="Y542" s="424"/>
      <c r="Z542" s="424"/>
    </row>
    <row r="543" customFormat="false" ht="15.75" hidden="false" customHeight="false" outlineLevel="0" collapsed="false">
      <c r="R543" s="424"/>
      <c r="S543" s="424"/>
      <c r="T543" s="424"/>
      <c r="U543" s="424"/>
      <c r="V543" s="424"/>
      <c r="W543" s="424"/>
      <c r="Y543" s="424"/>
      <c r="Z543" s="424"/>
    </row>
    <row r="544" customFormat="false" ht="15.75" hidden="false" customHeight="false" outlineLevel="0" collapsed="false">
      <c r="R544" s="424"/>
      <c r="S544" s="424"/>
      <c r="T544" s="424"/>
      <c r="U544" s="424"/>
      <c r="V544" s="424"/>
      <c r="W544" s="424"/>
      <c r="Y544" s="424"/>
      <c r="Z544" s="424"/>
    </row>
    <row r="545" customFormat="false" ht="15.75" hidden="false" customHeight="false" outlineLevel="0" collapsed="false">
      <c r="R545" s="424"/>
      <c r="S545" s="424"/>
      <c r="T545" s="424"/>
      <c r="U545" s="424"/>
      <c r="V545" s="424"/>
      <c r="W545" s="424"/>
      <c r="Y545" s="424"/>
      <c r="Z545" s="424"/>
    </row>
    <row r="546" customFormat="false" ht="15.75" hidden="false" customHeight="false" outlineLevel="0" collapsed="false">
      <c r="R546" s="424"/>
      <c r="S546" s="424"/>
      <c r="T546" s="424"/>
      <c r="U546" s="424"/>
      <c r="V546" s="424"/>
      <c r="W546" s="424"/>
      <c r="Y546" s="424"/>
      <c r="Z546" s="424"/>
    </row>
    <row r="547" customFormat="false" ht="15.75" hidden="false" customHeight="false" outlineLevel="0" collapsed="false">
      <c r="R547" s="424"/>
      <c r="S547" s="424"/>
      <c r="T547" s="424"/>
      <c r="U547" s="424"/>
      <c r="V547" s="424"/>
      <c r="W547" s="424"/>
      <c r="Y547" s="424"/>
      <c r="Z547" s="424"/>
    </row>
    <row r="548" customFormat="false" ht="15.75" hidden="false" customHeight="false" outlineLevel="0" collapsed="false">
      <c r="R548" s="424"/>
      <c r="S548" s="424"/>
      <c r="T548" s="424"/>
      <c r="U548" s="424"/>
      <c r="V548" s="424"/>
      <c r="W548" s="424"/>
      <c r="Y548" s="424"/>
      <c r="Z548" s="424"/>
    </row>
    <row r="549" customFormat="false" ht="15.75" hidden="false" customHeight="false" outlineLevel="0" collapsed="false">
      <c r="R549" s="424"/>
      <c r="S549" s="424"/>
      <c r="T549" s="424"/>
      <c r="U549" s="424"/>
      <c r="V549" s="424"/>
      <c r="W549" s="424"/>
      <c r="Y549" s="424"/>
      <c r="Z549" s="424"/>
    </row>
    <row r="550" customFormat="false" ht="15.75" hidden="false" customHeight="false" outlineLevel="0" collapsed="false">
      <c r="R550" s="424"/>
      <c r="S550" s="424"/>
      <c r="T550" s="424"/>
      <c r="U550" s="424"/>
      <c r="V550" s="424"/>
      <c r="W550" s="424"/>
      <c r="Y550" s="424"/>
      <c r="Z550" s="424"/>
    </row>
    <row r="551" customFormat="false" ht="15.75" hidden="false" customHeight="false" outlineLevel="0" collapsed="false">
      <c r="R551" s="424"/>
      <c r="S551" s="424"/>
      <c r="T551" s="424"/>
      <c r="U551" s="424"/>
      <c r="V551" s="424"/>
      <c r="W551" s="424"/>
      <c r="Y551" s="424"/>
      <c r="Z551" s="424"/>
    </row>
    <row r="552" customFormat="false" ht="15.75" hidden="false" customHeight="false" outlineLevel="0" collapsed="false">
      <c r="R552" s="424"/>
      <c r="S552" s="424"/>
      <c r="T552" s="424"/>
      <c r="U552" s="424"/>
      <c r="V552" s="424"/>
      <c r="W552" s="424"/>
      <c r="Y552" s="424"/>
      <c r="Z552" s="424"/>
    </row>
    <row r="553" customFormat="false" ht="15.75" hidden="false" customHeight="false" outlineLevel="0" collapsed="false">
      <c r="R553" s="424"/>
      <c r="S553" s="424"/>
      <c r="T553" s="424"/>
      <c r="U553" s="424"/>
      <c r="V553" s="424"/>
      <c r="W553" s="424"/>
      <c r="Y553" s="424"/>
      <c r="Z553" s="424"/>
    </row>
    <row r="554" customFormat="false" ht="15.75" hidden="false" customHeight="false" outlineLevel="0" collapsed="false">
      <c r="R554" s="424"/>
      <c r="S554" s="424"/>
      <c r="T554" s="424"/>
      <c r="U554" s="424"/>
      <c r="V554" s="424"/>
      <c r="W554" s="424"/>
      <c r="Y554" s="424"/>
      <c r="Z554" s="424"/>
    </row>
    <row r="555" customFormat="false" ht="15.75" hidden="false" customHeight="false" outlineLevel="0" collapsed="false">
      <c r="R555" s="424"/>
      <c r="S555" s="424"/>
      <c r="T555" s="424"/>
      <c r="U555" s="424"/>
      <c r="V555" s="424"/>
      <c r="W555" s="424"/>
      <c r="Y555" s="424"/>
      <c r="Z555" s="424"/>
    </row>
    <row r="556" customFormat="false" ht="15.75" hidden="false" customHeight="false" outlineLevel="0" collapsed="false">
      <c r="R556" s="424"/>
      <c r="S556" s="424"/>
      <c r="T556" s="424"/>
      <c r="U556" s="424"/>
      <c r="V556" s="424"/>
      <c r="W556" s="424"/>
      <c r="Y556" s="424"/>
      <c r="Z556" s="424"/>
    </row>
    <row r="557" customFormat="false" ht="15.75" hidden="false" customHeight="false" outlineLevel="0" collapsed="false">
      <c r="R557" s="424"/>
      <c r="S557" s="424"/>
      <c r="T557" s="424"/>
      <c r="U557" s="424"/>
      <c r="V557" s="424"/>
      <c r="W557" s="424"/>
      <c r="Y557" s="424"/>
      <c r="Z557" s="424"/>
    </row>
    <row r="558" customFormat="false" ht="15.75" hidden="false" customHeight="false" outlineLevel="0" collapsed="false">
      <c r="R558" s="424"/>
      <c r="S558" s="424"/>
      <c r="T558" s="424"/>
      <c r="U558" s="424"/>
      <c r="V558" s="424"/>
      <c r="W558" s="424"/>
      <c r="Y558" s="424"/>
      <c r="Z558" s="424"/>
    </row>
    <row r="559" customFormat="false" ht="15.75" hidden="false" customHeight="false" outlineLevel="0" collapsed="false">
      <c r="R559" s="424"/>
      <c r="S559" s="424"/>
      <c r="T559" s="424"/>
      <c r="U559" s="424"/>
      <c r="V559" s="424"/>
      <c r="W559" s="424"/>
      <c r="Y559" s="424"/>
      <c r="Z559" s="424"/>
    </row>
    <row r="560" customFormat="false" ht="15.75" hidden="false" customHeight="false" outlineLevel="0" collapsed="false">
      <c r="R560" s="424"/>
      <c r="S560" s="424"/>
      <c r="T560" s="424"/>
      <c r="U560" s="424"/>
      <c r="V560" s="424"/>
      <c r="W560" s="424"/>
      <c r="Y560" s="424"/>
      <c r="Z560" s="424"/>
    </row>
    <row r="561" customFormat="false" ht="15.75" hidden="false" customHeight="false" outlineLevel="0" collapsed="false">
      <c r="R561" s="424"/>
      <c r="S561" s="424"/>
      <c r="T561" s="424"/>
      <c r="U561" s="424"/>
      <c r="V561" s="424"/>
      <c r="W561" s="424"/>
      <c r="Y561" s="424"/>
      <c r="Z561" s="424"/>
    </row>
    <row r="562" customFormat="false" ht="15.75" hidden="false" customHeight="false" outlineLevel="0" collapsed="false">
      <c r="R562" s="424"/>
      <c r="S562" s="424"/>
      <c r="T562" s="424"/>
      <c r="U562" s="424"/>
      <c r="V562" s="424"/>
      <c r="W562" s="424"/>
      <c r="Y562" s="424"/>
      <c r="Z562" s="424"/>
    </row>
    <row r="563" customFormat="false" ht="15.75" hidden="false" customHeight="false" outlineLevel="0" collapsed="false">
      <c r="R563" s="424"/>
      <c r="S563" s="424"/>
      <c r="T563" s="424"/>
      <c r="U563" s="424"/>
      <c r="V563" s="424"/>
      <c r="W563" s="424"/>
      <c r="Y563" s="424"/>
      <c r="Z563" s="424"/>
    </row>
    <row r="564" customFormat="false" ht="15.75" hidden="false" customHeight="false" outlineLevel="0" collapsed="false">
      <c r="R564" s="424"/>
      <c r="S564" s="424"/>
      <c r="T564" s="424"/>
      <c r="U564" s="424"/>
      <c r="V564" s="424"/>
      <c r="W564" s="424"/>
      <c r="Y564" s="424"/>
      <c r="Z564" s="424"/>
    </row>
    <row r="565" customFormat="false" ht="15.75" hidden="false" customHeight="false" outlineLevel="0" collapsed="false">
      <c r="R565" s="424"/>
      <c r="S565" s="424"/>
      <c r="T565" s="424"/>
      <c r="U565" s="424"/>
      <c r="V565" s="424"/>
      <c r="W565" s="424"/>
      <c r="Y565" s="424"/>
      <c r="Z565" s="424"/>
    </row>
    <row r="566" customFormat="false" ht="15.75" hidden="false" customHeight="false" outlineLevel="0" collapsed="false">
      <c r="R566" s="424"/>
      <c r="S566" s="424"/>
      <c r="T566" s="424"/>
      <c r="U566" s="424"/>
      <c r="V566" s="424"/>
      <c r="W566" s="424"/>
      <c r="Y566" s="424"/>
      <c r="Z566" s="424"/>
    </row>
    <row r="567" customFormat="false" ht="15.75" hidden="false" customHeight="false" outlineLevel="0" collapsed="false">
      <c r="R567" s="424"/>
      <c r="S567" s="424"/>
      <c r="T567" s="424"/>
      <c r="U567" s="424"/>
      <c r="V567" s="424"/>
      <c r="W567" s="424"/>
      <c r="Y567" s="424"/>
      <c r="Z567" s="424"/>
    </row>
    <row r="568" customFormat="false" ht="15.75" hidden="false" customHeight="false" outlineLevel="0" collapsed="false">
      <c r="R568" s="424"/>
      <c r="S568" s="424"/>
      <c r="T568" s="424"/>
      <c r="U568" s="424"/>
      <c r="V568" s="424"/>
      <c r="W568" s="424"/>
      <c r="Y568" s="424"/>
      <c r="Z568" s="424"/>
    </row>
    <row r="569" customFormat="false" ht="15.75" hidden="false" customHeight="false" outlineLevel="0" collapsed="false">
      <c r="R569" s="424"/>
      <c r="S569" s="424"/>
      <c r="T569" s="424"/>
      <c r="U569" s="424"/>
      <c r="V569" s="424"/>
      <c r="W569" s="424"/>
      <c r="Y569" s="424"/>
      <c r="Z569" s="424"/>
    </row>
    <row r="570" customFormat="false" ht="15.75" hidden="false" customHeight="false" outlineLevel="0" collapsed="false">
      <c r="R570" s="424"/>
      <c r="S570" s="424"/>
      <c r="T570" s="424"/>
      <c r="U570" s="424"/>
      <c r="V570" s="424"/>
      <c r="W570" s="424"/>
      <c r="Y570" s="424"/>
      <c r="Z570" s="424"/>
    </row>
    <row r="571" customFormat="false" ht="15.75" hidden="false" customHeight="false" outlineLevel="0" collapsed="false">
      <c r="R571" s="424"/>
      <c r="S571" s="424"/>
      <c r="T571" s="424"/>
      <c r="U571" s="424"/>
      <c r="V571" s="424"/>
      <c r="W571" s="424"/>
      <c r="Y571" s="424"/>
      <c r="Z571" s="424"/>
    </row>
    <row r="572" customFormat="false" ht="15.75" hidden="false" customHeight="false" outlineLevel="0" collapsed="false">
      <c r="R572" s="424"/>
      <c r="S572" s="424"/>
      <c r="T572" s="424"/>
      <c r="U572" s="424"/>
      <c r="V572" s="424"/>
      <c r="W572" s="424"/>
      <c r="Y572" s="424"/>
      <c r="Z572" s="424"/>
    </row>
    <row r="573" customFormat="false" ht="15.75" hidden="false" customHeight="false" outlineLevel="0" collapsed="false">
      <c r="R573" s="424"/>
      <c r="S573" s="424"/>
      <c r="T573" s="424"/>
      <c r="U573" s="424"/>
      <c r="V573" s="424"/>
      <c r="W573" s="424"/>
      <c r="Y573" s="424"/>
      <c r="Z573" s="424"/>
    </row>
    <row r="574" customFormat="false" ht="15.75" hidden="false" customHeight="false" outlineLevel="0" collapsed="false">
      <c r="R574" s="424"/>
      <c r="S574" s="424"/>
      <c r="T574" s="424"/>
      <c r="U574" s="424"/>
      <c r="V574" s="424"/>
      <c r="W574" s="424"/>
      <c r="Y574" s="424"/>
      <c r="Z574" s="424"/>
    </row>
    <row r="575" customFormat="false" ht="15.75" hidden="false" customHeight="false" outlineLevel="0" collapsed="false">
      <c r="R575" s="424"/>
      <c r="S575" s="424"/>
      <c r="T575" s="424"/>
      <c r="U575" s="424"/>
      <c r="V575" s="424"/>
      <c r="W575" s="424"/>
      <c r="Y575" s="424"/>
      <c r="Z575" s="424"/>
    </row>
    <row r="576" customFormat="false" ht="15.75" hidden="false" customHeight="false" outlineLevel="0" collapsed="false">
      <c r="R576" s="424"/>
      <c r="S576" s="424"/>
      <c r="T576" s="424"/>
      <c r="U576" s="424"/>
      <c r="V576" s="424"/>
      <c r="W576" s="424"/>
      <c r="Y576" s="424"/>
      <c r="Z576" s="424"/>
    </row>
    <row r="577" customFormat="false" ht="15.75" hidden="false" customHeight="false" outlineLevel="0" collapsed="false">
      <c r="R577" s="424"/>
      <c r="S577" s="424"/>
      <c r="T577" s="424"/>
      <c r="U577" s="424"/>
      <c r="V577" s="424"/>
      <c r="W577" s="424"/>
      <c r="Y577" s="424"/>
      <c r="Z577" s="424"/>
    </row>
    <row r="578" customFormat="false" ht="15.75" hidden="false" customHeight="false" outlineLevel="0" collapsed="false">
      <c r="R578" s="424"/>
      <c r="S578" s="424"/>
      <c r="T578" s="424"/>
      <c r="U578" s="424"/>
      <c r="V578" s="424"/>
      <c r="W578" s="424"/>
      <c r="Y578" s="424"/>
      <c r="Z578" s="424"/>
    </row>
    <row r="579" customFormat="false" ht="15.75" hidden="false" customHeight="false" outlineLevel="0" collapsed="false">
      <c r="R579" s="424"/>
      <c r="S579" s="424"/>
      <c r="T579" s="424"/>
      <c r="U579" s="424"/>
      <c r="V579" s="424"/>
      <c r="W579" s="424"/>
      <c r="Y579" s="424"/>
      <c r="Z579" s="424"/>
    </row>
    <row r="580" customFormat="false" ht="15.75" hidden="false" customHeight="false" outlineLevel="0" collapsed="false">
      <c r="R580" s="424"/>
      <c r="S580" s="424"/>
      <c r="T580" s="424"/>
      <c r="U580" s="424"/>
      <c r="V580" s="424"/>
      <c r="W580" s="424"/>
      <c r="Y580" s="424"/>
      <c r="Z580" s="424"/>
    </row>
    <row r="581" customFormat="false" ht="15.75" hidden="false" customHeight="false" outlineLevel="0" collapsed="false">
      <c r="R581" s="424"/>
      <c r="S581" s="424"/>
      <c r="T581" s="424"/>
      <c r="U581" s="424"/>
      <c r="V581" s="424"/>
      <c r="W581" s="424"/>
      <c r="Y581" s="424"/>
      <c r="Z581" s="424"/>
    </row>
    <row r="582" customFormat="false" ht="15.75" hidden="false" customHeight="false" outlineLevel="0" collapsed="false">
      <c r="R582" s="424"/>
      <c r="S582" s="424"/>
      <c r="T582" s="424"/>
      <c r="U582" s="424"/>
      <c r="V582" s="424"/>
      <c r="W582" s="424"/>
      <c r="Y582" s="424"/>
      <c r="Z582" s="424"/>
    </row>
    <row r="583" customFormat="false" ht="15.75" hidden="false" customHeight="false" outlineLevel="0" collapsed="false">
      <c r="R583" s="424"/>
      <c r="S583" s="424"/>
      <c r="T583" s="424"/>
      <c r="U583" s="424"/>
      <c r="V583" s="424"/>
      <c r="W583" s="424"/>
      <c r="Y583" s="424"/>
      <c r="Z583" s="424"/>
    </row>
    <row r="584" customFormat="false" ht="15.75" hidden="false" customHeight="false" outlineLevel="0" collapsed="false">
      <c r="R584" s="424"/>
      <c r="S584" s="424"/>
      <c r="T584" s="424"/>
      <c r="U584" s="424"/>
      <c r="V584" s="424"/>
      <c r="W584" s="424"/>
      <c r="Y584" s="424"/>
      <c r="Z584" s="424"/>
    </row>
    <row r="585" customFormat="false" ht="15.75" hidden="false" customHeight="false" outlineLevel="0" collapsed="false">
      <c r="R585" s="424"/>
      <c r="S585" s="424"/>
      <c r="T585" s="424"/>
      <c r="U585" s="424"/>
      <c r="V585" s="424"/>
      <c r="W585" s="424"/>
      <c r="Y585" s="424"/>
      <c r="Z585" s="424"/>
    </row>
    <row r="586" customFormat="false" ht="15.75" hidden="false" customHeight="false" outlineLevel="0" collapsed="false">
      <c r="R586" s="424"/>
      <c r="S586" s="424"/>
      <c r="T586" s="424"/>
      <c r="U586" s="424"/>
      <c r="V586" s="424"/>
      <c r="W586" s="424"/>
      <c r="Y586" s="424"/>
      <c r="Z586" s="424"/>
    </row>
    <row r="587" customFormat="false" ht="15.75" hidden="false" customHeight="false" outlineLevel="0" collapsed="false">
      <c r="R587" s="424"/>
      <c r="S587" s="424"/>
      <c r="T587" s="424"/>
      <c r="U587" s="424"/>
      <c r="V587" s="424"/>
      <c r="W587" s="424"/>
      <c r="Y587" s="424"/>
      <c r="Z587" s="424"/>
    </row>
    <row r="588" customFormat="false" ht="15.75" hidden="false" customHeight="false" outlineLevel="0" collapsed="false">
      <c r="R588" s="424"/>
      <c r="S588" s="424"/>
      <c r="T588" s="424"/>
      <c r="U588" s="424"/>
      <c r="V588" s="424"/>
      <c r="W588" s="424"/>
      <c r="Y588" s="424"/>
      <c r="Z588" s="424"/>
    </row>
    <row r="589" customFormat="false" ht="15.75" hidden="false" customHeight="false" outlineLevel="0" collapsed="false">
      <c r="R589" s="424"/>
      <c r="S589" s="424"/>
      <c r="T589" s="424"/>
      <c r="U589" s="424"/>
      <c r="V589" s="424"/>
      <c r="W589" s="424"/>
      <c r="Y589" s="424"/>
      <c r="Z589" s="424"/>
    </row>
    <row r="590" customFormat="false" ht="15.75" hidden="false" customHeight="false" outlineLevel="0" collapsed="false">
      <c r="R590" s="424"/>
      <c r="S590" s="424"/>
      <c r="T590" s="424"/>
      <c r="U590" s="424"/>
      <c r="V590" s="424"/>
      <c r="W590" s="424"/>
      <c r="Y590" s="424"/>
      <c r="Z590" s="424"/>
    </row>
    <row r="591" customFormat="false" ht="15.75" hidden="false" customHeight="false" outlineLevel="0" collapsed="false">
      <c r="R591" s="424"/>
      <c r="S591" s="424"/>
      <c r="T591" s="424"/>
      <c r="U591" s="424"/>
      <c r="V591" s="424"/>
      <c r="W591" s="424"/>
      <c r="Y591" s="424"/>
      <c r="Z591" s="424"/>
    </row>
    <row r="592" customFormat="false" ht="15.75" hidden="false" customHeight="false" outlineLevel="0" collapsed="false">
      <c r="R592" s="424"/>
      <c r="S592" s="424"/>
      <c r="T592" s="424"/>
      <c r="U592" s="424"/>
      <c r="V592" s="424"/>
      <c r="W592" s="424"/>
      <c r="Y592" s="424"/>
      <c r="Z592" s="424"/>
    </row>
    <row r="593" customFormat="false" ht="15.75" hidden="false" customHeight="false" outlineLevel="0" collapsed="false">
      <c r="R593" s="424"/>
      <c r="S593" s="424"/>
      <c r="T593" s="424"/>
      <c r="U593" s="424"/>
      <c r="V593" s="424"/>
      <c r="W593" s="424"/>
      <c r="Y593" s="424"/>
      <c r="Z593" s="424"/>
    </row>
    <row r="594" customFormat="false" ht="15.75" hidden="false" customHeight="false" outlineLevel="0" collapsed="false">
      <c r="R594" s="424"/>
      <c r="S594" s="424"/>
      <c r="T594" s="424"/>
      <c r="U594" s="424"/>
      <c r="V594" s="424"/>
      <c r="W594" s="424"/>
      <c r="Y594" s="424"/>
      <c r="Z594" s="424"/>
    </row>
    <row r="595" customFormat="false" ht="15.75" hidden="false" customHeight="false" outlineLevel="0" collapsed="false">
      <c r="R595" s="424"/>
      <c r="S595" s="424"/>
      <c r="T595" s="424"/>
      <c r="U595" s="424"/>
      <c r="V595" s="424"/>
      <c r="W595" s="424"/>
      <c r="Y595" s="424"/>
      <c r="Z595" s="424"/>
    </row>
    <row r="596" customFormat="false" ht="15.75" hidden="false" customHeight="false" outlineLevel="0" collapsed="false">
      <c r="R596" s="424"/>
      <c r="S596" s="424"/>
      <c r="T596" s="424"/>
      <c r="U596" s="424"/>
      <c r="V596" s="424"/>
      <c r="W596" s="424"/>
      <c r="Y596" s="424"/>
      <c r="Z596" s="424"/>
    </row>
    <row r="597" customFormat="false" ht="15.75" hidden="false" customHeight="false" outlineLevel="0" collapsed="false">
      <c r="R597" s="424"/>
      <c r="S597" s="424"/>
      <c r="T597" s="424"/>
      <c r="U597" s="424"/>
      <c r="V597" s="424"/>
      <c r="W597" s="424"/>
      <c r="Y597" s="424"/>
      <c r="Z597" s="424"/>
    </row>
    <row r="598" customFormat="false" ht="15.75" hidden="false" customHeight="false" outlineLevel="0" collapsed="false">
      <c r="R598" s="424"/>
      <c r="S598" s="424"/>
      <c r="T598" s="424"/>
      <c r="U598" s="424"/>
      <c r="V598" s="424"/>
      <c r="W598" s="424"/>
      <c r="Y598" s="424"/>
      <c r="Z598" s="424"/>
    </row>
    <row r="599" customFormat="false" ht="15.75" hidden="false" customHeight="false" outlineLevel="0" collapsed="false">
      <c r="R599" s="424"/>
      <c r="S599" s="424"/>
      <c r="T599" s="424"/>
      <c r="U599" s="424"/>
      <c r="V599" s="424"/>
      <c r="W599" s="424"/>
      <c r="Y599" s="424"/>
      <c r="Z599" s="424"/>
    </row>
    <row r="600" customFormat="false" ht="15.75" hidden="false" customHeight="false" outlineLevel="0" collapsed="false">
      <c r="R600" s="424"/>
      <c r="S600" s="424"/>
      <c r="T600" s="424"/>
      <c r="U600" s="424"/>
      <c r="V600" s="424"/>
      <c r="W600" s="424"/>
      <c r="Y600" s="424"/>
      <c r="Z600" s="424"/>
    </row>
    <row r="601" customFormat="false" ht="15.75" hidden="false" customHeight="false" outlineLevel="0" collapsed="false">
      <c r="R601" s="424"/>
      <c r="S601" s="424"/>
      <c r="T601" s="424"/>
      <c r="U601" s="424"/>
      <c r="V601" s="424"/>
      <c r="W601" s="424"/>
      <c r="Y601" s="424"/>
      <c r="Z601" s="424"/>
    </row>
    <row r="602" customFormat="false" ht="15.75" hidden="false" customHeight="false" outlineLevel="0" collapsed="false">
      <c r="R602" s="424"/>
      <c r="S602" s="424"/>
      <c r="T602" s="424"/>
      <c r="U602" s="424"/>
      <c r="V602" s="424"/>
      <c r="W602" s="424"/>
      <c r="Y602" s="424"/>
      <c r="Z602" s="424"/>
    </row>
    <row r="603" customFormat="false" ht="15.75" hidden="false" customHeight="false" outlineLevel="0" collapsed="false">
      <c r="R603" s="424"/>
      <c r="S603" s="424"/>
      <c r="T603" s="424"/>
      <c r="U603" s="424"/>
      <c r="V603" s="424"/>
      <c r="W603" s="424"/>
      <c r="Y603" s="424"/>
      <c r="Z603" s="424"/>
    </row>
    <row r="604" customFormat="false" ht="15.75" hidden="false" customHeight="false" outlineLevel="0" collapsed="false">
      <c r="R604" s="424"/>
      <c r="S604" s="424"/>
      <c r="T604" s="424"/>
      <c r="U604" s="424"/>
      <c r="V604" s="424"/>
      <c r="W604" s="424"/>
      <c r="Y604" s="424"/>
      <c r="Z604" s="424"/>
    </row>
    <row r="605" customFormat="false" ht="15.75" hidden="false" customHeight="false" outlineLevel="0" collapsed="false">
      <c r="R605" s="424"/>
      <c r="S605" s="424"/>
      <c r="T605" s="424"/>
      <c r="U605" s="424"/>
      <c r="V605" s="424"/>
      <c r="W605" s="424"/>
      <c r="Y605" s="424"/>
      <c r="Z605" s="424"/>
    </row>
    <row r="606" customFormat="false" ht="15.75" hidden="false" customHeight="false" outlineLevel="0" collapsed="false">
      <c r="R606" s="424"/>
      <c r="S606" s="424"/>
      <c r="T606" s="424"/>
      <c r="U606" s="424"/>
      <c r="V606" s="424"/>
      <c r="W606" s="424"/>
      <c r="Y606" s="424"/>
      <c r="Z606" s="424"/>
    </row>
    <row r="607" customFormat="false" ht="15.75" hidden="false" customHeight="false" outlineLevel="0" collapsed="false">
      <c r="R607" s="424"/>
      <c r="S607" s="424"/>
      <c r="T607" s="424"/>
      <c r="U607" s="424"/>
      <c r="V607" s="424"/>
      <c r="W607" s="424"/>
      <c r="Y607" s="424"/>
      <c r="Z607" s="424"/>
    </row>
    <row r="608" customFormat="false" ht="15.75" hidden="false" customHeight="false" outlineLevel="0" collapsed="false">
      <c r="R608" s="424"/>
      <c r="S608" s="424"/>
      <c r="T608" s="424"/>
      <c r="U608" s="424"/>
      <c r="V608" s="424"/>
      <c r="W608" s="424"/>
      <c r="Y608" s="424"/>
      <c r="Z608" s="424"/>
    </row>
    <row r="609" customFormat="false" ht="15.75" hidden="false" customHeight="false" outlineLevel="0" collapsed="false">
      <c r="R609" s="424"/>
      <c r="S609" s="424"/>
      <c r="T609" s="424"/>
      <c r="U609" s="424"/>
      <c r="V609" s="424"/>
      <c r="W609" s="424"/>
      <c r="Y609" s="424"/>
      <c r="Z609" s="424"/>
    </row>
    <row r="610" customFormat="false" ht="15.75" hidden="false" customHeight="false" outlineLevel="0" collapsed="false">
      <c r="R610" s="424"/>
      <c r="S610" s="424"/>
      <c r="T610" s="424"/>
      <c r="U610" s="424"/>
      <c r="V610" s="424"/>
      <c r="W610" s="424"/>
      <c r="Y610" s="424"/>
      <c r="Z610" s="424"/>
    </row>
    <row r="611" customFormat="false" ht="15.75" hidden="false" customHeight="false" outlineLevel="0" collapsed="false">
      <c r="R611" s="424"/>
      <c r="S611" s="424"/>
      <c r="T611" s="424"/>
      <c r="U611" s="424"/>
      <c r="V611" s="424"/>
      <c r="W611" s="424"/>
      <c r="Y611" s="424"/>
      <c r="Z611" s="424"/>
    </row>
    <row r="612" customFormat="false" ht="15.75" hidden="false" customHeight="false" outlineLevel="0" collapsed="false">
      <c r="R612" s="424"/>
      <c r="S612" s="424"/>
      <c r="T612" s="424"/>
      <c r="U612" s="424"/>
      <c r="V612" s="424"/>
      <c r="W612" s="424"/>
      <c r="Y612" s="424"/>
      <c r="Z612" s="424"/>
    </row>
    <row r="613" customFormat="false" ht="15.75" hidden="false" customHeight="false" outlineLevel="0" collapsed="false">
      <c r="R613" s="424"/>
      <c r="S613" s="424"/>
      <c r="T613" s="424"/>
      <c r="U613" s="424"/>
      <c r="V613" s="424"/>
      <c r="W613" s="424"/>
      <c r="Y613" s="424"/>
      <c r="Z613" s="424"/>
    </row>
    <row r="614" customFormat="false" ht="15.75" hidden="false" customHeight="false" outlineLevel="0" collapsed="false">
      <c r="R614" s="424"/>
      <c r="S614" s="424"/>
      <c r="T614" s="424"/>
      <c r="U614" s="424"/>
      <c r="V614" s="424"/>
      <c r="W614" s="424"/>
      <c r="Y614" s="424"/>
      <c r="Z614" s="424"/>
    </row>
    <row r="615" customFormat="false" ht="15.75" hidden="false" customHeight="false" outlineLevel="0" collapsed="false">
      <c r="R615" s="424"/>
      <c r="S615" s="424"/>
      <c r="T615" s="424"/>
      <c r="U615" s="424"/>
      <c r="V615" s="424"/>
      <c r="W615" s="424"/>
      <c r="Y615" s="424"/>
      <c r="Z615" s="424"/>
    </row>
    <row r="616" customFormat="false" ht="15.75" hidden="false" customHeight="false" outlineLevel="0" collapsed="false">
      <c r="R616" s="424"/>
      <c r="S616" s="424"/>
      <c r="T616" s="424"/>
      <c r="U616" s="424"/>
      <c r="V616" s="424"/>
      <c r="W616" s="424"/>
      <c r="Y616" s="424"/>
      <c r="Z616" s="424"/>
    </row>
    <row r="617" customFormat="false" ht="15.75" hidden="false" customHeight="false" outlineLevel="0" collapsed="false">
      <c r="R617" s="424"/>
      <c r="S617" s="424"/>
      <c r="T617" s="424"/>
      <c r="U617" s="424"/>
      <c r="V617" s="424"/>
      <c r="W617" s="424"/>
      <c r="Y617" s="424"/>
      <c r="Z617" s="424"/>
    </row>
    <row r="618" customFormat="false" ht="15.75" hidden="false" customHeight="false" outlineLevel="0" collapsed="false">
      <c r="R618" s="424"/>
      <c r="S618" s="424"/>
      <c r="T618" s="424"/>
      <c r="U618" s="424"/>
      <c r="V618" s="424"/>
      <c r="W618" s="424"/>
      <c r="Y618" s="424"/>
      <c r="Z618" s="424"/>
    </row>
    <row r="619" customFormat="false" ht="15.75" hidden="false" customHeight="false" outlineLevel="0" collapsed="false">
      <c r="R619" s="424"/>
      <c r="S619" s="424"/>
      <c r="T619" s="424"/>
      <c r="U619" s="424"/>
      <c r="V619" s="424"/>
      <c r="W619" s="424"/>
      <c r="Y619" s="424"/>
      <c r="Z619" s="424"/>
    </row>
    <row r="620" customFormat="false" ht="15.75" hidden="false" customHeight="false" outlineLevel="0" collapsed="false">
      <c r="R620" s="424"/>
      <c r="S620" s="424"/>
      <c r="T620" s="424"/>
      <c r="U620" s="424"/>
      <c r="V620" s="424"/>
      <c r="W620" s="424"/>
      <c r="Y620" s="424"/>
      <c r="Z620" s="424"/>
    </row>
    <row r="621" customFormat="false" ht="15.75" hidden="false" customHeight="false" outlineLevel="0" collapsed="false">
      <c r="R621" s="424"/>
      <c r="S621" s="424"/>
      <c r="T621" s="424"/>
      <c r="U621" s="424"/>
      <c r="V621" s="424"/>
      <c r="W621" s="424"/>
      <c r="Y621" s="424"/>
      <c r="Z621" s="424"/>
    </row>
    <row r="622" customFormat="false" ht="15.75" hidden="false" customHeight="false" outlineLevel="0" collapsed="false">
      <c r="R622" s="424"/>
      <c r="S622" s="424"/>
      <c r="T622" s="424"/>
      <c r="U622" s="424"/>
      <c r="V622" s="424"/>
      <c r="W622" s="424"/>
      <c r="Y622" s="424"/>
      <c r="Z622" s="424"/>
    </row>
    <row r="623" customFormat="false" ht="15.75" hidden="false" customHeight="false" outlineLevel="0" collapsed="false">
      <c r="R623" s="424"/>
      <c r="S623" s="424"/>
      <c r="T623" s="424"/>
      <c r="U623" s="424"/>
      <c r="V623" s="424"/>
      <c r="W623" s="424"/>
      <c r="Y623" s="424"/>
      <c r="Z623" s="424"/>
    </row>
    <row r="624" customFormat="false" ht="15.75" hidden="false" customHeight="false" outlineLevel="0" collapsed="false">
      <c r="R624" s="424"/>
      <c r="S624" s="424"/>
      <c r="T624" s="424"/>
      <c r="U624" s="424"/>
      <c r="V624" s="424"/>
      <c r="W624" s="424"/>
      <c r="Y624" s="424"/>
      <c r="Z624" s="424"/>
    </row>
    <row r="625" customFormat="false" ht="15.75" hidden="false" customHeight="false" outlineLevel="0" collapsed="false">
      <c r="R625" s="424"/>
      <c r="S625" s="424"/>
      <c r="T625" s="424"/>
      <c r="U625" s="424"/>
      <c r="V625" s="424"/>
      <c r="W625" s="424"/>
      <c r="Y625" s="424"/>
      <c r="Z625" s="424"/>
    </row>
    <row r="626" customFormat="false" ht="15.75" hidden="false" customHeight="false" outlineLevel="0" collapsed="false">
      <c r="R626" s="424"/>
      <c r="S626" s="424"/>
      <c r="T626" s="424"/>
      <c r="U626" s="424"/>
      <c r="V626" s="424"/>
      <c r="W626" s="424"/>
      <c r="Y626" s="424"/>
      <c r="Z626" s="424"/>
    </row>
    <row r="627" customFormat="false" ht="15.75" hidden="false" customHeight="false" outlineLevel="0" collapsed="false">
      <c r="R627" s="424"/>
      <c r="S627" s="424"/>
      <c r="T627" s="424"/>
      <c r="U627" s="424"/>
      <c r="V627" s="424"/>
      <c r="W627" s="424"/>
      <c r="Y627" s="424"/>
      <c r="Z627" s="424"/>
    </row>
    <row r="628" customFormat="false" ht="15.75" hidden="false" customHeight="false" outlineLevel="0" collapsed="false">
      <c r="R628" s="424"/>
      <c r="S628" s="424"/>
      <c r="T628" s="424"/>
      <c r="U628" s="424"/>
      <c r="V628" s="424"/>
      <c r="W628" s="424"/>
      <c r="Y628" s="424"/>
      <c r="Z628" s="424"/>
    </row>
    <row r="629" customFormat="false" ht="15.75" hidden="false" customHeight="false" outlineLevel="0" collapsed="false">
      <c r="R629" s="424"/>
      <c r="S629" s="424"/>
      <c r="T629" s="424"/>
      <c r="U629" s="424"/>
      <c r="V629" s="424"/>
      <c r="W629" s="424"/>
      <c r="Y629" s="424"/>
      <c r="Z629" s="424"/>
    </row>
    <row r="630" customFormat="false" ht="15.75" hidden="false" customHeight="false" outlineLevel="0" collapsed="false">
      <c r="R630" s="424"/>
      <c r="S630" s="424"/>
      <c r="T630" s="424"/>
      <c r="U630" s="424"/>
      <c r="V630" s="424"/>
      <c r="W630" s="424"/>
      <c r="Y630" s="424"/>
      <c r="Z630" s="424"/>
    </row>
    <row r="631" customFormat="false" ht="15.75" hidden="false" customHeight="false" outlineLevel="0" collapsed="false">
      <c r="R631" s="424"/>
      <c r="S631" s="424"/>
      <c r="T631" s="424"/>
      <c r="U631" s="424"/>
      <c r="V631" s="424"/>
      <c r="W631" s="424"/>
      <c r="Y631" s="424"/>
      <c r="Z631" s="424"/>
    </row>
    <row r="632" customFormat="false" ht="15.75" hidden="false" customHeight="false" outlineLevel="0" collapsed="false">
      <c r="R632" s="424"/>
      <c r="S632" s="424"/>
      <c r="T632" s="424"/>
      <c r="U632" s="424"/>
      <c r="V632" s="424"/>
      <c r="W632" s="424"/>
      <c r="Y632" s="424"/>
      <c r="Z632" s="424"/>
    </row>
    <row r="633" customFormat="false" ht="15.75" hidden="false" customHeight="false" outlineLevel="0" collapsed="false">
      <c r="R633" s="424"/>
      <c r="S633" s="424"/>
      <c r="T633" s="424"/>
      <c r="U633" s="424"/>
      <c r="V633" s="424"/>
      <c r="W633" s="424"/>
      <c r="Y633" s="424"/>
      <c r="Z633" s="424"/>
    </row>
    <row r="634" customFormat="false" ht="15.75" hidden="false" customHeight="false" outlineLevel="0" collapsed="false">
      <c r="R634" s="424"/>
      <c r="S634" s="424"/>
      <c r="T634" s="424"/>
      <c r="U634" s="424"/>
      <c r="V634" s="424"/>
      <c r="W634" s="424"/>
      <c r="Y634" s="424"/>
      <c r="Z634" s="424"/>
    </row>
    <row r="635" customFormat="false" ht="15.75" hidden="false" customHeight="false" outlineLevel="0" collapsed="false">
      <c r="R635" s="424"/>
      <c r="S635" s="424"/>
      <c r="T635" s="424"/>
      <c r="U635" s="424"/>
      <c r="V635" s="424"/>
      <c r="W635" s="424"/>
      <c r="Y635" s="424"/>
      <c r="Z635" s="424"/>
    </row>
    <row r="636" customFormat="false" ht="15.75" hidden="false" customHeight="false" outlineLevel="0" collapsed="false">
      <c r="R636" s="424"/>
      <c r="S636" s="424"/>
      <c r="T636" s="424"/>
      <c r="U636" s="424"/>
      <c r="V636" s="424"/>
      <c r="W636" s="424"/>
      <c r="Y636" s="424"/>
      <c r="Z636" s="424"/>
    </row>
    <row r="637" customFormat="false" ht="15.75" hidden="false" customHeight="false" outlineLevel="0" collapsed="false">
      <c r="R637" s="424"/>
      <c r="S637" s="424"/>
      <c r="T637" s="424"/>
      <c r="U637" s="424"/>
      <c r="V637" s="424"/>
      <c r="W637" s="424"/>
      <c r="Y637" s="424"/>
      <c r="Z637" s="424"/>
    </row>
    <row r="638" customFormat="false" ht="15.75" hidden="false" customHeight="false" outlineLevel="0" collapsed="false">
      <c r="R638" s="424"/>
      <c r="S638" s="424"/>
      <c r="T638" s="424"/>
      <c r="U638" s="424"/>
      <c r="V638" s="424"/>
      <c r="W638" s="424"/>
      <c r="Y638" s="424"/>
      <c r="Z638" s="424"/>
    </row>
    <row r="639" customFormat="false" ht="15.75" hidden="false" customHeight="false" outlineLevel="0" collapsed="false">
      <c r="R639" s="424"/>
      <c r="S639" s="424"/>
      <c r="T639" s="424"/>
      <c r="U639" s="424"/>
      <c r="V639" s="424"/>
      <c r="W639" s="424"/>
      <c r="Y639" s="424"/>
      <c r="Z639" s="424"/>
    </row>
    <row r="640" customFormat="false" ht="15.75" hidden="false" customHeight="false" outlineLevel="0" collapsed="false">
      <c r="R640" s="424"/>
      <c r="S640" s="424"/>
      <c r="T640" s="424"/>
      <c r="U640" s="424"/>
      <c r="V640" s="424"/>
      <c r="W640" s="424"/>
      <c r="Y640" s="424"/>
      <c r="Z640" s="424"/>
    </row>
    <row r="641" customFormat="false" ht="15.75" hidden="false" customHeight="false" outlineLevel="0" collapsed="false">
      <c r="R641" s="424"/>
      <c r="S641" s="424"/>
      <c r="T641" s="424"/>
      <c r="U641" s="424"/>
      <c r="V641" s="424"/>
      <c r="W641" s="424"/>
      <c r="Y641" s="424"/>
      <c r="Z641" s="424"/>
    </row>
    <row r="642" customFormat="false" ht="15.75" hidden="false" customHeight="false" outlineLevel="0" collapsed="false">
      <c r="R642" s="424"/>
      <c r="S642" s="424"/>
      <c r="T642" s="424"/>
      <c r="U642" s="424"/>
      <c r="V642" s="424"/>
      <c r="W642" s="424"/>
      <c r="Y642" s="424"/>
      <c r="Z642" s="424"/>
    </row>
    <row r="643" customFormat="false" ht="15.75" hidden="false" customHeight="false" outlineLevel="0" collapsed="false">
      <c r="R643" s="424"/>
      <c r="S643" s="424"/>
      <c r="T643" s="424"/>
      <c r="U643" s="424"/>
      <c r="V643" s="424"/>
      <c r="W643" s="424"/>
      <c r="Y643" s="424"/>
      <c r="Z643" s="424"/>
    </row>
    <row r="644" customFormat="false" ht="15.75" hidden="false" customHeight="false" outlineLevel="0" collapsed="false">
      <c r="R644" s="424"/>
      <c r="S644" s="424"/>
      <c r="T644" s="424"/>
      <c r="U644" s="424"/>
      <c r="V644" s="424"/>
      <c r="W644" s="424"/>
      <c r="Y644" s="424"/>
      <c r="Z644" s="424"/>
    </row>
    <row r="645" customFormat="false" ht="15.75" hidden="false" customHeight="false" outlineLevel="0" collapsed="false">
      <c r="R645" s="424"/>
      <c r="S645" s="424"/>
      <c r="T645" s="424"/>
      <c r="U645" s="424"/>
      <c r="V645" s="424"/>
      <c r="W645" s="424"/>
      <c r="Y645" s="424"/>
      <c r="Z645" s="424"/>
    </row>
    <row r="646" customFormat="false" ht="15.75" hidden="false" customHeight="false" outlineLevel="0" collapsed="false">
      <c r="R646" s="424"/>
      <c r="S646" s="424"/>
      <c r="T646" s="424"/>
      <c r="U646" s="424"/>
      <c r="V646" s="424"/>
      <c r="W646" s="424"/>
      <c r="Y646" s="424"/>
      <c r="Z646" s="424"/>
    </row>
    <row r="647" customFormat="false" ht="15.75" hidden="false" customHeight="false" outlineLevel="0" collapsed="false">
      <c r="R647" s="424"/>
      <c r="S647" s="424"/>
      <c r="T647" s="424"/>
      <c r="U647" s="424"/>
      <c r="V647" s="424"/>
      <c r="W647" s="424"/>
      <c r="Y647" s="424"/>
      <c r="Z647" s="424"/>
    </row>
    <row r="648" customFormat="false" ht="15.75" hidden="false" customHeight="false" outlineLevel="0" collapsed="false">
      <c r="R648" s="424"/>
      <c r="S648" s="424"/>
      <c r="T648" s="424"/>
      <c r="U648" s="424"/>
      <c r="V648" s="424"/>
      <c r="W648" s="424"/>
      <c r="Y648" s="424"/>
      <c r="Z648" s="424"/>
    </row>
    <row r="649" customFormat="false" ht="15.75" hidden="false" customHeight="false" outlineLevel="0" collapsed="false">
      <c r="R649" s="424"/>
      <c r="S649" s="424"/>
      <c r="T649" s="424"/>
      <c r="U649" s="424"/>
      <c r="V649" s="424"/>
      <c r="W649" s="424"/>
      <c r="Y649" s="424"/>
      <c r="Z649" s="424"/>
    </row>
    <row r="650" customFormat="false" ht="15.75" hidden="false" customHeight="false" outlineLevel="0" collapsed="false">
      <c r="R650" s="424"/>
      <c r="S650" s="424"/>
      <c r="T650" s="424"/>
      <c r="U650" s="424"/>
      <c r="V650" s="424"/>
      <c r="W650" s="424"/>
      <c r="Y650" s="424"/>
      <c r="Z650" s="424"/>
    </row>
    <row r="651" customFormat="false" ht="15.75" hidden="false" customHeight="false" outlineLevel="0" collapsed="false">
      <c r="R651" s="424"/>
      <c r="S651" s="424"/>
      <c r="T651" s="424"/>
      <c r="U651" s="424"/>
      <c r="V651" s="424"/>
      <c r="W651" s="424"/>
      <c r="Y651" s="424"/>
      <c r="Z651" s="424"/>
    </row>
    <row r="652" customFormat="false" ht="15.75" hidden="false" customHeight="false" outlineLevel="0" collapsed="false">
      <c r="R652" s="424"/>
      <c r="S652" s="424"/>
      <c r="T652" s="424"/>
      <c r="U652" s="424"/>
      <c r="V652" s="424"/>
      <c r="W652" s="424"/>
      <c r="Y652" s="424"/>
      <c r="Z652" s="424"/>
    </row>
    <row r="653" customFormat="false" ht="15.75" hidden="false" customHeight="false" outlineLevel="0" collapsed="false">
      <c r="R653" s="424"/>
      <c r="S653" s="424"/>
      <c r="T653" s="424"/>
      <c r="U653" s="424"/>
      <c r="V653" s="424"/>
      <c r="W653" s="424"/>
      <c r="Y653" s="424"/>
      <c r="Z653" s="424"/>
    </row>
    <row r="654" customFormat="false" ht="15.75" hidden="false" customHeight="false" outlineLevel="0" collapsed="false">
      <c r="R654" s="424"/>
      <c r="S654" s="424"/>
      <c r="T654" s="424"/>
      <c r="U654" s="424"/>
      <c r="V654" s="424"/>
      <c r="W654" s="424"/>
      <c r="Y654" s="424"/>
      <c r="Z654" s="424"/>
    </row>
    <row r="655" customFormat="false" ht="15.75" hidden="false" customHeight="false" outlineLevel="0" collapsed="false">
      <c r="R655" s="424"/>
      <c r="S655" s="424"/>
      <c r="T655" s="424"/>
      <c r="U655" s="424"/>
      <c r="V655" s="424"/>
      <c r="W655" s="424"/>
      <c r="Y655" s="424"/>
      <c r="Z655" s="424"/>
    </row>
    <row r="656" customFormat="false" ht="15.75" hidden="false" customHeight="false" outlineLevel="0" collapsed="false">
      <c r="R656" s="424"/>
      <c r="S656" s="424"/>
      <c r="T656" s="424"/>
      <c r="U656" s="424"/>
      <c r="V656" s="424"/>
      <c r="W656" s="424"/>
      <c r="Y656" s="424"/>
      <c r="Z656" s="424"/>
    </row>
    <row r="657" customFormat="false" ht="15.75" hidden="false" customHeight="false" outlineLevel="0" collapsed="false">
      <c r="R657" s="424"/>
      <c r="S657" s="424"/>
      <c r="T657" s="424"/>
      <c r="U657" s="424"/>
      <c r="V657" s="424"/>
      <c r="W657" s="424"/>
      <c r="Y657" s="424"/>
      <c r="Z657" s="424"/>
    </row>
    <row r="658" customFormat="false" ht="15.75" hidden="false" customHeight="false" outlineLevel="0" collapsed="false">
      <c r="R658" s="424"/>
      <c r="S658" s="424"/>
      <c r="T658" s="424"/>
      <c r="U658" s="424"/>
      <c r="V658" s="424"/>
      <c r="W658" s="424"/>
      <c r="Y658" s="424"/>
      <c r="Z658" s="424"/>
    </row>
    <row r="659" customFormat="false" ht="15.75" hidden="false" customHeight="false" outlineLevel="0" collapsed="false">
      <c r="R659" s="424"/>
      <c r="S659" s="424"/>
      <c r="T659" s="424"/>
      <c r="U659" s="424"/>
      <c r="V659" s="424"/>
      <c r="W659" s="424"/>
      <c r="Y659" s="424"/>
      <c r="Z659" s="424"/>
    </row>
    <row r="660" customFormat="false" ht="15.75" hidden="false" customHeight="false" outlineLevel="0" collapsed="false">
      <c r="R660" s="424"/>
      <c r="S660" s="424"/>
      <c r="T660" s="424"/>
      <c r="U660" s="424"/>
      <c r="V660" s="424"/>
      <c r="W660" s="424"/>
      <c r="Y660" s="424"/>
      <c r="Z660" s="424"/>
    </row>
    <row r="661" customFormat="false" ht="15.75" hidden="false" customHeight="false" outlineLevel="0" collapsed="false">
      <c r="R661" s="424"/>
      <c r="S661" s="424"/>
      <c r="T661" s="424"/>
      <c r="U661" s="424"/>
      <c r="V661" s="424"/>
      <c r="W661" s="424"/>
      <c r="Y661" s="424"/>
      <c r="Z661" s="424"/>
    </row>
    <row r="662" customFormat="false" ht="15.75" hidden="false" customHeight="false" outlineLevel="0" collapsed="false">
      <c r="R662" s="424"/>
      <c r="S662" s="424"/>
      <c r="T662" s="424"/>
      <c r="U662" s="424"/>
      <c r="V662" s="424"/>
      <c r="W662" s="424"/>
      <c r="Y662" s="424"/>
      <c r="Z662" s="424"/>
    </row>
    <row r="663" customFormat="false" ht="15.75" hidden="false" customHeight="false" outlineLevel="0" collapsed="false">
      <c r="R663" s="424"/>
      <c r="S663" s="424"/>
      <c r="T663" s="424"/>
      <c r="U663" s="424"/>
      <c r="V663" s="424"/>
      <c r="W663" s="424"/>
      <c r="Y663" s="424"/>
      <c r="Z663" s="424"/>
    </row>
    <row r="664" customFormat="false" ht="15.75" hidden="false" customHeight="false" outlineLevel="0" collapsed="false">
      <c r="R664" s="424"/>
      <c r="S664" s="424"/>
      <c r="T664" s="424"/>
      <c r="U664" s="424"/>
      <c r="V664" s="424"/>
      <c r="W664" s="424"/>
      <c r="Y664" s="424"/>
      <c r="Z664" s="424"/>
    </row>
    <row r="665" customFormat="false" ht="15.75" hidden="false" customHeight="false" outlineLevel="0" collapsed="false">
      <c r="R665" s="424"/>
      <c r="S665" s="424"/>
      <c r="T665" s="424"/>
      <c r="U665" s="424"/>
      <c r="V665" s="424"/>
      <c r="W665" s="424"/>
      <c r="Y665" s="424"/>
      <c r="Z665" s="424"/>
    </row>
    <row r="666" customFormat="false" ht="15.75" hidden="false" customHeight="false" outlineLevel="0" collapsed="false">
      <c r="R666" s="424"/>
      <c r="S666" s="424"/>
      <c r="T666" s="424"/>
      <c r="U666" s="424"/>
      <c r="V666" s="424"/>
      <c r="W666" s="424"/>
      <c r="Y666" s="424"/>
      <c r="Z666" s="424"/>
    </row>
    <row r="667" customFormat="false" ht="15.75" hidden="false" customHeight="false" outlineLevel="0" collapsed="false">
      <c r="R667" s="424"/>
      <c r="S667" s="424"/>
      <c r="T667" s="424"/>
      <c r="U667" s="424"/>
      <c r="V667" s="424"/>
      <c r="W667" s="424"/>
      <c r="Y667" s="424"/>
      <c r="Z667" s="424"/>
    </row>
    <row r="668" customFormat="false" ht="15.75" hidden="false" customHeight="false" outlineLevel="0" collapsed="false">
      <c r="R668" s="424"/>
      <c r="S668" s="424"/>
      <c r="T668" s="424"/>
      <c r="U668" s="424"/>
      <c r="V668" s="424"/>
      <c r="W668" s="424"/>
      <c r="Y668" s="424"/>
      <c r="Z668" s="424"/>
    </row>
    <row r="669" customFormat="false" ht="15.75" hidden="false" customHeight="false" outlineLevel="0" collapsed="false">
      <c r="R669" s="424"/>
      <c r="S669" s="424"/>
      <c r="T669" s="424"/>
      <c r="U669" s="424"/>
      <c r="V669" s="424"/>
      <c r="W669" s="424"/>
      <c r="Y669" s="424"/>
      <c r="Z669" s="424"/>
    </row>
    <row r="670" customFormat="false" ht="15.75" hidden="false" customHeight="false" outlineLevel="0" collapsed="false">
      <c r="R670" s="424"/>
      <c r="S670" s="424"/>
      <c r="T670" s="424"/>
      <c r="U670" s="424"/>
      <c r="V670" s="424"/>
      <c r="W670" s="424"/>
      <c r="Y670" s="424"/>
      <c r="Z670" s="424"/>
    </row>
    <row r="671" customFormat="false" ht="15.75" hidden="false" customHeight="false" outlineLevel="0" collapsed="false">
      <c r="R671" s="424"/>
      <c r="S671" s="424"/>
      <c r="T671" s="424"/>
      <c r="U671" s="424"/>
      <c r="V671" s="424"/>
      <c r="W671" s="424"/>
      <c r="Y671" s="424"/>
      <c r="Z671" s="424"/>
    </row>
    <row r="672" customFormat="false" ht="15.75" hidden="false" customHeight="false" outlineLevel="0" collapsed="false">
      <c r="R672" s="424"/>
      <c r="S672" s="424"/>
      <c r="T672" s="424"/>
      <c r="U672" s="424"/>
      <c r="V672" s="424"/>
      <c r="W672" s="424"/>
      <c r="Y672" s="424"/>
      <c r="Z672" s="424"/>
    </row>
    <row r="673" customFormat="false" ht="15.75" hidden="false" customHeight="false" outlineLevel="0" collapsed="false">
      <c r="R673" s="424"/>
      <c r="S673" s="424"/>
      <c r="T673" s="424"/>
      <c r="U673" s="424"/>
      <c r="V673" s="424"/>
      <c r="W673" s="424"/>
      <c r="Y673" s="424"/>
      <c r="Z673" s="424"/>
    </row>
    <row r="674" customFormat="false" ht="15.75" hidden="false" customHeight="false" outlineLevel="0" collapsed="false">
      <c r="R674" s="424"/>
      <c r="S674" s="424"/>
      <c r="T674" s="424"/>
      <c r="U674" s="424"/>
      <c r="V674" s="424"/>
      <c r="W674" s="424"/>
      <c r="Y674" s="424"/>
      <c r="Z674" s="424"/>
    </row>
    <row r="675" customFormat="false" ht="15.75" hidden="false" customHeight="false" outlineLevel="0" collapsed="false">
      <c r="R675" s="424"/>
      <c r="S675" s="424"/>
      <c r="T675" s="424"/>
      <c r="U675" s="424"/>
      <c r="V675" s="424"/>
      <c r="W675" s="424"/>
      <c r="Y675" s="424"/>
      <c r="Z675" s="424"/>
    </row>
    <row r="676" customFormat="false" ht="15.75" hidden="false" customHeight="false" outlineLevel="0" collapsed="false">
      <c r="R676" s="424"/>
      <c r="S676" s="424"/>
      <c r="T676" s="424"/>
      <c r="U676" s="424"/>
      <c r="V676" s="424"/>
      <c r="W676" s="424"/>
      <c r="Y676" s="424"/>
      <c r="Z676" s="424"/>
    </row>
    <row r="677" customFormat="false" ht="15.75" hidden="false" customHeight="false" outlineLevel="0" collapsed="false">
      <c r="R677" s="424"/>
      <c r="S677" s="424"/>
      <c r="T677" s="424"/>
      <c r="U677" s="424"/>
      <c r="V677" s="424"/>
      <c r="W677" s="424"/>
      <c r="Y677" s="424"/>
      <c r="Z677" s="424"/>
    </row>
    <row r="678" customFormat="false" ht="15.75" hidden="false" customHeight="false" outlineLevel="0" collapsed="false">
      <c r="R678" s="424"/>
      <c r="S678" s="424"/>
      <c r="T678" s="424"/>
      <c r="U678" s="424"/>
      <c r="V678" s="424"/>
      <c r="W678" s="424"/>
      <c r="Y678" s="424"/>
      <c r="Z678" s="424"/>
    </row>
    <row r="679" customFormat="false" ht="15.75" hidden="false" customHeight="false" outlineLevel="0" collapsed="false">
      <c r="R679" s="424"/>
      <c r="S679" s="424"/>
      <c r="T679" s="424"/>
      <c r="U679" s="424"/>
      <c r="V679" s="424"/>
      <c r="W679" s="424"/>
      <c r="Y679" s="424"/>
      <c r="Z679" s="424"/>
    </row>
    <row r="680" customFormat="false" ht="15.75" hidden="false" customHeight="false" outlineLevel="0" collapsed="false">
      <c r="R680" s="424"/>
      <c r="S680" s="424"/>
      <c r="T680" s="424"/>
      <c r="U680" s="424"/>
      <c r="V680" s="424"/>
      <c r="W680" s="424"/>
      <c r="Y680" s="424"/>
      <c r="Z680" s="424"/>
    </row>
    <row r="681" customFormat="false" ht="15.75" hidden="false" customHeight="false" outlineLevel="0" collapsed="false">
      <c r="R681" s="424"/>
      <c r="S681" s="424"/>
      <c r="T681" s="424"/>
      <c r="U681" s="424"/>
      <c r="V681" s="424"/>
      <c r="W681" s="424"/>
      <c r="Y681" s="424"/>
      <c r="Z681" s="424"/>
    </row>
    <row r="682" customFormat="false" ht="15.75" hidden="false" customHeight="false" outlineLevel="0" collapsed="false">
      <c r="R682" s="424"/>
      <c r="S682" s="424"/>
      <c r="T682" s="424"/>
      <c r="U682" s="424"/>
      <c r="V682" s="424"/>
      <c r="W682" s="424"/>
      <c r="Y682" s="424"/>
      <c r="Z682" s="424"/>
    </row>
    <row r="683" customFormat="false" ht="15.75" hidden="false" customHeight="false" outlineLevel="0" collapsed="false">
      <c r="R683" s="424"/>
      <c r="S683" s="424"/>
      <c r="T683" s="424"/>
      <c r="U683" s="424"/>
      <c r="V683" s="424"/>
      <c r="W683" s="424"/>
      <c r="Y683" s="424"/>
      <c r="Z683" s="424"/>
    </row>
    <row r="684" customFormat="false" ht="15.75" hidden="false" customHeight="false" outlineLevel="0" collapsed="false">
      <c r="R684" s="424"/>
      <c r="S684" s="424"/>
      <c r="T684" s="424"/>
      <c r="U684" s="424"/>
      <c r="V684" s="424"/>
      <c r="W684" s="424"/>
      <c r="Y684" s="424"/>
      <c r="Z684" s="424"/>
    </row>
    <row r="685" customFormat="false" ht="15.75" hidden="false" customHeight="false" outlineLevel="0" collapsed="false">
      <c r="R685" s="424"/>
      <c r="S685" s="424"/>
      <c r="T685" s="424"/>
      <c r="U685" s="424"/>
      <c r="V685" s="424"/>
      <c r="W685" s="424"/>
      <c r="Y685" s="424"/>
      <c r="Z685" s="424"/>
    </row>
    <row r="686" customFormat="false" ht="15.75" hidden="false" customHeight="false" outlineLevel="0" collapsed="false">
      <c r="R686" s="424"/>
      <c r="S686" s="424"/>
      <c r="T686" s="424"/>
      <c r="U686" s="424"/>
      <c r="V686" s="424"/>
      <c r="W686" s="424"/>
      <c r="Y686" s="424"/>
      <c r="Z686" s="424"/>
    </row>
    <row r="687" customFormat="false" ht="15.75" hidden="false" customHeight="false" outlineLevel="0" collapsed="false">
      <c r="R687" s="424"/>
      <c r="S687" s="424"/>
      <c r="T687" s="424"/>
      <c r="U687" s="424"/>
      <c r="V687" s="424"/>
      <c r="W687" s="424"/>
      <c r="Y687" s="424"/>
      <c r="Z687" s="424"/>
    </row>
    <row r="688" customFormat="false" ht="15.75" hidden="false" customHeight="false" outlineLevel="0" collapsed="false">
      <c r="R688" s="424"/>
      <c r="S688" s="424"/>
      <c r="T688" s="424"/>
      <c r="U688" s="424"/>
      <c r="V688" s="424"/>
      <c r="W688" s="424"/>
      <c r="Y688" s="424"/>
      <c r="Z688" s="424"/>
    </row>
    <row r="689" customFormat="false" ht="15.75" hidden="false" customHeight="false" outlineLevel="0" collapsed="false">
      <c r="R689" s="424"/>
      <c r="S689" s="424"/>
      <c r="T689" s="424"/>
      <c r="U689" s="424"/>
      <c r="V689" s="424"/>
      <c r="W689" s="424"/>
      <c r="Y689" s="424"/>
      <c r="Z689" s="424"/>
    </row>
    <row r="690" customFormat="false" ht="15.75" hidden="false" customHeight="false" outlineLevel="0" collapsed="false">
      <c r="R690" s="424"/>
      <c r="S690" s="424"/>
      <c r="T690" s="424"/>
      <c r="U690" s="424"/>
      <c r="V690" s="424"/>
      <c r="W690" s="424"/>
      <c r="Y690" s="424"/>
      <c r="Z690" s="424"/>
    </row>
    <row r="691" customFormat="false" ht="15.75" hidden="false" customHeight="false" outlineLevel="0" collapsed="false">
      <c r="R691" s="424"/>
      <c r="S691" s="424"/>
      <c r="T691" s="424"/>
      <c r="U691" s="424"/>
      <c r="V691" s="424"/>
      <c r="W691" s="424"/>
      <c r="Y691" s="424"/>
      <c r="Z691" s="424"/>
    </row>
    <row r="692" customFormat="false" ht="15.75" hidden="false" customHeight="false" outlineLevel="0" collapsed="false">
      <c r="R692" s="424"/>
      <c r="S692" s="424"/>
      <c r="T692" s="424"/>
      <c r="U692" s="424"/>
      <c r="V692" s="424"/>
      <c r="W692" s="424"/>
      <c r="Y692" s="424"/>
      <c r="Z692" s="424"/>
    </row>
    <row r="693" customFormat="false" ht="15.75" hidden="false" customHeight="false" outlineLevel="0" collapsed="false">
      <c r="R693" s="424"/>
      <c r="S693" s="424"/>
      <c r="T693" s="424"/>
      <c r="U693" s="424"/>
      <c r="V693" s="424"/>
      <c r="W693" s="424"/>
      <c r="Y693" s="424"/>
      <c r="Z693" s="424"/>
    </row>
    <row r="694" customFormat="false" ht="15.75" hidden="false" customHeight="false" outlineLevel="0" collapsed="false">
      <c r="R694" s="424"/>
      <c r="S694" s="424"/>
      <c r="T694" s="424"/>
      <c r="U694" s="424"/>
      <c r="V694" s="424"/>
      <c r="W694" s="424"/>
      <c r="Y694" s="424"/>
      <c r="Z694" s="424"/>
    </row>
    <row r="695" customFormat="false" ht="15.75" hidden="false" customHeight="false" outlineLevel="0" collapsed="false">
      <c r="R695" s="424"/>
      <c r="S695" s="424"/>
      <c r="T695" s="424"/>
      <c r="U695" s="424"/>
      <c r="V695" s="424"/>
      <c r="W695" s="424"/>
      <c r="Y695" s="424"/>
      <c r="Z695" s="424"/>
    </row>
    <row r="696" customFormat="false" ht="15.75" hidden="false" customHeight="false" outlineLevel="0" collapsed="false">
      <c r="R696" s="424"/>
      <c r="S696" s="424"/>
      <c r="T696" s="424"/>
      <c r="U696" s="424"/>
      <c r="V696" s="424"/>
      <c r="W696" s="424"/>
      <c r="Y696" s="424"/>
      <c r="Z696" s="424"/>
    </row>
    <row r="697" customFormat="false" ht="15.75" hidden="false" customHeight="false" outlineLevel="0" collapsed="false">
      <c r="R697" s="424"/>
      <c r="S697" s="424"/>
      <c r="T697" s="424"/>
      <c r="U697" s="424"/>
      <c r="V697" s="424"/>
      <c r="W697" s="424"/>
      <c r="Y697" s="424"/>
      <c r="Z697" s="424"/>
    </row>
    <row r="698" customFormat="false" ht="15.75" hidden="false" customHeight="false" outlineLevel="0" collapsed="false">
      <c r="R698" s="424"/>
      <c r="S698" s="424"/>
      <c r="T698" s="424"/>
      <c r="U698" s="424"/>
      <c r="V698" s="424"/>
      <c r="W698" s="424"/>
      <c r="Y698" s="424"/>
      <c r="Z698" s="424"/>
    </row>
    <row r="699" customFormat="false" ht="15.75" hidden="false" customHeight="false" outlineLevel="0" collapsed="false">
      <c r="R699" s="424"/>
      <c r="S699" s="424"/>
      <c r="T699" s="424"/>
      <c r="U699" s="424"/>
      <c r="V699" s="424"/>
      <c r="W699" s="424"/>
      <c r="Y699" s="424"/>
      <c r="Z699" s="424"/>
    </row>
    <row r="700" customFormat="false" ht="15.75" hidden="false" customHeight="false" outlineLevel="0" collapsed="false">
      <c r="R700" s="424"/>
      <c r="S700" s="424"/>
      <c r="T700" s="424"/>
      <c r="U700" s="424"/>
      <c r="V700" s="424"/>
      <c r="W700" s="424"/>
      <c r="Y700" s="424"/>
      <c r="Z700" s="424"/>
    </row>
    <row r="701" customFormat="false" ht="15.75" hidden="false" customHeight="false" outlineLevel="0" collapsed="false">
      <c r="R701" s="424"/>
      <c r="S701" s="424"/>
      <c r="T701" s="424"/>
      <c r="U701" s="424"/>
      <c r="V701" s="424"/>
      <c r="W701" s="424"/>
      <c r="Y701" s="424"/>
      <c r="Z701" s="424"/>
    </row>
    <row r="702" customFormat="false" ht="15.75" hidden="false" customHeight="false" outlineLevel="0" collapsed="false">
      <c r="R702" s="424"/>
      <c r="S702" s="424"/>
      <c r="T702" s="424"/>
      <c r="U702" s="424"/>
      <c r="V702" s="424"/>
      <c r="W702" s="424"/>
      <c r="Y702" s="424"/>
      <c r="Z702" s="424"/>
    </row>
    <row r="703" customFormat="false" ht="15.75" hidden="false" customHeight="false" outlineLevel="0" collapsed="false">
      <c r="R703" s="424"/>
      <c r="S703" s="424"/>
      <c r="T703" s="424"/>
      <c r="U703" s="424"/>
      <c r="V703" s="424"/>
      <c r="W703" s="424"/>
      <c r="Y703" s="424"/>
      <c r="Z703" s="424"/>
    </row>
    <row r="704" customFormat="false" ht="15.75" hidden="false" customHeight="false" outlineLevel="0" collapsed="false">
      <c r="R704" s="424"/>
      <c r="S704" s="424"/>
      <c r="T704" s="424"/>
      <c r="U704" s="424"/>
      <c r="V704" s="424"/>
      <c r="W704" s="424"/>
      <c r="Y704" s="424"/>
      <c r="Z704" s="424"/>
    </row>
    <row r="705" customFormat="false" ht="15.75" hidden="false" customHeight="false" outlineLevel="0" collapsed="false">
      <c r="R705" s="424"/>
      <c r="S705" s="424"/>
      <c r="T705" s="424"/>
      <c r="U705" s="424"/>
      <c r="V705" s="424"/>
      <c r="W705" s="424"/>
      <c r="Y705" s="424"/>
      <c r="Z705" s="424"/>
    </row>
    <row r="706" customFormat="false" ht="15.75" hidden="false" customHeight="false" outlineLevel="0" collapsed="false">
      <c r="R706" s="424"/>
      <c r="S706" s="424"/>
      <c r="T706" s="424"/>
      <c r="U706" s="424"/>
      <c r="V706" s="424"/>
      <c r="W706" s="424"/>
      <c r="Y706" s="424"/>
      <c r="Z706" s="424"/>
    </row>
    <row r="707" customFormat="false" ht="15.75" hidden="false" customHeight="false" outlineLevel="0" collapsed="false">
      <c r="R707" s="424"/>
      <c r="S707" s="424"/>
      <c r="T707" s="424"/>
      <c r="U707" s="424"/>
      <c r="V707" s="424"/>
      <c r="W707" s="424"/>
      <c r="Y707" s="424"/>
      <c r="Z707" s="424"/>
    </row>
    <row r="708" customFormat="false" ht="15.75" hidden="false" customHeight="false" outlineLevel="0" collapsed="false">
      <c r="R708" s="424"/>
      <c r="S708" s="424"/>
      <c r="T708" s="424"/>
      <c r="U708" s="424"/>
      <c r="V708" s="424"/>
      <c r="W708" s="424"/>
      <c r="Y708" s="424"/>
      <c r="Z708" s="424"/>
    </row>
    <row r="709" customFormat="false" ht="15.75" hidden="false" customHeight="false" outlineLevel="0" collapsed="false">
      <c r="R709" s="424"/>
      <c r="S709" s="424"/>
      <c r="T709" s="424"/>
      <c r="U709" s="424"/>
      <c r="V709" s="424"/>
      <c r="W709" s="424"/>
      <c r="Y709" s="424"/>
      <c r="Z709" s="424"/>
    </row>
    <row r="710" customFormat="false" ht="15.75" hidden="false" customHeight="false" outlineLevel="0" collapsed="false">
      <c r="R710" s="424"/>
      <c r="S710" s="424"/>
      <c r="T710" s="424"/>
      <c r="U710" s="424"/>
      <c r="V710" s="424"/>
      <c r="W710" s="424"/>
      <c r="Y710" s="424"/>
      <c r="Z710" s="424"/>
    </row>
    <row r="711" customFormat="false" ht="15.75" hidden="false" customHeight="false" outlineLevel="0" collapsed="false">
      <c r="R711" s="424"/>
      <c r="S711" s="424"/>
      <c r="T711" s="424"/>
      <c r="U711" s="424"/>
      <c r="V711" s="424"/>
      <c r="W711" s="424"/>
      <c r="Y711" s="424"/>
      <c r="Z711" s="424"/>
    </row>
    <row r="712" customFormat="false" ht="15.75" hidden="false" customHeight="false" outlineLevel="0" collapsed="false">
      <c r="R712" s="424"/>
      <c r="S712" s="424"/>
      <c r="T712" s="424"/>
      <c r="U712" s="424"/>
      <c r="V712" s="424"/>
      <c r="W712" s="424"/>
      <c r="Y712" s="424"/>
      <c r="Z712" s="424"/>
    </row>
    <row r="713" customFormat="false" ht="15.75" hidden="false" customHeight="false" outlineLevel="0" collapsed="false">
      <c r="R713" s="424"/>
      <c r="S713" s="424"/>
      <c r="T713" s="424"/>
      <c r="U713" s="424"/>
      <c r="V713" s="424"/>
      <c r="W713" s="424"/>
      <c r="Y713" s="424"/>
      <c r="Z713" s="424"/>
    </row>
    <row r="714" customFormat="false" ht="15.75" hidden="false" customHeight="false" outlineLevel="0" collapsed="false">
      <c r="R714" s="424"/>
      <c r="S714" s="424"/>
      <c r="T714" s="424"/>
      <c r="U714" s="424"/>
      <c r="V714" s="424"/>
      <c r="W714" s="424"/>
      <c r="Y714" s="424"/>
      <c r="Z714" s="424"/>
    </row>
    <row r="715" customFormat="false" ht="15.75" hidden="false" customHeight="false" outlineLevel="0" collapsed="false">
      <c r="R715" s="424"/>
      <c r="S715" s="424"/>
      <c r="T715" s="424"/>
      <c r="U715" s="424"/>
      <c r="V715" s="424"/>
      <c r="W715" s="424"/>
      <c r="Y715" s="424"/>
      <c r="Z715" s="424"/>
    </row>
    <row r="716" customFormat="false" ht="15.75" hidden="false" customHeight="false" outlineLevel="0" collapsed="false">
      <c r="R716" s="424"/>
      <c r="S716" s="424"/>
      <c r="T716" s="424"/>
      <c r="U716" s="424"/>
      <c r="V716" s="424"/>
      <c r="W716" s="424"/>
      <c r="Y716" s="424"/>
      <c r="Z716" s="424"/>
    </row>
    <row r="717" customFormat="false" ht="15.75" hidden="false" customHeight="false" outlineLevel="0" collapsed="false">
      <c r="R717" s="424"/>
      <c r="S717" s="424"/>
      <c r="T717" s="424"/>
      <c r="U717" s="424"/>
      <c r="V717" s="424"/>
      <c r="W717" s="424"/>
      <c r="Y717" s="424"/>
      <c r="Z717" s="424"/>
    </row>
    <row r="718" customFormat="false" ht="15.75" hidden="false" customHeight="false" outlineLevel="0" collapsed="false">
      <c r="R718" s="424"/>
      <c r="S718" s="424"/>
      <c r="T718" s="424"/>
      <c r="U718" s="424"/>
      <c r="V718" s="424"/>
      <c r="W718" s="424"/>
      <c r="Y718" s="424"/>
      <c r="Z718" s="424"/>
    </row>
    <row r="719" customFormat="false" ht="15.75" hidden="false" customHeight="false" outlineLevel="0" collapsed="false">
      <c r="R719" s="424"/>
      <c r="S719" s="424"/>
      <c r="T719" s="424"/>
      <c r="U719" s="424"/>
      <c r="V719" s="424"/>
      <c r="W719" s="424"/>
      <c r="Y719" s="424"/>
      <c r="Z719" s="424"/>
    </row>
    <row r="720" customFormat="false" ht="15.75" hidden="false" customHeight="false" outlineLevel="0" collapsed="false">
      <c r="R720" s="424"/>
      <c r="S720" s="424"/>
      <c r="T720" s="424"/>
      <c r="U720" s="424"/>
      <c r="V720" s="424"/>
      <c r="W720" s="424"/>
      <c r="Y720" s="424"/>
      <c r="Z720" s="424"/>
    </row>
    <row r="721" customFormat="false" ht="15.75" hidden="false" customHeight="false" outlineLevel="0" collapsed="false">
      <c r="R721" s="424"/>
      <c r="S721" s="424"/>
      <c r="T721" s="424"/>
      <c r="U721" s="424"/>
      <c r="V721" s="424"/>
      <c r="W721" s="424"/>
      <c r="Y721" s="424"/>
      <c r="Z721" s="424"/>
    </row>
    <row r="722" customFormat="false" ht="15.75" hidden="false" customHeight="false" outlineLevel="0" collapsed="false">
      <c r="R722" s="424"/>
      <c r="S722" s="424"/>
      <c r="T722" s="424"/>
      <c r="U722" s="424"/>
      <c r="V722" s="424"/>
      <c r="W722" s="424"/>
      <c r="Y722" s="424"/>
      <c r="Z722" s="424"/>
    </row>
    <row r="723" customFormat="false" ht="15.75" hidden="false" customHeight="false" outlineLevel="0" collapsed="false">
      <c r="R723" s="424"/>
      <c r="S723" s="424"/>
      <c r="T723" s="424"/>
      <c r="U723" s="424"/>
      <c r="V723" s="424"/>
      <c r="W723" s="424"/>
      <c r="Y723" s="424"/>
      <c r="Z723" s="424"/>
    </row>
    <row r="724" customFormat="false" ht="15.75" hidden="false" customHeight="false" outlineLevel="0" collapsed="false">
      <c r="R724" s="424"/>
      <c r="S724" s="424"/>
      <c r="T724" s="424"/>
      <c r="U724" s="424"/>
      <c r="V724" s="424"/>
      <c r="W724" s="424"/>
      <c r="Y724" s="424"/>
      <c r="Z724" s="424"/>
    </row>
    <row r="725" customFormat="false" ht="15.75" hidden="false" customHeight="false" outlineLevel="0" collapsed="false">
      <c r="R725" s="424"/>
      <c r="S725" s="424"/>
      <c r="T725" s="424"/>
      <c r="U725" s="424"/>
      <c r="V725" s="424"/>
      <c r="W725" s="424"/>
      <c r="Y725" s="424"/>
      <c r="Z725" s="424"/>
    </row>
    <row r="726" customFormat="false" ht="15.75" hidden="false" customHeight="false" outlineLevel="0" collapsed="false">
      <c r="R726" s="424"/>
      <c r="S726" s="424"/>
      <c r="T726" s="424"/>
      <c r="U726" s="424"/>
      <c r="V726" s="424"/>
      <c r="W726" s="424"/>
      <c r="Y726" s="424"/>
      <c r="Z726" s="424"/>
    </row>
    <row r="727" customFormat="false" ht="15.75" hidden="false" customHeight="false" outlineLevel="0" collapsed="false">
      <c r="R727" s="424"/>
      <c r="S727" s="424"/>
      <c r="T727" s="424"/>
      <c r="U727" s="424"/>
      <c r="V727" s="424"/>
      <c r="W727" s="424"/>
      <c r="Y727" s="424"/>
      <c r="Z727" s="424"/>
    </row>
    <row r="728" customFormat="false" ht="15.75" hidden="false" customHeight="false" outlineLevel="0" collapsed="false">
      <c r="R728" s="424"/>
      <c r="S728" s="424"/>
      <c r="T728" s="424"/>
      <c r="U728" s="424"/>
      <c r="V728" s="424"/>
      <c r="W728" s="424"/>
      <c r="Y728" s="424"/>
      <c r="Z728" s="424"/>
    </row>
    <row r="729" customFormat="false" ht="15.75" hidden="false" customHeight="false" outlineLevel="0" collapsed="false">
      <c r="R729" s="424"/>
      <c r="S729" s="424"/>
      <c r="T729" s="424"/>
      <c r="U729" s="424"/>
      <c r="V729" s="424"/>
      <c r="W729" s="424"/>
      <c r="Y729" s="424"/>
      <c r="Z729" s="424"/>
    </row>
    <row r="730" customFormat="false" ht="15.75" hidden="false" customHeight="false" outlineLevel="0" collapsed="false">
      <c r="R730" s="424"/>
      <c r="S730" s="424"/>
      <c r="T730" s="424"/>
      <c r="U730" s="424"/>
      <c r="V730" s="424"/>
      <c r="W730" s="424"/>
      <c r="Y730" s="424"/>
      <c r="Z730" s="424"/>
    </row>
    <row r="731" customFormat="false" ht="15.75" hidden="false" customHeight="false" outlineLevel="0" collapsed="false">
      <c r="R731" s="424"/>
      <c r="S731" s="424"/>
      <c r="T731" s="424"/>
      <c r="U731" s="424"/>
      <c r="V731" s="424"/>
      <c r="W731" s="424"/>
      <c r="Y731" s="424"/>
      <c r="Z731" s="424"/>
    </row>
    <row r="732" customFormat="false" ht="15.75" hidden="false" customHeight="false" outlineLevel="0" collapsed="false">
      <c r="R732" s="424"/>
      <c r="S732" s="424"/>
      <c r="T732" s="424"/>
      <c r="U732" s="424"/>
      <c r="V732" s="424"/>
      <c r="W732" s="424"/>
      <c r="Y732" s="424"/>
      <c r="Z732" s="424"/>
    </row>
    <row r="733" customFormat="false" ht="15.75" hidden="false" customHeight="false" outlineLevel="0" collapsed="false">
      <c r="R733" s="424"/>
      <c r="S733" s="424"/>
      <c r="T733" s="424"/>
      <c r="U733" s="424"/>
      <c r="V733" s="424"/>
      <c r="W733" s="424"/>
      <c r="Y733" s="424"/>
      <c r="Z733" s="424"/>
    </row>
    <row r="734" customFormat="false" ht="15.75" hidden="false" customHeight="false" outlineLevel="0" collapsed="false">
      <c r="R734" s="424"/>
      <c r="S734" s="424"/>
      <c r="T734" s="424"/>
      <c r="U734" s="424"/>
      <c r="V734" s="424"/>
      <c r="W734" s="424"/>
      <c r="Y734" s="424"/>
      <c r="Z734" s="424"/>
    </row>
    <row r="735" customFormat="false" ht="15.75" hidden="false" customHeight="false" outlineLevel="0" collapsed="false">
      <c r="R735" s="424"/>
      <c r="S735" s="424"/>
      <c r="T735" s="424"/>
      <c r="U735" s="424"/>
      <c r="V735" s="424"/>
      <c r="W735" s="424"/>
      <c r="Y735" s="424"/>
      <c r="Z735" s="424"/>
    </row>
    <row r="736" customFormat="false" ht="15.75" hidden="false" customHeight="false" outlineLevel="0" collapsed="false">
      <c r="R736" s="424"/>
      <c r="S736" s="424"/>
      <c r="T736" s="424"/>
      <c r="U736" s="424"/>
      <c r="V736" s="424"/>
      <c r="W736" s="424"/>
      <c r="Y736" s="424"/>
      <c r="Z736" s="424"/>
    </row>
    <row r="737" customFormat="false" ht="15.75" hidden="false" customHeight="false" outlineLevel="0" collapsed="false">
      <c r="R737" s="424"/>
      <c r="S737" s="424"/>
      <c r="T737" s="424"/>
      <c r="U737" s="424"/>
      <c r="V737" s="424"/>
      <c r="W737" s="424"/>
      <c r="Y737" s="424"/>
      <c r="Z737" s="424"/>
    </row>
    <row r="738" customFormat="false" ht="15.75" hidden="false" customHeight="false" outlineLevel="0" collapsed="false">
      <c r="R738" s="424"/>
      <c r="S738" s="424"/>
      <c r="T738" s="424"/>
      <c r="U738" s="424"/>
      <c r="V738" s="424"/>
      <c r="W738" s="424"/>
      <c r="Y738" s="424"/>
      <c r="Z738" s="424"/>
    </row>
    <row r="739" customFormat="false" ht="15.75" hidden="false" customHeight="false" outlineLevel="0" collapsed="false">
      <c r="R739" s="424"/>
      <c r="S739" s="424"/>
      <c r="T739" s="424"/>
      <c r="U739" s="424"/>
      <c r="V739" s="424"/>
      <c r="W739" s="424"/>
      <c r="Y739" s="424"/>
      <c r="Z739" s="424"/>
    </row>
    <row r="740" customFormat="false" ht="15.75" hidden="false" customHeight="false" outlineLevel="0" collapsed="false">
      <c r="R740" s="424"/>
      <c r="S740" s="424"/>
      <c r="T740" s="424"/>
      <c r="U740" s="424"/>
      <c r="V740" s="424"/>
      <c r="W740" s="424"/>
      <c r="Y740" s="424"/>
      <c r="Z740" s="424"/>
    </row>
    <row r="741" customFormat="false" ht="15.75" hidden="false" customHeight="false" outlineLevel="0" collapsed="false">
      <c r="R741" s="424"/>
      <c r="S741" s="424"/>
      <c r="T741" s="424"/>
      <c r="U741" s="424"/>
      <c r="V741" s="424"/>
      <c r="W741" s="424"/>
      <c r="Y741" s="424"/>
      <c r="Z741" s="424"/>
    </row>
    <row r="742" customFormat="false" ht="15.75" hidden="false" customHeight="false" outlineLevel="0" collapsed="false">
      <c r="R742" s="424"/>
      <c r="S742" s="424"/>
      <c r="T742" s="424"/>
      <c r="U742" s="424"/>
      <c r="V742" s="424"/>
      <c r="W742" s="424"/>
      <c r="Y742" s="424"/>
      <c r="Z742" s="424"/>
    </row>
    <row r="743" customFormat="false" ht="15.75" hidden="false" customHeight="false" outlineLevel="0" collapsed="false">
      <c r="R743" s="424"/>
      <c r="S743" s="424"/>
      <c r="T743" s="424"/>
      <c r="U743" s="424"/>
      <c r="V743" s="424"/>
      <c r="W743" s="424"/>
      <c r="Y743" s="424"/>
      <c r="Z743" s="424"/>
    </row>
    <row r="744" customFormat="false" ht="15.75" hidden="false" customHeight="false" outlineLevel="0" collapsed="false">
      <c r="R744" s="424"/>
      <c r="S744" s="424"/>
      <c r="T744" s="424"/>
      <c r="U744" s="424"/>
      <c r="V744" s="424"/>
      <c r="W744" s="424"/>
      <c r="Y744" s="424"/>
      <c r="Z744" s="424"/>
    </row>
    <row r="745" customFormat="false" ht="15.75" hidden="false" customHeight="false" outlineLevel="0" collapsed="false">
      <c r="R745" s="424"/>
      <c r="S745" s="424"/>
      <c r="T745" s="424"/>
      <c r="U745" s="424"/>
      <c r="V745" s="424"/>
      <c r="W745" s="424"/>
      <c r="Y745" s="424"/>
      <c r="Z745" s="424"/>
    </row>
    <row r="746" customFormat="false" ht="15.75" hidden="false" customHeight="false" outlineLevel="0" collapsed="false">
      <c r="R746" s="424"/>
      <c r="S746" s="424"/>
      <c r="T746" s="424"/>
      <c r="U746" s="424"/>
      <c r="V746" s="424"/>
      <c r="W746" s="424"/>
      <c r="Y746" s="424"/>
      <c r="Z746" s="424"/>
    </row>
    <row r="747" customFormat="false" ht="15.75" hidden="false" customHeight="false" outlineLevel="0" collapsed="false">
      <c r="R747" s="424"/>
      <c r="S747" s="424"/>
      <c r="T747" s="424"/>
      <c r="U747" s="424"/>
      <c r="V747" s="424"/>
      <c r="W747" s="424"/>
      <c r="Y747" s="424"/>
      <c r="Z747" s="424"/>
    </row>
    <row r="748" customFormat="false" ht="15.75" hidden="false" customHeight="false" outlineLevel="0" collapsed="false">
      <c r="R748" s="424"/>
      <c r="S748" s="424"/>
      <c r="T748" s="424"/>
      <c r="U748" s="424"/>
      <c r="V748" s="424"/>
      <c r="W748" s="424"/>
      <c r="Y748" s="424"/>
      <c r="Z748" s="424"/>
    </row>
    <row r="749" customFormat="false" ht="15.75" hidden="false" customHeight="false" outlineLevel="0" collapsed="false">
      <c r="R749" s="424"/>
      <c r="S749" s="424"/>
      <c r="T749" s="424"/>
      <c r="U749" s="424"/>
      <c r="V749" s="424"/>
      <c r="W749" s="424"/>
      <c r="Y749" s="424"/>
      <c r="Z749" s="424"/>
    </row>
    <row r="750" customFormat="false" ht="15.75" hidden="false" customHeight="false" outlineLevel="0" collapsed="false">
      <c r="R750" s="424"/>
      <c r="S750" s="424"/>
      <c r="T750" s="424"/>
      <c r="U750" s="424"/>
      <c r="V750" s="424"/>
      <c r="W750" s="424"/>
      <c r="Y750" s="424"/>
      <c r="Z750" s="424"/>
    </row>
    <row r="751" customFormat="false" ht="15.75" hidden="false" customHeight="false" outlineLevel="0" collapsed="false">
      <c r="R751" s="424"/>
      <c r="S751" s="424"/>
      <c r="T751" s="424"/>
      <c r="U751" s="424"/>
      <c r="V751" s="424"/>
      <c r="W751" s="424"/>
      <c r="Y751" s="424"/>
      <c r="Z751" s="424"/>
    </row>
    <row r="752" customFormat="false" ht="15.75" hidden="false" customHeight="false" outlineLevel="0" collapsed="false">
      <c r="R752" s="424"/>
      <c r="S752" s="424"/>
      <c r="T752" s="424"/>
      <c r="U752" s="424"/>
      <c r="V752" s="424"/>
      <c r="W752" s="424"/>
      <c r="Y752" s="424"/>
      <c r="Z752" s="424"/>
    </row>
    <row r="753" customFormat="false" ht="15.75" hidden="false" customHeight="false" outlineLevel="0" collapsed="false">
      <c r="R753" s="424"/>
      <c r="S753" s="424"/>
      <c r="T753" s="424"/>
      <c r="U753" s="424"/>
      <c r="V753" s="424"/>
      <c r="W753" s="424"/>
      <c r="Y753" s="424"/>
      <c r="Z753" s="424"/>
    </row>
    <row r="754" customFormat="false" ht="15.75" hidden="false" customHeight="false" outlineLevel="0" collapsed="false">
      <c r="R754" s="424"/>
      <c r="S754" s="424"/>
      <c r="T754" s="424"/>
      <c r="U754" s="424"/>
      <c r="V754" s="424"/>
      <c r="W754" s="424"/>
      <c r="Y754" s="424"/>
      <c r="Z754" s="424"/>
    </row>
    <row r="755" customFormat="false" ht="15.75" hidden="false" customHeight="false" outlineLevel="0" collapsed="false">
      <c r="R755" s="424"/>
      <c r="S755" s="424"/>
      <c r="T755" s="424"/>
      <c r="U755" s="424"/>
      <c r="V755" s="424"/>
      <c r="W755" s="424"/>
      <c r="Y755" s="424"/>
      <c r="Z755" s="424"/>
    </row>
    <row r="756" customFormat="false" ht="15.75" hidden="false" customHeight="false" outlineLevel="0" collapsed="false">
      <c r="R756" s="424"/>
      <c r="S756" s="424"/>
      <c r="T756" s="424"/>
      <c r="U756" s="424"/>
      <c r="V756" s="424"/>
      <c r="W756" s="424"/>
      <c r="Y756" s="424"/>
      <c r="Z756" s="424"/>
    </row>
    <row r="757" customFormat="false" ht="15.75" hidden="false" customHeight="false" outlineLevel="0" collapsed="false">
      <c r="R757" s="424"/>
      <c r="S757" s="424"/>
      <c r="T757" s="424"/>
      <c r="U757" s="424"/>
      <c r="V757" s="424"/>
      <c r="W757" s="424"/>
      <c r="Y757" s="424"/>
      <c r="Z757" s="424"/>
    </row>
    <row r="758" customFormat="false" ht="15.75" hidden="false" customHeight="false" outlineLevel="0" collapsed="false">
      <c r="R758" s="424"/>
      <c r="S758" s="424"/>
      <c r="T758" s="424"/>
      <c r="U758" s="424"/>
      <c r="V758" s="424"/>
      <c r="W758" s="424"/>
      <c r="Y758" s="424"/>
      <c r="Z758" s="424"/>
    </row>
    <row r="759" customFormat="false" ht="15.75" hidden="false" customHeight="false" outlineLevel="0" collapsed="false">
      <c r="R759" s="424"/>
      <c r="S759" s="424"/>
      <c r="T759" s="424"/>
      <c r="U759" s="424"/>
      <c r="V759" s="424"/>
      <c r="W759" s="424"/>
      <c r="Y759" s="424"/>
      <c r="Z759" s="424"/>
    </row>
    <row r="760" customFormat="false" ht="15.75" hidden="false" customHeight="false" outlineLevel="0" collapsed="false">
      <c r="R760" s="424"/>
      <c r="S760" s="424"/>
      <c r="T760" s="424"/>
      <c r="U760" s="424"/>
      <c r="V760" s="424"/>
      <c r="W760" s="424"/>
      <c r="Y760" s="424"/>
      <c r="Z760" s="424"/>
    </row>
    <row r="761" customFormat="false" ht="15.75" hidden="false" customHeight="false" outlineLevel="0" collapsed="false">
      <c r="R761" s="424"/>
      <c r="S761" s="424"/>
      <c r="T761" s="424"/>
      <c r="U761" s="424"/>
      <c r="V761" s="424"/>
      <c r="W761" s="424"/>
      <c r="Y761" s="424"/>
      <c r="Z761" s="424"/>
    </row>
    <row r="762" customFormat="false" ht="15.75" hidden="false" customHeight="false" outlineLevel="0" collapsed="false">
      <c r="R762" s="424"/>
      <c r="S762" s="424"/>
      <c r="T762" s="424"/>
      <c r="U762" s="424"/>
      <c r="V762" s="424"/>
      <c r="W762" s="424"/>
      <c r="Y762" s="424"/>
      <c r="Z762" s="424"/>
    </row>
    <row r="763" customFormat="false" ht="15.75" hidden="false" customHeight="false" outlineLevel="0" collapsed="false">
      <c r="R763" s="424"/>
      <c r="S763" s="424"/>
      <c r="T763" s="424"/>
      <c r="U763" s="424"/>
      <c r="V763" s="424"/>
      <c r="W763" s="424"/>
      <c r="Y763" s="424"/>
      <c r="Z763" s="424"/>
    </row>
    <row r="764" customFormat="false" ht="15.75" hidden="false" customHeight="false" outlineLevel="0" collapsed="false">
      <c r="R764" s="424"/>
      <c r="S764" s="424"/>
      <c r="T764" s="424"/>
      <c r="U764" s="424"/>
      <c r="V764" s="424"/>
      <c r="W764" s="424"/>
      <c r="Y764" s="424"/>
      <c r="Z764" s="424"/>
    </row>
    <row r="765" customFormat="false" ht="15.75" hidden="false" customHeight="false" outlineLevel="0" collapsed="false">
      <c r="R765" s="424"/>
      <c r="S765" s="424"/>
      <c r="T765" s="424"/>
      <c r="U765" s="424"/>
      <c r="V765" s="424"/>
      <c r="W765" s="424"/>
      <c r="Y765" s="424"/>
      <c r="Z765" s="424"/>
    </row>
    <row r="766" customFormat="false" ht="15.75" hidden="false" customHeight="false" outlineLevel="0" collapsed="false">
      <c r="R766" s="424"/>
      <c r="S766" s="424"/>
      <c r="T766" s="424"/>
      <c r="U766" s="424"/>
      <c r="V766" s="424"/>
      <c r="W766" s="424"/>
      <c r="Y766" s="424"/>
      <c r="Z766" s="424"/>
    </row>
    <row r="767" customFormat="false" ht="15.75" hidden="false" customHeight="false" outlineLevel="0" collapsed="false">
      <c r="R767" s="424"/>
      <c r="S767" s="424"/>
      <c r="T767" s="424"/>
      <c r="U767" s="424"/>
      <c r="V767" s="424"/>
      <c r="W767" s="424"/>
      <c r="Y767" s="424"/>
      <c r="Z767" s="424"/>
    </row>
    <row r="768" customFormat="false" ht="15.75" hidden="false" customHeight="false" outlineLevel="0" collapsed="false">
      <c r="R768" s="424"/>
      <c r="S768" s="424"/>
      <c r="T768" s="424"/>
      <c r="U768" s="424"/>
      <c r="V768" s="424"/>
      <c r="W768" s="424"/>
      <c r="Y768" s="424"/>
      <c r="Z768" s="424"/>
    </row>
    <row r="769" customFormat="false" ht="15.75" hidden="false" customHeight="false" outlineLevel="0" collapsed="false">
      <c r="R769" s="424"/>
      <c r="S769" s="424"/>
      <c r="T769" s="424"/>
      <c r="U769" s="424"/>
      <c r="V769" s="424"/>
      <c r="W769" s="424"/>
      <c r="Y769" s="424"/>
      <c r="Z769" s="424"/>
    </row>
    <row r="770" customFormat="false" ht="15.75" hidden="false" customHeight="false" outlineLevel="0" collapsed="false">
      <c r="R770" s="424"/>
      <c r="S770" s="424"/>
      <c r="T770" s="424"/>
      <c r="U770" s="424"/>
      <c r="V770" s="424"/>
      <c r="W770" s="424"/>
      <c r="Y770" s="424"/>
      <c r="Z770" s="424"/>
    </row>
    <row r="771" customFormat="false" ht="15.75" hidden="false" customHeight="false" outlineLevel="0" collapsed="false">
      <c r="R771" s="424"/>
      <c r="S771" s="424"/>
      <c r="T771" s="424"/>
      <c r="U771" s="424"/>
      <c r="V771" s="424"/>
      <c r="W771" s="424"/>
      <c r="Y771" s="424"/>
      <c r="Z771" s="424"/>
    </row>
    <row r="772" customFormat="false" ht="15.75" hidden="false" customHeight="false" outlineLevel="0" collapsed="false">
      <c r="R772" s="424"/>
      <c r="S772" s="424"/>
      <c r="T772" s="424"/>
      <c r="U772" s="424"/>
      <c r="V772" s="424"/>
      <c r="W772" s="424"/>
      <c r="Y772" s="424"/>
      <c r="Z772" s="424"/>
    </row>
    <row r="773" customFormat="false" ht="15.75" hidden="false" customHeight="false" outlineLevel="0" collapsed="false">
      <c r="R773" s="424"/>
      <c r="S773" s="424"/>
      <c r="T773" s="424"/>
      <c r="U773" s="424"/>
      <c r="V773" s="424"/>
      <c r="W773" s="424"/>
      <c r="Y773" s="424"/>
      <c r="Z773" s="424"/>
    </row>
    <row r="774" customFormat="false" ht="15.75" hidden="false" customHeight="false" outlineLevel="0" collapsed="false">
      <c r="R774" s="424"/>
      <c r="S774" s="424"/>
      <c r="T774" s="424"/>
      <c r="U774" s="424"/>
      <c r="V774" s="424"/>
      <c r="W774" s="424"/>
      <c r="Y774" s="424"/>
      <c r="Z774" s="424"/>
    </row>
    <row r="775" customFormat="false" ht="15.75" hidden="false" customHeight="false" outlineLevel="0" collapsed="false">
      <c r="R775" s="424"/>
      <c r="S775" s="424"/>
      <c r="T775" s="424"/>
      <c r="U775" s="424"/>
      <c r="V775" s="424"/>
      <c r="W775" s="424"/>
      <c r="Y775" s="424"/>
      <c r="Z775" s="424"/>
    </row>
    <row r="776" customFormat="false" ht="15.75" hidden="false" customHeight="false" outlineLevel="0" collapsed="false">
      <c r="R776" s="424"/>
      <c r="S776" s="424"/>
      <c r="T776" s="424"/>
      <c r="U776" s="424"/>
      <c r="V776" s="424"/>
      <c r="W776" s="424"/>
      <c r="Y776" s="424"/>
      <c r="Z776" s="424"/>
    </row>
    <row r="777" customFormat="false" ht="15.75" hidden="false" customHeight="false" outlineLevel="0" collapsed="false">
      <c r="R777" s="424"/>
      <c r="S777" s="424"/>
      <c r="T777" s="424"/>
      <c r="U777" s="424"/>
      <c r="V777" s="424"/>
      <c r="W777" s="424"/>
      <c r="Y777" s="424"/>
      <c r="Z777" s="424"/>
    </row>
    <row r="778" customFormat="false" ht="15.75" hidden="false" customHeight="false" outlineLevel="0" collapsed="false">
      <c r="R778" s="424"/>
      <c r="S778" s="424"/>
      <c r="T778" s="424"/>
      <c r="U778" s="424"/>
      <c r="V778" s="424"/>
      <c r="W778" s="424"/>
      <c r="Y778" s="424"/>
      <c r="Z778" s="424"/>
    </row>
    <row r="779" customFormat="false" ht="15.75" hidden="false" customHeight="false" outlineLevel="0" collapsed="false">
      <c r="R779" s="424"/>
      <c r="S779" s="424"/>
      <c r="T779" s="424"/>
      <c r="U779" s="424"/>
      <c r="V779" s="424"/>
      <c r="W779" s="424"/>
      <c r="Y779" s="424"/>
      <c r="Z779" s="424"/>
    </row>
    <row r="780" customFormat="false" ht="15.75" hidden="false" customHeight="false" outlineLevel="0" collapsed="false">
      <c r="R780" s="424"/>
      <c r="S780" s="424"/>
      <c r="T780" s="424"/>
      <c r="U780" s="424"/>
      <c r="V780" s="424"/>
      <c r="W780" s="424"/>
      <c r="Y780" s="424"/>
      <c r="Z780" s="424"/>
    </row>
    <row r="781" customFormat="false" ht="15.75" hidden="false" customHeight="false" outlineLevel="0" collapsed="false">
      <c r="R781" s="424"/>
      <c r="S781" s="424"/>
      <c r="T781" s="424"/>
      <c r="U781" s="424"/>
      <c r="V781" s="424"/>
      <c r="W781" s="424"/>
      <c r="Y781" s="424"/>
      <c r="Z781" s="424"/>
    </row>
    <row r="782" customFormat="false" ht="15.75" hidden="false" customHeight="false" outlineLevel="0" collapsed="false">
      <c r="R782" s="424"/>
      <c r="S782" s="424"/>
      <c r="T782" s="424"/>
      <c r="U782" s="424"/>
      <c r="V782" s="424"/>
      <c r="W782" s="424"/>
      <c r="Y782" s="424"/>
      <c r="Z782" s="424"/>
    </row>
    <row r="783" customFormat="false" ht="15.75" hidden="false" customHeight="false" outlineLevel="0" collapsed="false">
      <c r="R783" s="424"/>
      <c r="S783" s="424"/>
      <c r="T783" s="424"/>
      <c r="U783" s="424"/>
      <c r="V783" s="424"/>
      <c r="W783" s="424"/>
      <c r="Y783" s="424"/>
      <c r="Z783" s="424"/>
    </row>
    <row r="784" customFormat="false" ht="15.75" hidden="false" customHeight="false" outlineLevel="0" collapsed="false">
      <c r="R784" s="424"/>
      <c r="S784" s="424"/>
      <c r="T784" s="424"/>
      <c r="U784" s="424"/>
      <c r="V784" s="424"/>
      <c r="W784" s="424"/>
      <c r="Y784" s="424"/>
      <c r="Z784" s="424"/>
    </row>
    <row r="785" customFormat="false" ht="15.75" hidden="false" customHeight="false" outlineLevel="0" collapsed="false">
      <c r="R785" s="424"/>
      <c r="S785" s="424"/>
      <c r="T785" s="424"/>
      <c r="U785" s="424"/>
      <c r="V785" s="424"/>
      <c r="W785" s="424"/>
      <c r="Y785" s="424"/>
      <c r="Z785" s="424"/>
    </row>
    <row r="786" customFormat="false" ht="15.75" hidden="false" customHeight="false" outlineLevel="0" collapsed="false">
      <c r="R786" s="424"/>
      <c r="S786" s="424"/>
      <c r="T786" s="424"/>
      <c r="U786" s="424"/>
      <c r="V786" s="424"/>
      <c r="W786" s="424"/>
      <c r="Y786" s="424"/>
      <c r="Z786" s="424"/>
    </row>
    <row r="787" customFormat="false" ht="15.75" hidden="false" customHeight="false" outlineLevel="0" collapsed="false">
      <c r="R787" s="424"/>
      <c r="S787" s="424"/>
      <c r="T787" s="424"/>
      <c r="U787" s="424"/>
      <c r="V787" s="424"/>
      <c r="W787" s="424"/>
      <c r="Y787" s="424"/>
      <c r="Z787" s="424"/>
    </row>
    <row r="788" customFormat="false" ht="15.75" hidden="false" customHeight="false" outlineLevel="0" collapsed="false">
      <c r="R788" s="424"/>
      <c r="S788" s="424"/>
      <c r="T788" s="424"/>
      <c r="U788" s="424"/>
      <c r="V788" s="424"/>
      <c r="W788" s="424"/>
      <c r="Y788" s="424"/>
      <c r="Z788" s="424"/>
    </row>
    <row r="789" customFormat="false" ht="15.75" hidden="false" customHeight="false" outlineLevel="0" collapsed="false">
      <c r="R789" s="424"/>
      <c r="S789" s="424"/>
      <c r="T789" s="424"/>
      <c r="U789" s="424"/>
      <c r="V789" s="424"/>
      <c r="W789" s="424"/>
      <c r="Y789" s="424"/>
      <c r="Z789" s="424"/>
    </row>
    <row r="790" customFormat="false" ht="15.75" hidden="false" customHeight="false" outlineLevel="0" collapsed="false">
      <c r="R790" s="424"/>
      <c r="S790" s="424"/>
      <c r="T790" s="424"/>
      <c r="U790" s="424"/>
      <c r="V790" s="424"/>
      <c r="W790" s="424"/>
      <c r="Y790" s="424"/>
      <c r="Z790" s="424"/>
    </row>
    <row r="791" customFormat="false" ht="15.75" hidden="false" customHeight="false" outlineLevel="0" collapsed="false">
      <c r="R791" s="424"/>
      <c r="S791" s="424"/>
      <c r="T791" s="424"/>
      <c r="U791" s="424"/>
      <c r="V791" s="424"/>
      <c r="W791" s="424"/>
      <c r="Y791" s="424"/>
      <c r="Z791" s="424"/>
    </row>
    <row r="792" customFormat="false" ht="15.75" hidden="false" customHeight="false" outlineLevel="0" collapsed="false">
      <c r="R792" s="424"/>
      <c r="S792" s="424"/>
      <c r="T792" s="424"/>
      <c r="U792" s="424"/>
      <c r="V792" s="424"/>
      <c r="W792" s="424"/>
      <c r="Y792" s="424"/>
      <c r="Z792" s="424"/>
    </row>
    <row r="793" customFormat="false" ht="15.75" hidden="false" customHeight="false" outlineLevel="0" collapsed="false">
      <c r="R793" s="424"/>
      <c r="S793" s="424"/>
      <c r="T793" s="424"/>
      <c r="U793" s="424"/>
      <c r="V793" s="424"/>
      <c r="W793" s="424"/>
      <c r="Y793" s="424"/>
      <c r="Z793" s="424"/>
    </row>
    <row r="794" customFormat="false" ht="15.75" hidden="false" customHeight="false" outlineLevel="0" collapsed="false">
      <c r="R794" s="424"/>
      <c r="S794" s="424"/>
      <c r="T794" s="424"/>
      <c r="U794" s="424"/>
      <c r="V794" s="424"/>
      <c r="W794" s="424"/>
      <c r="Y794" s="424"/>
      <c r="Z794" s="424"/>
    </row>
    <row r="795" customFormat="false" ht="15.75" hidden="false" customHeight="false" outlineLevel="0" collapsed="false">
      <c r="R795" s="424"/>
      <c r="S795" s="424"/>
      <c r="T795" s="424"/>
      <c r="U795" s="424"/>
      <c r="V795" s="424"/>
      <c r="W795" s="424"/>
      <c r="Y795" s="424"/>
      <c r="Z795" s="424"/>
    </row>
    <row r="796" customFormat="false" ht="15.75" hidden="false" customHeight="false" outlineLevel="0" collapsed="false">
      <c r="R796" s="424"/>
      <c r="S796" s="424"/>
      <c r="T796" s="424"/>
      <c r="U796" s="424"/>
      <c r="V796" s="424"/>
      <c r="W796" s="424"/>
      <c r="Y796" s="424"/>
      <c r="Z796" s="424"/>
    </row>
    <row r="797" customFormat="false" ht="15.75" hidden="false" customHeight="false" outlineLevel="0" collapsed="false">
      <c r="R797" s="424"/>
      <c r="S797" s="424"/>
      <c r="T797" s="424"/>
      <c r="U797" s="424"/>
      <c r="V797" s="424"/>
      <c r="W797" s="424"/>
      <c r="Y797" s="424"/>
      <c r="Z797" s="424"/>
    </row>
    <row r="798" customFormat="false" ht="15.75" hidden="false" customHeight="false" outlineLevel="0" collapsed="false">
      <c r="R798" s="424"/>
      <c r="S798" s="424"/>
      <c r="T798" s="424"/>
      <c r="U798" s="424"/>
      <c r="V798" s="424"/>
      <c r="W798" s="424"/>
      <c r="Y798" s="424"/>
      <c r="Z798" s="424"/>
    </row>
    <row r="799" customFormat="false" ht="15.75" hidden="false" customHeight="false" outlineLevel="0" collapsed="false">
      <c r="R799" s="424"/>
      <c r="S799" s="424"/>
      <c r="T799" s="424"/>
      <c r="U799" s="424"/>
      <c r="V799" s="424"/>
      <c r="W799" s="424"/>
      <c r="Y799" s="424"/>
      <c r="Z799" s="424"/>
    </row>
    <row r="800" customFormat="false" ht="15.75" hidden="false" customHeight="false" outlineLevel="0" collapsed="false">
      <c r="R800" s="424"/>
      <c r="S800" s="424"/>
      <c r="T800" s="424"/>
      <c r="U800" s="424"/>
      <c r="V800" s="424"/>
      <c r="W800" s="424"/>
      <c r="Y800" s="424"/>
      <c r="Z800" s="424"/>
    </row>
    <row r="801" customFormat="false" ht="15.75" hidden="false" customHeight="false" outlineLevel="0" collapsed="false">
      <c r="R801" s="424"/>
      <c r="S801" s="424"/>
      <c r="T801" s="424"/>
      <c r="U801" s="424"/>
      <c r="V801" s="424"/>
      <c r="W801" s="424"/>
      <c r="Y801" s="424"/>
      <c r="Z801" s="424"/>
    </row>
    <row r="802" customFormat="false" ht="15.75" hidden="false" customHeight="false" outlineLevel="0" collapsed="false">
      <c r="R802" s="424"/>
      <c r="S802" s="424"/>
      <c r="T802" s="424"/>
      <c r="U802" s="424"/>
      <c r="V802" s="424"/>
      <c r="W802" s="424"/>
      <c r="Y802" s="424"/>
      <c r="Z802" s="424"/>
    </row>
    <row r="803" customFormat="false" ht="15.75" hidden="false" customHeight="false" outlineLevel="0" collapsed="false">
      <c r="R803" s="424"/>
      <c r="S803" s="424"/>
      <c r="T803" s="424"/>
      <c r="U803" s="424"/>
      <c r="V803" s="424"/>
      <c r="W803" s="424"/>
      <c r="Y803" s="424"/>
      <c r="Z803" s="424"/>
    </row>
    <row r="804" customFormat="false" ht="15.75" hidden="false" customHeight="false" outlineLevel="0" collapsed="false">
      <c r="R804" s="424"/>
      <c r="S804" s="424"/>
      <c r="T804" s="424"/>
      <c r="U804" s="424"/>
      <c r="V804" s="424"/>
      <c r="W804" s="424"/>
      <c r="Y804" s="424"/>
      <c r="Z804" s="424"/>
    </row>
    <row r="805" customFormat="false" ht="15.75" hidden="false" customHeight="false" outlineLevel="0" collapsed="false">
      <c r="R805" s="424"/>
      <c r="S805" s="424"/>
      <c r="T805" s="424"/>
      <c r="U805" s="424"/>
      <c r="V805" s="424"/>
      <c r="W805" s="424"/>
      <c r="Y805" s="424"/>
      <c r="Z805" s="424"/>
    </row>
    <row r="806" customFormat="false" ht="15.75" hidden="false" customHeight="false" outlineLevel="0" collapsed="false">
      <c r="R806" s="424"/>
      <c r="S806" s="424"/>
      <c r="T806" s="424"/>
      <c r="U806" s="424"/>
      <c r="V806" s="424"/>
      <c r="W806" s="424"/>
      <c r="Y806" s="424"/>
      <c r="Z806" s="424"/>
    </row>
    <row r="807" customFormat="false" ht="15.75" hidden="false" customHeight="false" outlineLevel="0" collapsed="false">
      <c r="R807" s="424"/>
      <c r="S807" s="424"/>
      <c r="T807" s="424"/>
      <c r="U807" s="424"/>
      <c r="V807" s="424"/>
      <c r="W807" s="424"/>
      <c r="Y807" s="424"/>
      <c r="Z807" s="424"/>
    </row>
    <row r="808" customFormat="false" ht="15.75" hidden="false" customHeight="false" outlineLevel="0" collapsed="false">
      <c r="R808" s="424"/>
      <c r="S808" s="424"/>
      <c r="T808" s="424"/>
      <c r="U808" s="424"/>
      <c r="V808" s="424"/>
      <c r="W808" s="424"/>
      <c r="Y808" s="424"/>
      <c r="Z808" s="424"/>
    </row>
    <row r="809" customFormat="false" ht="15.75" hidden="false" customHeight="false" outlineLevel="0" collapsed="false">
      <c r="R809" s="424"/>
      <c r="S809" s="424"/>
      <c r="T809" s="424"/>
      <c r="U809" s="424"/>
      <c r="V809" s="424"/>
      <c r="W809" s="424"/>
      <c r="Y809" s="424"/>
      <c r="Z809" s="424"/>
    </row>
    <row r="810" customFormat="false" ht="15.75" hidden="false" customHeight="false" outlineLevel="0" collapsed="false">
      <c r="R810" s="424"/>
      <c r="S810" s="424"/>
      <c r="T810" s="424"/>
      <c r="U810" s="424"/>
      <c r="V810" s="424"/>
      <c r="W810" s="424"/>
      <c r="Y810" s="424"/>
      <c r="Z810" s="424"/>
    </row>
    <row r="811" customFormat="false" ht="15.75" hidden="false" customHeight="false" outlineLevel="0" collapsed="false">
      <c r="R811" s="424"/>
      <c r="S811" s="424"/>
      <c r="T811" s="424"/>
      <c r="U811" s="424"/>
      <c r="V811" s="424"/>
      <c r="W811" s="424"/>
      <c r="Y811" s="424"/>
      <c r="Z811" s="424"/>
    </row>
    <row r="812" customFormat="false" ht="15.75" hidden="false" customHeight="false" outlineLevel="0" collapsed="false">
      <c r="R812" s="424"/>
      <c r="S812" s="424"/>
      <c r="T812" s="424"/>
      <c r="U812" s="424"/>
      <c r="V812" s="424"/>
      <c r="W812" s="424"/>
      <c r="Y812" s="424"/>
      <c r="Z812" s="424"/>
    </row>
    <row r="813" customFormat="false" ht="15.75" hidden="false" customHeight="false" outlineLevel="0" collapsed="false">
      <c r="R813" s="424"/>
      <c r="S813" s="424"/>
      <c r="T813" s="424"/>
      <c r="U813" s="424"/>
      <c r="V813" s="424"/>
      <c r="W813" s="424"/>
      <c r="Y813" s="424"/>
      <c r="Z813" s="424"/>
    </row>
    <row r="814" customFormat="false" ht="15.75" hidden="false" customHeight="false" outlineLevel="0" collapsed="false">
      <c r="R814" s="424"/>
      <c r="S814" s="424"/>
      <c r="T814" s="424"/>
      <c r="U814" s="424"/>
      <c r="V814" s="424"/>
      <c r="W814" s="424"/>
      <c r="Y814" s="424"/>
      <c r="Z814" s="424"/>
    </row>
    <row r="815" customFormat="false" ht="15.75" hidden="false" customHeight="false" outlineLevel="0" collapsed="false">
      <c r="R815" s="424"/>
      <c r="S815" s="424"/>
      <c r="T815" s="424"/>
      <c r="U815" s="424"/>
      <c r="V815" s="424"/>
      <c r="W815" s="424"/>
      <c r="Y815" s="424"/>
      <c r="Z815" s="424"/>
    </row>
    <row r="816" customFormat="false" ht="15.75" hidden="false" customHeight="false" outlineLevel="0" collapsed="false">
      <c r="R816" s="424"/>
      <c r="S816" s="424"/>
      <c r="T816" s="424"/>
      <c r="U816" s="424"/>
      <c r="V816" s="424"/>
      <c r="W816" s="424"/>
      <c r="Y816" s="424"/>
      <c r="Z816" s="424"/>
    </row>
    <row r="817" customFormat="false" ht="15.75" hidden="false" customHeight="false" outlineLevel="0" collapsed="false">
      <c r="R817" s="424"/>
      <c r="S817" s="424"/>
      <c r="T817" s="424"/>
      <c r="U817" s="424"/>
      <c r="V817" s="424"/>
      <c r="W817" s="424"/>
      <c r="Y817" s="424"/>
      <c r="Z817" s="424"/>
    </row>
    <row r="818" customFormat="false" ht="15.75" hidden="false" customHeight="false" outlineLevel="0" collapsed="false">
      <c r="R818" s="424"/>
      <c r="S818" s="424"/>
      <c r="T818" s="424"/>
      <c r="U818" s="424"/>
      <c r="V818" s="424"/>
      <c r="W818" s="424"/>
      <c r="Y818" s="424"/>
      <c r="Z818" s="424"/>
    </row>
    <row r="819" customFormat="false" ht="15.75" hidden="false" customHeight="false" outlineLevel="0" collapsed="false">
      <c r="R819" s="424"/>
      <c r="S819" s="424"/>
      <c r="T819" s="424"/>
      <c r="U819" s="424"/>
      <c r="V819" s="424"/>
      <c r="W819" s="424"/>
      <c r="Y819" s="424"/>
      <c r="Z819" s="424"/>
    </row>
    <row r="820" customFormat="false" ht="15.75" hidden="false" customHeight="false" outlineLevel="0" collapsed="false">
      <c r="R820" s="424"/>
      <c r="S820" s="424"/>
      <c r="T820" s="424"/>
      <c r="U820" s="424"/>
      <c r="V820" s="424"/>
      <c r="W820" s="424"/>
      <c r="Y820" s="424"/>
      <c r="Z820" s="424"/>
    </row>
    <row r="821" customFormat="false" ht="15.75" hidden="false" customHeight="false" outlineLevel="0" collapsed="false">
      <c r="R821" s="424"/>
      <c r="S821" s="424"/>
      <c r="T821" s="424"/>
      <c r="U821" s="424"/>
      <c r="V821" s="424"/>
      <c r="W821" s="424"/>
      <c r="Y821" s="424"/>
      <c r="Z821" s="424"/>
    </row>
    <row r="822" customFormat="false" ht="15.75" hidden="false" customHeight="false" outlineLevel="0" collapsed="false">
      <c r="R822" s="424"/>
      <c r="S822" s="424"/>
      <c r="T822" s="424"/>
      <c r="U822" s="424"/>
      <c r="V822" s="424"/>
      <c r="W822" s="424"/>
      <c r="Y822" s="424"/>
      <c r="Z822" s="424"/>
    </row>
    <row r="823" customFormat="false" ht="15.75" hidden="false" customHeight="false" outlineLevel="0" collapsed="false">
      <c r="R823" s="424"/>
      <c r="S823" s="424"/>
      <c r="T823" s="424"/>
      <c r="U823" s="424"/>
      <c r="V823" s="424"/>
      <c r="W823" s="424"/>
      <c r="Y823" s="424"/>
      <c r="Z823" s="424"/>
    </row>
    <row r="824" customFormat="false" ht="15.75" hidden="false" customHeight="false" outlineLevel="0" collapsed="false">
      <c r="R824" s="424"/>
      <c r="S824" s="424"/>
      <c r="T824" s="424"/>
      <c r="U824" s="424"/>
      <c r="V824" s="424"/>
      <c r="W824" s="424"/>
      <c r="Y824" s="424"/>
      <c r="Z824" s="424"/>
    </row>
    <row r="825" customFormat="false" ht="15.75" hidden="false" customHeight="false" outlineLevel="0" collapsed="false">
      <c r="R825" s="424"/>
      <c r="S825" s="424"/>
      <c r="T825" s="424"/>
      <c r="U825" s="424"/>
      <c r="V825" s="424"/>
      <c r="W825" s="424"/>
      <c r="Y825" s="424"/>
      <c r="Z825" s="424"/>
    </row>
    <row r="826" customFormat="false" ht="15.75" hidden="false" customHeight="false" outlineLevel="0" collapsed="false">
      <c r="R826" s="424"/>
      <c r="S826" s="424"/>
      <c r="T826" s="424"/>
      <c r="U826" s="424"/>
      <c r="V826" s="424"/>
      <c r="W826" s="424"/>
      <c r="Y826" s="424"/>
      <c r="Z826" s="424"/>
    </row>
    <row r="827" customFormat="false" ht="15.75" hidden="false" customHeight="false" outlineLevel="0" collapsed="false">
      <c r="R827" s="424"/>
      <c r="S827" s="424"/>
      <c r="T827" s="424"/>
      <c r="U827" s="424"/>
      <c r="V827" s="424"/>
      <c r="W827" s="424"/>
      <c r="Y827" s="424"/>
      <c r="Z827" s="424"/>
    </row>
    <row r="828" customFormat="false" ht="15.75" hidden="false" customHeight="false" outlineLevel="0" collapsed="false">
      <c r="R828" s="424"/>
      <c r="S828" s="424"/>
      <c r="T828" s="424"/>
      <c r="U828" s="424"/>
      <c r="V828" s="424"/>
      <c r="W828" s="424"/>
      <c r="Y828" s="424"/>
      <c r="Z828" s="424"/>
    </row>
    <row r="829" customFormat="false" ht="15.75" hidden="false" customHeight="false" outlineLevel="0" collapsed="false">
      <c r="R829" s="424"/>
      <c r="S829" s="424"/>
      <c r="T829" s="424"/>
      <c r="U829" s="424"/>
      <c r="V829" s="424"/>
      <c r="W829" s="424"/>
      <c r="Y829" s="424"/>
      <c r="Z829" s="424"/>
    </row>
    <row r="830" customFormat="false" ht="15.75" hidden="false" customHeight="false" outlineLevel="0" collapsed="false">
      <c r="R830" s="424"/>
      <c r="S830" s="424"/>
      <c r="T830" s="424"/>
      <c r="U830" s="424"/>
      <c r="V830" s="424"/>
      <c r="W830" s="424"/>
      <c r="Y830" s="424"/>
      <c r="Z830" s="424"/>
    </row>
    <row r="831" customFormat="false" ht="15.75" hidden="false" customHeight="false" outlineLevel="0" collapsed="false">
      <c r="R831" s="424"/>
      <c r="S831" s="424"/>
      <c r="T831" s="424"/>
      <c r="U831" s="424"/>
      <c r="V831" s="424"/>
      <c r="W831" s="424"/>
      <c r="Y831" s="424"/>
      <c r="Z831" s="424"/>
    </row>
    <row r="832" customFormat="false" ht="15.75" hidden="false" customHeight="false" outlineLevel="0" collapsed="false">
      <c r="R832" s="424"/>
      <c r="S832" s="424"/>
      <c r="T832" s="424"/>
      <c r="U832" s="424"/>
      <c r="V832" s="424"/>
      <c r="W832" s="424"/>
      <c r="Y832" s="424"/>
      <c r="Z832" s="424"/>
    </row>
    <row r="833" customFormat="false" ht="15.75" hidden="false" customHeight="false" outlineLevel="0" collapsed="false">
      <c r="R833" s="424"/>
      <c r="S833" s="424"/>
      <c r="T833" s="424"/>
      <c r="U833" s="424"/>
      <c r="V833" s="424"/>
      <c r="W833" s="424"/>
      <c r="Y833" s="424"/>
      <c r="Z833" s="424"/>
    </row>
    <row r="834" customFormat="false" ht="15.75" hidden="false" customHeight="false" outlineLevel="0" collapsed="false">
      <c r="R834" s="424"/>
      <c r="S834" s="424"/>
      <c r="T834" s="424"/>
      <c r="U834" s="424"/>
      <c r="V834" s="424"/>
      <c r="W834" s="424"/>
      <c r="Y834" s="424"/>
      <c r="Z834" s="424"/>
    </row>
    <row r="835" customFormat="false" ht="15.75" hidden="false" customHeight="false" outlineLevel="0" collapsed="false">
      <c r="R835" s="424"/>
      <c r="S835" s="424"/>
      <c r="T835" s="424"/>
      <c r="U835" s="424"/>
      <c r="V835" s="424"/>
      <c r="W835" s="424"/>
      <c r="Y835" s="424"/>
      <c r="Z835" s="424"/>
    </row>
    <row r="836" customFormat="false" ht="15.75" hidden="false" customHeight="false" outlineLevel="0" collapsed="false">
      <c r="R836" s="424"/>
      <c r="S836" s="424"/>
      <c r="T836" s="424"/>
      <c r="U836" s="424"/>
      <c r="V836" s="424"/>
      <c r="W836" s="424"/>
      <c r="Y836" s="424"/>
      <c r="Z836" s="424"/>
    </row>
    <row r="837" customFormat="false" ht="15.75" hidden="false" customHeight="false" outlineLevel="0" collapsed="false">
      <c r="R837" s="424"/>
      <c r="S837" s="424"/>
      <c r="T837" s="424"/>
      <c r="U837" s="424"/>
      <c r="V837" s="424"/>
      <c r="W837" s="424"/>
      <c r="Y837" s="424"/>
      <c r="Z837" s="424"/>
    </row>
    <row r="838" customFormat="false" ht="15.75" hidden="false" customHeight="false" outlineLevel="0" collapsed="false">
      <c r="R838" s="424"/>
      <c r="S838" s="424"/>
      <c r="T838" s="424"/>
      <c r="U838" s="424"/>
      <c r="V838" s="424"/>
      <c r="W838" s="424"/>
      <c r="Y838" s="424"/>
      <c r="Z838" s="424"/>
    </row>
    <row r="839" customFormat="false" ht="15.75" hidden="false" customHeight="false" outlineLevel="0" collapsed="false">
      <c r="R839" s="424"/>
      <c r="S839" s="424"/>
      <c r="T839" s="424"/>
      <c r="U839" s="424"/>
      <c r="V839" s="424"/>
      <c r="W839" s="424"/>
      <c r="Y839" s="424"/>
      <c r="Z839" s="424"/>
    </row>
    <row r="840" customFormat="false" ht="15.75" hidden="false" customHeight="false" outlineLevel="0" collapsed="false">
      <c r="R840" s="424"/>
      <c r="S840" s="424"/>
      <c r="T840" s="424"/>
      <c r="U840" s="424"/>
      <c r="V840" s="424"/>
      <c r="W840" s="424"/>
      <c r="Y840" s="424"/>
      <c r="Z840" s="424"/>
    </row>
    <row r="841" customFormat="false" ht="15.75" hidden="false" customHeight="false" outlineLevel="0" collapsed="false">
      <c r="R841" s="424"/>
      <c r="S841" s="424"/>
      <c r="T841" s="424"/>
      <c r="U841" s="424"/>
      <c r="V841" s="424"/>
      <c r="W841" s="424"/>
      <c r="Y841" s="424"/>
      <c r="Z841" s="424"/>
    </row>
    <row r="842" customFormat="false" ht="15.75" hidden="false" customHeight="false" outlineLevel="0" collapsed="false">
      <c r="R842" s="424"/>
      <c r="S842" s="424"/>
      <c r="T842" s="424"/>
      <c r="U842" s="424"/>
      <c r="V842" s="424"/>
      <c r="W842" s="424"/>
      <c r="Y842" s="424"/>
      <c r="Z842" s="424"/>
    </row>
    <row r="843" customFormat="false" ht="15.75" hidden="false" customHeight="false" outlineLevel="0" collapsed="false">
      <c r="R843" s="424"/>
      <c r="S843" s="424"/>
      <c r="T843" s="424"/>
      <c r="U843" s="424"/>
      <c r="V843" s="424"/>
      <c r="W843" s="424"/>
      <c r="Y843" s="424"/>
      <c r="Z843" s="424"/>
    </row>
    <row r="844" customFormat="false" ht="15.75" hidden="false" customHeight="false" outlineLevel="0" collapsed="false">
      <c r="R844" s="424"/>
      <c r="S844" s="424"/>
      <c r="T844" s="424"/>
      <c r="U844" s="424"/>
      <c r="V844" s="424"/>
      <c r="W844" s="424"/>
      <c r="Y844" s="424"/>
      <c r="Z844" s="424"/>
    </row>
    <row r="845" customFormat="false" ht="15.75" hidden="false" customHeight="false" outlineLevel="0" collapsed="false">
      <c r="R845" s="424"/>
      <c r="S845" s="424"/>
      <c r="T845" s="424"/>
      <c r="U845" s="424"/>
      <c r="V845" s="424"/>
      <c r="W845" s="424"/>
      <c r="Y845" s="424"/>
      <c r="Z845" s="424"/>
    </row>
    <row r="846" customFormat="false" ht="15.75" hidden="false" customHeight="false" outlineLevel="0" collapsed="false">
      <c r="R846" s="424"/>
      <c r="S846" s="424"/>
      <c r="T846" s="424"/>
      <c r="U846" s="424"/>
      <c r="V846" s="424"/>
      <c r="W846" s="424"/>
      <c r="Y846" s="424"/>
      <c r="Z846" s="424"/>
    </row>
    <row r="847" customFormat="false" ht="15.75" hidden="false" customHeight="false" outlineLevel="0" collapsed="false">
      <c r="R847" s="424"/>
      <c r="S847" s="424"/>
      <c r="T847" s="424"/>
      <c r="U847" s="424"/>
      <c r="V847" s="424"/>
      <c r="W847" s="424"/>
      <c r="Y847" s="424"/>
      <c r="Z847" s="424"/>
    </row>
    <row r="848" customFormat="false" ht="15.75" hidden="false" customHeight="false" outlineLevel="0" collapsed="false">
      <c r="R848" s="424"/>
      <c r="S848" s="424"/>
      <c r="T848" s="424"/>
      <c r="U848" s="424"/>
      <c r="V848" s="424"/>
      <c r="W848" s="424"/>
      <c r="Y848" s="424"/>
      <c r="Z848" s="424"/>
    </row>
    <row r="849" customFormat="false" ht="15.75" hidden="false" customHeight="false" outlineLevel="0" collapsed="false">
      <c r="R849" s="424"/>
      <c r="S849" s="424"/>
      <c r="T849" s="424"/>
      <c r="U849" s="424"/>
      <c r="V849" s="424"/>
      <c r="W849" s="424"/>
      <c r="Y849" s="424"/>
      <c r="Z849" s="424"/>
    </row>
    <row r="850" customFormat="false" ht="15.75" hidden="false" customHeight="false" outlineLevel="0" collapsed="false">
      <c r="R850" s="424"/>
      <c r="S850" s="424"/>
      <c r="T850" s="424"/>
      <c r="U850" s="424"/>
      <c r="V850" s="424"/>
      <c r="W850" s="424"/>
      <c r="Y850" s="424"/>
      <c r="Z850" s="424"/>
    </row>
    <row r="851" customFormat="false" ht="15.75" hidden="false" customHeight="false" outlineLevel="0" collapsed="false">
      <c r="R851" s="424"/>
      <c r="S851" s="424"/>
      <c r="T851" s="424"/>
      <c r="U851" s="424"/>
      <c r="V851" s="424"/>
      <c r="W851" s="424"/>
      <c r="Y851" s="424"/>
      <c r="Z851" s="424"/>
    </row>
    <row r="852" customFormat="false" ht="15.75" hidden="false" customHeight="false" outlineLevel="0" collapsed="false">
      <c r="R852" s="424"/>
      <c r="S852" s="424"/>
      <c r="T852" s="424"/>
      <c r="U852" s="424"/>
      <c r="V852" s="424"/>
      <c r="W852" s="424"/>
      <c r="Y852" s="424"/>
      <c r="Z852" s="424"/>
    </row>
    <row r="853" customFormat="false" ht="15.75" hidden="false" customHeight="false" outlineLevel="0" collapsed="false">
      <c r="R853" s="424"/>
      <c r="S853" s="424"/>
      <c r="T853" s="424"/>
      <c r="U853" s="424"/>
      <c r="V853" s="424"/>
      <c r="W853" s="424"/>
      <c r="Y853" s="424"/>
      <c r="Z853" s="424"/>
    </row>
    <row r="854" customFormat="false" ht="15.75" hidden="false" customHeight="false" outlineLevel="0" collapsed="false">
      <c r="R854" s="424"/>
      <c r="S854" s="424"/>
      <c r="T854" s="424"/>
      <c r="U854" s="424"/>
      <c r="V854" s="424"/>
      <c r="W854" s="424"/>
      <c r="Y854" s="424"/>
      <c r="Z854" s="424"/>
    </row>
    <row r="855" customFormat="false" ht="15.75" hidden="false" customHeight="false" outlineLevel="0" collapsed="false">
      <c r="R855" s="424"/>
      <c r="S855" s="424"/>
      <c r="T855" s="424"/>
      <c r="U855" s="424"/>
      <c r="V855" s="424"/>
      <c r="W855" s="424"/>
      <c r="Y855" s="424"/>
      <c r="Z855" s="424"/>
    </row>
    <row r="856" customFormat="false" ht="15.75" hidden="false" customHeight="false" outlineLevel="0" collapsed="false">
      <c r="R856" s="424"/>
      <c r="S856" s="424"/>
      <c r="T856" s="424"/>
      <c r="U856" s="424"/>
      <c r="V856" s="424"/>
      <c r="W856" s="424"/>
      <c r="Y856" s="424"/>
      <c r="Z856" s="424"/>
    </row>
    <row r="857" customFormat="false" ht="15.75" hidden="false" customHeight="false" outlineLevel="0" collapsed="false">
      <c r="R857" s="424"/>
      <c r="S857" s="424"/>
      <c r="T857" s="424"/>
      <c r="U857" s="424"/>
      <c r="V857" s="424"/>
      <c r="W857" s="424"/>
      <c r="Y857" s="424"/>
      <c r="Z857" s="424"/>
    </row>
    <row r="858" customFormat="false" ht="15.75" hidden="false" customHeight="false" outlineLevel="0" collapsed="false">
      <c r="R858" s="424"/>
      <c r="S858" s="424"/>
      <c r="T858" s="424"/>
      <c r="U858" s="424"/>
      <c r="V858" s="424"/>
      <c r="W858" s="424"/>
      <c r="Y858" s="424"/>
      <c r="Z858" s="424"/>
    </row>
    <row r="859" customFormat="false" ht="15.75" hidden="false" customHeight="false" outlineLevel="0" collapsed="false">
      <c r="R859" s="424"/>
      <c r="S859" s="424"/>
      <c r="T859" s="424"/>
      <c r="U859" s="424"/>
      <c r="V859" s="424"/>
      <c r="W859" s="424"/>
      <c r="Y859" s="424"/>
      <c r="Z859" s="424"/>
    </row>
    <row r="860" customFormat="false" ht="15.75" hidden="false" customHeight="false" outlineLevel="0" collapsed="false">
      <c r="R860" s="424"/>
      <c r="S860" s="424"/>
      <c r="T860" s="424"/>
      <c r="U860" s="424"/>
      <c r="V860" s="424"/>
      <c r="W860" s="424"/>
      <c r="Y860" s="424"/>
      <c r="Z860" s="424"/>
    </row>
    <row r="861" customFormat="false" ht="15.75" hidden="false" customHeight="false" outlineLevel="0" collapsed="false">
      <c r="R861" s="424"/>
      <c r="S861" s="424"/>
      <c r="T861" s="424"/>
      <c r="U861" s="424"/>
      <c r="V861" s="424"/>
      <c r="W861" s="424"/>
      <c r="Y861" s="424"/>
      <c r="Z861" s="424"/>
    </row>
    <row r="862" customFormat="false" ht="15.75" hidden="false" customHeight="false" outlineLevel="0" collapsed="false">
      <c r="R862" s="424"/>
      <c r="S862" s="424"/>
      <c r="T862" s="424"/>
      <c r="U862" s="424"/>
      <c r="V862" s="424"/>
      <c r="W862" s="424"/>
      <c r="Y862" s="424"/>
      <c r="Z862" s="424"/>
    </row>
    <row r="863" customFormat="false" ht="15.75" hidden="false" customHeight="false" outlineLevel="0" collapsed="false">
      <c r="R863" s="424"/>
      <c r="S863" s="424"/>
      <c r="T863" s="424"/>
      <c r="U863" s="424"/>
      <c r="V863" s="424"/>
      <c r="W863" s="424"/>
      <c r="Y863" s="424"/>
      <c r="Z863" s="424"/>
    </row>
    <row r="864" customFormat="false" ht="15.75" hidden="false" customHeight="false" outlineLevel="0" collapsed="false">
      <c r="R864" s="424"/>
      <c r="S864" s="424"/>
      <c r="T864" s="424"/>
      <c r="U864" s="424"/>
      <c r="V864" s="424"/>
      <c r="W864" s="424"/>
      <c r="Y864" s="424"/>
      <c r="Z864" s="424"/>
    </row>
    <row r="865" customFormat="false" ht="15.75" hidden="false" customHeight="false" outlineLevel="0" collapsed="false">
      <c r="R865" s="424"/>
      <c r="S865" s="424"/>
      <c r="T865" s="424"/>
      <c r="U865" s="424"/>
      <c r="V865" s="424"/>
      <c r="W865" s="424"/>
      <c r="Y865" s="424"/>
      <c r="Z865" s="424"/>
    </row>
    <row r="866" customFormat="false" ht="15.75" hidden="false" customHeight="false" outlineLevel="0" collapsed="false">
      <c r="R866" s="424"/>
      <c r="S866" s="424"/>
      <c r="T866" s="424"/>
      <c r="U866" s="424"/>
      <c r="V866" s="424"/>
      <c r="W866" s="424"/>
      <c r="Y866" s="424"/>
      <c r="Z866" s="424"/>
    </row>
    <row r="867" customFormat="false" ht="15.75" hidden="false" customHeight="false" outlineLevel="0" collapsed="false">
      <c r="R867" s="424"/>
      <c r="S867" s="424"/>
      <c r="T867" s="424"/>
      <c r="U867" s="424"/>
      <c r="V867" s="424"/>
      <c r="W867" s="424"/>
      <c r="Y867" s="424"/>
      <c r="Z867" s="424"/>
    </row>
    <row r="868" customFormat="false" ht="15.75" hidden="false" customHeight="false" outlineLevel="0" collapsed="false">
      <c r="R868" s="424"/>
      <c r="S868" s="424"/>
      <c r="T868" s="424"/>
      <c r="U868" s="424"/>
      <c r="V868" s="424"/>
      <c r="W868" s="424"/>
      <c r="Y868" s="424"/>
      <c r="Z868" s="424"/>
    </row>
    <row r="869" customFormat="false" ht="15.75" hidden="false" customHeight="false" outlineLevel="0" collapsed="false">
      <c r="R869" s="424"/>
      <c r="S869" s="424"/>
      <c r="T869" s="424"/>
      <c r="U869" s="424"/>
      <c r="V869" s="424"/>
      <c r="W869" s="424"/>
      <c r="Y869" s="424"/>
      <c r="Z869" s="424"/>
    </row>
    <row r="870" customFormat="false" ht="15.75" hidden="false" customHeight="false" outlineLevel="0" collapsed="false">
      <c r="R870" s="424"/>
      <c r="S870" s="424"/>
      <c r="T870" s="424"/>
      <c r="U870" s="424"/>
      <c r="V870" s="424"/>
      <c r="W870" s="424"/>
      <c r="Y870" s="424"/>
      <c r="Z870" s="424"/>
    </row>
    <row r="871" customFormat="false" ht="15.75" hidden="false" customHeight="false" outlineLevel="0" collapsed="false">
      <c r="R871" s="424"/>
      <c r="S871" s="424"/>
      <c r="T871" s="424"/>
      <c r="U871" s="424"/>
      <c r="V871" s="424"/>
      <c r="W871" s="424"/>
      <c r="Y871" s="424"/>
      <c r="Z871" s="424"/>
    </row>
    <row r="872" customFormat="false" ht="15.75" hidden="false" customHeight="false" outlineLevel="0" collapsed="false">
      <c r="R872" s="424"/>
      <c r="S872" s="424"/>
      <c r="T872" s="424"/>
      <c r="U872" s="424"/>
      <c r="V872" s="424"/>
      <c r="W872" s="424"/>
      <c r="Y872" s="424"/>
      <c r="Z872" s="424"/>
    </row>
    <row r="873" customFormat="false" ht="15.75" hidden="false" customHeight="false" outlineLevel="0" collapsed="false">
      <c r="R873" s="424"/>
      <c r="S873" s="424"/>
      <c r="T873" s="424"/>
      <c r="U873" s="424"/>
      <c r="V873" s="424"/>
      <c r="W873" s="424"/>
      <c r="Y873" s="424"/>
      <c r="Z873" s="424"/>
    </row>
    <row r="874" customFormat="false" ht="15.75" hidden="false" customHeight="false" outlineLevel="0" collapsed="false">
      <c r="R874" s="424"/>
      <c r="S874" s="424"/>
      <c r="T874" s="424"/>
      <c r="U874" s="424"/>
      <c r="V874" s="424"/>
      <c r="W874" s="424"/>
      <c r="Y874" s="424"/>
      <c r="Z874" s="424"/>
    </row>
    <row r="875" customFormat="false" ht="15.75" hidden="false" customHeight="false" outlineLevel="0" collapsed="false">
      <c r="R875" s="424"/>
      <c r="S875" s="424"/>
      <c r="T875" s="424"/>
      <c r="U875" s="424"/>
      <c r="V875" s="424"/>
      <c r="W875" s="424"/>
      <c r="Y875" s="424"/>
      <c r="Z875" s="424"/>
    </row>
    <row r="876" customFormat="false" ht="15.75" hidden="false" customHeight="false" outlineLevel="0" collapsed="false">
      <c r="R876" s="424"/>
      <c r="S876" s="424"/>
      <c r="T876" s="424"/>
      <c r="U876" s="424"/>
      <c r="V876" s="424"/>
      <c r="W876" s="424"/>
      <c r="Y876" s="424"/>
      <c r="Z876" s="424"/>
    </row>
    <row r="877" customFormat="false" ht="15.75" hidden="false" customHeight="false" outlineLevel="0" collapsed="false">
      <c r="R877" s="424"/>
      <c r="S877" s="424"/>
      <c r="T877" s="424"/>
      <c r="U877" s="424"/>
      <c r="V877" s="424"/>
      <c r="W877" s="424"/>
      <c r="Y877" s="424"/>
      <c r="Z877" s="424"/>
    </row>
    <row r="878" customFormat="false" ht="15.75" hidden="false" customHeight="false" outlineLevel="0" collapsed="false">
      <c r="R878" s="424"/>
      <c r="S878" s="424"/>
      <c r="T878" s="424"/>
      <c r="U878" s="424"/>
      <c r="V878" s="424"/>
      <c r="W878" s="424"/>
      <c r="Y878" s="424"/>
      <c r="Z878" s="424"/>
    </row>
    <row r="879" customFormat="false" ht="15.75" hidden="false" customHeight="false" outlineLevel="0" collapsed="false">
      <c r="R879" s="424"/>
      <c r="S879" s="424"/>
      <c r="T879" s="424"/>
      <c r="U879" s="424"/>
      <c r="V879" s="424"/>
      <c r="W879" s="424"/>
      <c r="Y879" s="424"/>
      <c r="Z879" s="424"/>
    </row>
    <row r="880" customFormat="false" ht="15.75" hidden="false" customHeight="false" outlineLevel="0" collapsed="false">
      <c r="R880" s="424"/>
      <c r="S880" s="424"/>
      <c r="T880" s="424"/>
      <c r="U880" s="424"/>
      <c r="V880" s="424"/>
      <c r="W880" s="424"/>
      <c r="Y880" s="424"/>
      <c r="Z880" s="424"/>
    </row>
    <row r="881" customFormat="false" ht="15.75" hidden="false" customHeight="false" outlineLevel="0" collapsed="false">
      <c r="R881" s="424"/>
      <c r="S881" s="424"/>
      <c r="T881" s="424"/>
      <c r="U881" s="424"/>
      <c r="V881" s="424"/>
      <c r="W881" s="424"/>
      <c r="Y881" s="424"/>
      <c r="Z881" s="424"/>
    </row>
    <row r="882" customFormat="false" ht="15.75" hidden="false" customHeight="false" outlineLevel="0" collapsed="false">
      <c r="R882" s="424"/>
      <c r="S882" s="424"/>
      <c r="T882" s="424"/>
      <c r="U882" s="424"/>
      <c r="V882" s="424"/>
      <c r="W882" s="424"/>
      <c r="Y882" s="424"/>
      <c r="Z882" s="424"/>
    </row>
    <row r="883" customFormat="false" ht="15.75" hidden="false" customHeight="false" outlineLevel="0" collapsed="false">
      <c r="R883" s="424"/>
      <c r="S883" s="424"/>
      <c r="T883" s="424"/>
      <c r="U883" s="424"/>
      <c r="V883" s="424"/>
      <c r="W883" s="424"/>
      <c r="Y883" s="424"/>
      <c r="Z883" s="424"/>
    </row>
    <row r="884" customFormat="false" ht="15.75" hidden="false" customHeight="false" outlineLevel="0" collapsed="false">
      <c r="R884" s="424"/>
      <c r="S884" s="424"/>
      <c r="T884" s="424"/>
      <c r="U884" s="424"/>
      <c r="V884" s="424"/>
      <c r="W884" s="424"/>
      <c r="Y884" s="424"/>
      <c r="Z884" s="424"/>
    </row>
    <row r="885" customFormat="false" ht="15.75" hidden="false" customHeight="false" outlineLevel="0" collapsed="false">
      <c r="R885" s="424"/>
      <c r="S885" s="424"/>
      <c r="T885" s="424"/>
      <c r="U885" s="424"/>
      <c r="V885" s="424"/>
      <c r="W885" s="424"/>
      <c r="Y885" s="424"/>
      <c r="Z885" s="424"/>
    </row>
    <row r="886" customFormat="false" ht="15.75" hidden="false" customHeight="false" outlineLevel="0" collapsed="false">
      <c r="R886" s="424"/>
      <c r="S886" s="424"/>
      <c r="T886" s="424"/>
      <c r="U886" s="424"/>
      <c r="V886" s="424"/>
      <c r="W886" s="424"/>
      <c r="Y886" s="424"/>
      <c r="Z886" s="424"/>
    </row>
    <row r="887" customFormat="false" ht="15.75" hidden="false" customHeight="false" outlineLevel="0" collapsed="false">
      <c r="R887" s="424"/>
      <c r="S887" s="424"/>
      <c r="T887" s="424"/>
      <c r="U887" s="424"/>
      <c r="V887" s="424"/>
      <c r="W887" s="424"/>
      <c r="Y887" s="424"/>
      <c r="Z887" s="424"/>
    </row>
    <row r="888" customFormat="false" ht="15.75" hidden="false" customHeight="false" outlineLevel="0" collapsed="false">
      <c r="R888" s="424"/>
      <c r="S888" s="424"/>
      <c r="T888" s="424"/>
      <c r="U888" s="424"/>
      <c r="V888" s="424"/>
      <c r="W888" s="424"/>
      <c r="Y888" s="424"/>
      <c r="Z888" s="424"/>
    </row>
    <row r="889" customFormat="false" ht="15.75" hidden="false" customHeight="false" outlineLevel="0" collapsed="false">
      <c r="R889" s="424"/>
      <c r="S889" s="424"/>
      <c r="T889" s="424"/>
      <c r="U889" s="424"/>
      <c r="V889" s="424"/>
      <c r="W889" s="424"/>
      <c r="Y889" s="424"/>
      <c r="Z889" s="424"/>
    </row>
    <row r="890" customFormat="false" ht="15.75" hidden="false" customHeight="false" outlineLevel="0" collapsed="false">
      <c r="R890" s="424"/>
      <c r="S890" s="424"/>
      <c r="T890" s="424"/>
      <c r="U890" s="424"/>
      <c r="V890" s="424"/>
      <c r="W890" s="424"/>
      <c r="Y890" s="424"/>
      <c r="Z890" s="424"/>
    </row>
    <row r="891" customFormat="false" ht="15.75" hidden="false" customHeight="false" outlineLevel="0" collapsed="false">
      <c r="R891" s="424"/>
      <c r="S891" s="424"/>
      <c r="T891" s="424"/>
      <c r="U891" s="424"/>
      <c r="V891" s="424"/>
      <c r="W891" s="424"/>
      <c r="Y891" s="424"/>
      <c r="Z891" s="424"/>
    </row>
    <row r="892" customFormat="false" ht="15.75" hidden="false" customHeight="false" outlineLevel="0" collapsed="false">
      <c r="R892" s="424"/>
      <c r="S892" s="424"/>
      <c r="T892" s="424"/>
      <c r="U892" s="424"/>
      <c r="V892" s="424"/>
      <c r="W892" s="424"/>
      <c r="Y892" s="424"/>
      <c r="Z892" s="424"/>
    </row>
    <row r="893" customFormat="false" ht="15.75" hidden="false" customHeight="false" outlineLevel="0" collapsed="false">
      <c r="R893" s="424"/>
      <c r="S893" s="424"/>
      <c r="T893" s="424"/>
      <c r="U893" s="424"/>
      <c r="V893" s="424"/>
      <c r="W893" s="424"/>
      <c r="Y893" s="424"/>
      <c r="Z893" s="424"/>
    </row>
    <row r="894" customFormat="false" ht="15.75" hidden="false" customHeight="false" outlineLevel="0" collapsed="false">
      <c r="R894" s="424"/>
      <c r="S894" s="424"/>
      <c r="T894" s="424"/>
      <c r="U894" s="424"/>
      <c r="V894" s="424"/>
      <c r="W894" s="424"/>
      <c r="Y894" s="424"/>
      <c r="Z894" s="424"/>
    </row>
    <row r="895" customFormat="false" ht="15.75" hidden="false" customHeight="false" outlineLevel="0" collapsed="false">
      <c r="R895" s="424"/>
      <c r="S895" s="424"/>
      <c r="T895" s="424"/>
      <c r="U895" s="424"/>
      <c r="V895" s="424"/>
      <c r="W895" s="424"/>
      <c r="Y895" s="424"/>
      <c r="Z895" s="424"/>
    </row>
    <row r="896" customFormat="false" ht="15.75" hidden="false" customHeight="false" outlineLevel="0" collapsed="false">
      <c r="R896" s="424"/>
      <c r="S896" s="424"/>
      <c r="T896" s="424"/>
      <c r="U896" s="424"/>
      <c r="V896" s="424"/>
      <c r="W896" s="424"/>
      <c r="Y896" s="424"/>
      <c r="Z896" s="424"/>
    </row>
    <row r="897" customFormat="false" ht="15.75" hidden="false" customHeight="false" outlineLevel="0" collapsed="false">
      <c r="R897" s="424"/>
      <c r="S897" s="424"/>
      <c r="T897" s="424"/>
      <c r="U897" s="424"/>
      <c r="V897" s="424"/>
      <c r="W897" s="424"/>
      <c r="Y897" s="424"/>
      <c r="Z897" s="424"/>
    </row>
    <row r="898" customFormat="false" ht="15.75" hidden="false" customHeight="false" outlineLevel="0" collapsed="false">
      <c r="R898" s="424"/>
      <c r="S898" s="424"/>
      <c r="T898" s="424"/>
      <c r="U898" s="424"/>
      <c r="V898" s="424"/>
      <c r="W898" s="424"/>
      <c r="Y898" s="424"/>
      <c r="Z898" s="424"/>
    </row>
    <row r="899" customFormat="false" ht="15.75" hidden="false" customHeight="false" outlineLevel="0" collapsed="false">
      <c r="R899" s="424"/>
      <c r="S899" s="424"/>
      <c r="T899" s="424"/>
      <c r="U899" s="424"/>
      <c r="V899" s="424"/>
      <c r="W899" s="424"/>
      <c r="Y899" s="424"/>
      <c r="Z899" s="424"/>
    </row>
    <row r="900" customFormat="false" ht="15.75" hidden="false" customHeight="false" outlineLevel="0" collapsed="false">
      <c r="R900" s="424"/>
      <c r="S900" s="424"/>
      <c r="T900" s="424"/>
      <c r="U900" s="424"/>
      <c r="V900" s="424"/>
      <c r="W900" s="424"/>
      <c r="Y900" s="424"/>
      <c r="Z900" s="424"/>
    </row>
    <row r="901" customFormat="false" ht="15.75" hidden="false" customHeight="false" outlineLevel="0" collapsed="false">
      <c r="R901" s="424"/>
      <c r="S901" s="424"/>
      <c r="T901" s="424"/>
      <c r="U901" s="424"/>
      <c r="V901" s="424"/>
      <c r="W901" s="424"/>
      <c r="Y901" s="424"/>
      <c r="Z901" s="424"/>
    </row>
    <row r="902" customFormat="false" ht="15.75" hidden="false" customHeight="false" outlineLevel="0" collapsed="false">
      <c r="R902" s="424"/>
      <c r="S902" s="424"/>
      <c r="T902" s="424"/>
      <c r="U902" s="424"/>
      <c r="V902" s="424"/>
      <c r="W902" s="424"/>
      <c r="Y902" s="424"/>
      <c r="Z902" s="424"/>
    </row>
    <row r="903" customFormat="false" ht="15.75" hidden="false" customHeight="false" outlineLevel="0" collapsed="false">
      <c r="R903" s="424"/>
      <c r="S903" s="424"/>
      <c r="T903" s="424"/>
      <c r="U903" s="424"/>
      <c r="V903" s="424"/>
      <c r="W903" s="424"/>
      <c r="Y903" s="424"/>
      <c r="Z903" s="424"/>
    </row>
    <row r="904" customFormat="false" ht="15.75" hidden="false" customHeight="false" outlineLevel="0" collapsed="false">
      <c r="R904" s="424"/>
      <c r="S904" s="424"/>
      <c r="T904" s="424"/>
      <c r="U904" s="424"/>
      <c r="V904" s="424"/>
      <c r="W904" s="424"/>
      <c r="Y904" s="424"/>
      <c r="Z904" s="424"/>
    </row>
    <row r="905" customFormat="false" ht="15.75" hidden="false" customHeight="false" outlineLevel="0" collapsed="false">
      <c r="R905" s="424"/>
      <c r="S905" s="424"/>
      <c r="T905" s="424"/>
      <c r="U905" s="424"/>
      <c r="V905" s="424"/>
      <c r="W905" s="424"/>
      <c r="Y905" s="424"/>
      <c r="Z905" s="424"/>
    </row>
    <row r="906" customFormat="false" ht="15.75" hidden="false" customHeight="false" outlineLevel="0" collapsed="false">
      <c r="R906" s="424"/>
      <c r="S906" s="424"/>
      <c r="T906" s="424"/>
      <c r="U906" s="424"/>
      <c r="V906" s="424"/>
      <c r="W906" s="424"/>
      <c r="Y906" s="424"/>
      <c r="Z906" s="424"/>
    </row>
    <row r="907" customFormat="false" ht="15.75" hidden="false" customHeight="false" outlineLevel="0" collapsed="false">
      <c r="R907" s="424"/>
      <c r="S907" s="424"/>
      <c r="T907" s="424"/>
      <c r="U907" s="424"/>
      <c r="V907" s="424"/>
      <c r="W907" s="424"/>
      <c r="Y907" s="424"/>
      <c r="Z907" s="424"/>
    </row>
    <row r="908" customFormat="false" ht="15.75" hidden="false" customHeight="false" outlineLevel="0" collapsed="false">
      <c r="R908" s="424"/>
      <c r="S908" s="424"/>
      <c r="T908" s="424"/>
      <c r="U908" s="424"/>
      <c r="V908" s="424"/>
      <c r="W908" s="424"/>
      <c r="Y908" s="424"/>
      <c r="Z908" s="424"/>
    </row>
    <row r="909" customFormat="false" ht="15.75" hidden="false" customHeight="false" outlineLevel="0" collapsed="false">
      <c r="R909" s="424"/>
      <c r="S909" s="424"/>
      <c r="T909" s="424"/>
      <c r="U909" s="424"/>
      <c r="V909" s="424"/>
      <c r="W909" s="424"/>
      <c r="Y909" s="424"/>
      <c r="Z909" s="424"/>
    </row>
    <row r="910" customFormat="false" ht="15.75" hidden="false" customHeight="false" outlineLevel="0" collapsed="false">
      <c r="R910" s="424"/>
      <c r="S910" s="424"/>
      <c r="T910" s="424"/>
      <c r="U910" s="424"/>
      <c r="V910" s="424"/>
      <c r="W910" s="424"/>
      <c r="Y910" s="424"/>
      <c r="Z910" s="424"/>
    </row>
    <row r="911" customFormat="false" ht="15.75" hidden="false" customHeight="false" outlineLevel="0" collapsed="false">
      <c r="R911" s="424"/>
      <c r="S911" s="424"/>
      <c r="T911" s="424"/>
      <c r="U911" s="424"/>
      <c r="V911" s="424"/>
      <c r="W911" s="424"/>
      <c r="Y911" s="424"/>
      <c r="Z911" s="424"/>
    </row>
    <row r="912" customFormat="false" ht="15.75" hidden="false" customHeight="false" outlineLevel="0" collapsed="false">
      <c r="R912" s="424"/>
      <c r="S912" s="424"/>
      <c r="T912" s="424"/>
      <c r="U912" s="424"/>
      <c r="V912" s="424"/>
      <c r="W912" s="424"/>
      <c r="Y912" s="424"/>
      <c r="Z912" s="424"/>
    </row>
    <row r="913" customFormat="false" ht="15.75" hidden="false" customHeight="false" outlineLevel="0" collapsed="false">
      <c r="R913" s="424"/>
      <c r="S913" s="424"/>
      <c r="T913" s="424"/>
      <c r="U913" s="424"/>
      <c r="V913" s="424"/>
      <c r="W913" s="424"/>
      <c r="Y913" s="424"/>
      <c r="Z913" s="424"/>
    </row>
    <row r="914" customFormat="false" ht="15.75" hidden="false" customHeight="false" outlineLevel="0" collapsed="false">
      <c r="R914" s="424"/>
      <c r="S914" s="424"/>
      <c r="T914" s="424"/>
      <c r="U914" s="424"/>
      <c r="V914" s="424"/>
      <c r="W914" s="424"/>
      <c r="Y914" s="424"/>
      <c r="Z914" s="424"/>
    </row>
    <row r="915" customFormat="false" ht="15.75" hidden="false" customHeight="false" outlineLevel="0" collapsed="false">
      <c r="R915" s="424"/>
      <c r="S915" s="424"/>
      <c r="T915" s="424"/>
      <c r="U915" s="424"/>
      <c r="V915" s="424"/>
      <c r="W915" s="424"/>
      <c r="Y915" s="424"/>
      <c r="Z915" s="424"/>
    </row>
    <row r="916" customFormat="false" ht="15.75" hidden="false" customHeight="false" outlineLevel="0" collapsed="false">
      <c r="R916" s="424"/>
      <c r="S916" s="424"/>
      <c r="T916" s="424"/>
      <c r="U916" s="424"/>
      <c r="V916" s="424"/>
      <c r="W916" s="424"/>
      <c r="Y916" s="424"/>
      <c r="Z916" s="424"/>
    </row>
    <row r="917" customFormat="false" ht="15.75" hidden="false" customHeight="false" outlineLevel="0" collapsed="false">
      <c r="R917" s="424"/>
      <c r="S917" s="424"/>
      <c r="T917" s="424"/>
      <c r="U917" s="424"/>
      <c r="V917" s="424"/>
      <c r="W917" s="424"/>
      <c r="Y917" s="424"/>
      <c r="Z917" s="424"/>
    </row>
    <row r="918" customFormat="false" ht="15.75" hidden="false" customHeight="false" outlineLevel="0" collapsed="false">
      <c r="R918" s="424"/>
      <c r="S918" s="424"/>
      <c r="T918" s="424"/>
      <c r="U918" s="424"/>
      <c r="V918" s="424"/>
      <c r="W918" s="424"/>
      <c r="Y918" s="424"/>
      <c r="Z918" s="424"/>
    </row>
    <row r="919" customFormat="false" ht="15.75" hidden="false" customHeight="false" outlineLevel="0" collapsed="false">
      <c r="R919" s="424"/>
      <c r="S919" s="424"/>
      <c r="T919" s="424"/>
      <c r="U919" s="424"/>
      <c r="V919" s="424"/>
      <c r="W919" s="424"/>
      <c r="Y919" s="424"/>
      <c r="Z919" s="424"/>
    </row>
    <row r="920" customFormat="false" ht="15.75" hidden="false" customHeight="false" outlineLevel="0" collapsed="false">
      <c r="R920" s="424"/>
      <c r="S920" s="424"/>
      <c r="T920" s="424"/>
      <c r="U920" s="424"/>
      <c r="V920" s="424"/>
      <c r="W920" s="424"/>
      <c r="Y920" s="424"/>
      <c r="Z920" s="424"/>
    </row>
    <row r="921" customFormat="false" ht="15.75" hidden="false" customHeight="false" outlineLevel="0" collapsed="false">
      <c r="R921" s="424"/>
      <c r="S921" s="424"/>
      <c r="T921" s="424"/>
      <c r="U921" s="424"/>
      <c r="V921" s="424"/>
      <c r="W921" s="424"/>
      <c r="Y921" s="424"/>
      <c r="Z921" s="424"/>
    </row>
    <row r="922" customFormat="false" ht="15.75" hidden="false" customHeight="false" outlineLevel="0" collapsed="false">
      <c r="R922" s="424"/>
      <c r="S922" s="424"/>
      <c r="T922" s="424"/>
      <c r="U922" s="424"/>
      <c r="V922" s="424"/>
      <c r="W922" s="424"/>
      <c r="Y922" s="424"/>
      <c r="Z922" s="424"/>
    </row>
    <row r="923" customFormat="false" ht="15.75" hidden="false" customHeight="false" outlineLevel="0" collapsed="false">
      <c r="R923" s="424"/>
      <c r="S923" s="424"/>
      <c r="T923" s="424"/>
      <c r="U923" s="424"/>
      <c r="V923" s="424"/>
      <c r="W923" s="424"/>
      <c r="Y923" s="424"/>
      <c r="Z923" s="424"/>
    </row>
    <row r="924" customFormat="false" ht="15.75" hidden="false" customHeight="false" outlineLevel="0" collapsed="false">
      <c r="R924" s="424"/>
      <c r="S924" s="424"/>
      <c r="T924" s="424"/>
      <c r="U924" s="424"/>
      <c r="V924" s="424"/>
      <c r="W924" s="424"/>
      <c r="Y924" s="424"/>
      <c r="Z924" s="424"/>
    </row>
    <row r="925" customFormat="false" ht="15.75" hidden="false" customHeight="false" outlineLevel="0" collapsed="false">
      <c r="R925" s="424"/>
      <c r="S925" s="424"/>
      <c r="T925" s="424"/>
      <c r="U925" s="424"/>
      <c r="V925" s="424"/>
      <c r="W925" s="424"/>
      <c r="Y925" s="424"/>
      <c r="Z925" s="424"/>
    </row>
    <row r="926" customFormat="false" ht="15.75" hidden="false" customHeight="false" outlineLevel="0" collapsed="false">
      <c r="R926" s="424"/>
      <c r="S926" s="424"/>
      <c r="T926" s="424"/>
      <c r="U926" s="424"/>
      <c r="V926" s="424"/>
      <c r="W926" s="424"/>
      <c r="Y926" s="424"/>
      <c r="Z926" s="424"/>
    </row>
    <row r="927" customFormat="false" ht="15.75" hidden="false" customHeight="false" outlineLevel="0" collapsed="false">
      <c r="R927" s="424"/>
      <c r="S927" s="424"/>
      <c r="T927" s="424"/>
      <c r="U927" s="424"/>
      <c r="V927" s="424"/>
      <c r="W927" s="424"/>
      <c r="Y927" s="424"/>
      <c r="Z927" s="424"/>
    </row>
    <row r="928" customFormat="false" ht="15.75" hidden="false" customHeight="false" outlineLevel="0" collapsed="false">
      <c r="R928" s="424"/>
      <c r="S928" s="424"/>
      <c r="T928" s="424"/>
      <c r="U928" s="424"/>
      <c r="V928" s="424"/>
      <c r="W928" s="424"/>
      <c r="Y928" s="424"/>
      <c r="Z928" s="424"/>
    </row>
    <row r="929" customFormat="false" ht="15.75" hidden="false" customHeight="false" outlineLevel="0" collapsed="false">
      <c r="R929" s="424"/>
      <c r="S929" s="424"/>
      <c r="T929" s="424"/>
      <c r="U929" s="424"/>
      <c r="V929" s="424"/>
      <c r="W929" s="424"/>
      <c r="Y929" s="424"/>
      <c r="Z929" s="424"/>
    </row>
    <row r="930" customFormat="false" ht="15.75" hidden="false" customHeight="false" outlineLevel="0" collapsed="false">
      <c r="R930" s="424"/>
      <c r="S930" s="424"/>
      <c r="T930" s="424"/>
      <c r="U930" s="424"/>
      <c r="V930" s="424"/>
      <c r="W930" s="424"/>
      <c r="Y930" s="424"/>
      <c r="Z930" s="424"/>
    </row>
    <row r="931" customFormat="false" ht="15.75" hidden="false" customHeight="false" outlineLevel="0" collapsed="false">
      <c r="R931" s="424"/>
      <c r="S931" s="424"/>
      <c r="T931" s="424"/>
      <c r="U931" s="424"/>
      <c r="V931" s="424"/>
      <c r="W931" s="424"/>
      <c r="Y931" s="424"/>
      <c r="Z931" s="424"/>
    </row>
    <row r="932" customFormat="false" ht="15.75" hidden="false" customHeight="false" outlineLevel="0" collapsed="false">
      <c r="R932" s="424"/>
      <c r="S932" s="424"/>
      <c r="T932" s="424"/>
      <c r="U932" s="424"/>
      <c r="V932" s="424"/>
      <c r="W932" s="424"/>
      <c r="Y932" s="424"/>
      <c r="Z932" s="424"/>
    </row>
    <row r="933" customFormat="false" ht="15.75" hidden="false" customHeight="false" outlineLevel="0" collapsed="false">
      <c r="R933" s="424"/>
      <c r="S933" s="424"/>
      <c r="T933" s="424"/>
      <c r="U933" s="424"/>
      <c r="V933" s="424"/>
      <c r="W933" s="424"/>
      <c r="Y933" s="424"/>
      <c r="Z933" s="424"/>
    </row>
    <row r="934" customFormat="false" ht="15.75" hidden="false" customHeight="false" outlineLevel="0" collapsed="false">
      <c r="R934" s="424"/>
      <c r="S934" s="424"/>
      <c r="T934" s="424"/>
      <c r="U934" s="424"/>
      <c r="V934" s="424"/>
      <c r="W934" s="424"/>
      <c r="Y934" s="424"/>
      <c r="Z934" s="424"/>
    </row>
    <row r="935" customFormat="false" ht="15.75" hidden="false" customHeight="false" outlineLevel="0" collapsed="false">
      <c r="R935" s="424"/>
      <c r="S935" s="424"/>
      <c r="T935" s="424"/>
      <c r="U935" s="424"/>
      <c r="V935" s="424"/>
      <c r="W935" s="424"/>
      <c r="Y935" s="424"/>
      <c r="Z935" s="424"/>
    </row>
    <row r="936" customFormat="false" ht="15.75" hidden="false" customHeight="false" outlineLevel="0" collapsed="false">
      <c r="R936" s="424"/>
      <c r="S936" s="424"/>
      <c r="T936" s="424"/>
      <c r="U936" s="424"/>
      <c r="V936" s="424"/>
      <c r="W936" s="424"/>
      <c r="Y936" s="424"/>
      <c r="Z936" s="424"/>
    </row>
    <row r="937" customFormat="false" ht="15.75" hidden="false" customHeight="false" outlineLevel="0" collapsed="false">
      <c r="R937" s="424"/>
      <c r="S937" s="424"/>
      <c r="T937" s="424"/>
      <c r="U937" s="424"/>
      <c r="V937" s="424"/>
      <c r="W937" s="424"/>
      <c r="Y937" s="424"/>
      <c r="Z937" s="424"/>
    </row>
    <row r="938" customFormat="false" ht="15.75" hidden="false" customHeight="false" outlineLevel="0" collapsed="false">
      <c r="R938" s="424"/>
      <c r="S938" s="424"/>
      <c r="T938" s="424"/>
      <c r="U938" s="424"/>
      <c r="V938" s="424"/>
      <c r="W938" s="424"/>
      <c r="Y938" s="424"/>
      <c r="Z938" s="424"/>
    </row>
    <row r="939" customFormat="false" ht="15.75" hidden="false" customHeight="false" outlineLevel="0" collapsed="false">
      <c r="R939" s="424"/>
      <c r="S939" s="424"/>
      <c r="T939" s="424"/>
      <c r="U939" s="424"/>
      <c r="V939" s="424"/>
      <c r="W939" s="424"/>
      <c r="Y939" s="424"/>
      <c r="Z939" s="424"/>
    </row>
    <row r="940" customFormat="false" ht="15.75" hidden="false" customHeight="false" outlineLevel="0" collapsed="false">
      <c r="R940" s="424"/>
      <c r="S940" s="424"/>
      <c r="T940" s="424"/>
      <c r="U940" s="424"/>
      <c r="V940" s="424"/>
      <c r="W940" s="424"/>
      <c r="Y940" s="424"/>
      <c r="Z940" s="424"/>
    </row>
    <row r="941" customFormat="false" ht="15.75" hidden="false" customHeight="false" outlineLevel="0" collapsed="false">
      <c r="R941" s="424"/>
      <c r="S941" s="424"/>
      <c r="T941" s="424"/>
      <c r="U941" s="424"/>
      <c r="V941" s="424"/>
      <c r="W941" s="424"/>
      <c r="Y941" s="424"/>
      <c r="Z941" s="424"/>
    </row>
    <row r="942" customFormat="false" ht="15.75" hidden="false" customHeight="false" outlineLevel="0" collapsed="false">
      <c r="R942" s="424"/>
      <c r="S942" s="424"/>
      <c r="T942" s="424"/>
      <c r="U942" s="424"/>
      <c r="V942" s="424"/>
      <c r="W942" s="424"/>
      <c r="Y942" s="424"/>
      <c r="Z942" s="424"/>
    </row>
    <row r="943" customFormat="false" ht="15.75" hidden="false" customHeight="false" outlineLevel="0" collapsed="false">
      <c r="R943" s="424"/>
      <c r="S943" s="424"/>
      <c r="T943" s="424"/>
      <c r="U943" s="424"/>
      <c r="V943" s="424"/>
      <c r="W943" s="424"/>
      <c r="Y943" s="424"/>
      <c r="Z943" s="424"/>
    </row>
    <row r="944" customFormat="false" ht="15.75" hidden="false" customHeight="false" outlineLevel="0" collapsed="false">
      <c r="R944" s="424"/>
      <c r="S944" s="424"/>
      <c r="T944" s="424"/>
      <c r="U944" s="424"/>
      <c r="V944" s="424"/>
      <c r="W944" s="424"/>
      <c r="Y944" s="424"/>
      <c r="Z944" s="424"/>
    </row>
    <row r="945" customFormat="false" ht="15.75" hidden="false" customHeight="false" outlineLevel="0" collapsed="false">
      <c r="R945" s="424"/>
      <c r="S945" s="424"/>
      <c r="T945" s="424"/>
      <c r="U945" s="424"/>
      <c r="V945" s="424"/>
      <c r="W945" s="424"/>
      <c r="Y945" s="424"/>
      <c r="Z945" s="424"/>
    </row>
    <row r="946" customFormat="false" ht="15.75" hidden="false" customHeight="false" outlineLevel="0" collapsed="false">
      <c r="R946" s="424"/>
      <c r="S946" s="424"/>
      <c r="T946" s="424"/>
      <c r="U946" s="424"/>
      <c r="V946" s="424"/>
      <c r="W946" s="424"/>
      <c r="Y946" s="424"/>
      <c r="Z946" s="424"/>
    </row>
    <row r="947" customFormat="false" ht="15.75" hidden="false" customHeight="false" outlineLevel="0" collapsed="false">
      <c r="R947" s="424"/>
      <c r="S947" s="424"/>
      <c r="T947" s="424"/>
      <c r="U947" s="424"/>
      <c r="V947" s="424"/>
      <c r="W947" s="424"/>
      <c r="Y947" s="424"/>
      <c r="Z947" s="424"/>
    </row>
    <row r="948" customFormat="false" ht="15.75" hidden="false" customHeight="false" outlineLevel="0" collapsed="false">
      <c r="R948" s="424"/>
      <c r="S948" s="424"/>
      <c r="T948" s="424"/>
      <c r="U948" s="424"/>
      <c r="V948" s="424"/>
      <c r="W948" s="424"/>
      <c r="Y948" s="424"/>
      <c r="Z948" s="424"/>
    </row>
    <row r="949" customFormat="false" ht="15.75" hidden="false" customHeight="false" outlineLevel="0" collapsed="false">
      <c r="R949" s="424"/>
      <c r="S949" s="424"/>
      <c r="T949" s="424"/>
      <c r="U949" s="424"/>
      <c r="V949" s="424"/>
      <c r="W949" s="424"/>
      <c r="Y949" s="424"/>
      <c r="Z949" s="424"/>
    </row>
    <row r="950" customFormat="false" ht="15.75" hidden="false" customHeight="false" outlineLevel="0" collapsed="false">
      <c r="R950" s="424"/>
      <c r="S950" s="424"/>
      <c r="T950" s="424"/>
      <c r="U950" s="424"/>
      <c r="V950" s="424"/>
      <c r="W950" s="424"/>
      <c r="Y950" s="424"/>
      <c r="Z950" s="424"/>
    </row>
    <row r="951" customFormat="false" ht="15.75" hidden="false" customHeight="false" outlineLevel="0" collapsed="false">
      <c r="R951" s="424"/>
      <c r="S951" s="424"/>
      <c r="T951" s="424"/>
      <c r="U951" s="424"/>
      <c r="V951" s="424"/>
      <c r="W951" s="424"/>
      <c r="Y951" s="424"/>
      <c r="Z951" s="424"/>
    </row>
    <row r="952" customFormat="false" ht="15.75" hidden="false" customHeight="false" outlineLevel="0" collapsed="false">
      <c r="R952" s="424"/>
      <c r="S952" s="424"/>
      <c r="T952" s="424"/>
      <c r="U952" s="424"/>
      <c r="V952" s="424"/>
      <c r="W952" s="424"/>
      <c r="Y952" s="424"/>
      <c r="Z952" s="424"/>
    </row>
    <row r="953" customFormat="false" ht="15.75" hidden="false" customHeight="false" outlineLevel="0" collapsed="false">
      <c r="R953" s="424"/>
      <c r="S953" s="424"/>
      <c r="T953" s="424"/>
      <c r="U953" s="424"/>
      <c r="V953" s="424"/>
      <c r="W953" s="424"/>
      <c r="Y953" s="424"/>
      <c r="Z953" s="424"/>
    </row>
    <row r="954" customFormat="false" ht="15.75" hidden="false" customHeight="false" outlineLevel="0" collapsed="false">
      <c r="R954" s="424"/>
      <c r="S954" s="424"/>
      <c r="T954" s="424"/>
      <c r="U954" s="424"/>
      <c r="V954" s="424"/>
      <c r="W954" s="424"/>
      <c r="Y954" s="424"/>
      <c r="Z954" s="424"/>
    </row>
    <row r="955" customFormat="false" ht="15.75" hidden="false" customHeight="false" outlineLevel="0" collapsed="false">
      <c r="R955" s="424"/>
      <c r="S955" s="424"/>
      <c r="T955" s="424"/>
      <c r="U955" s="424"/>
      <c r="V955" s="424"/>
      <c r="W955" s="424"/>
      <c r="Y955" s="424"/>
      <c r="Z955" s="424"/>
    </row>
    <row r="956" customFormat="false" ht="15.75" hidden="false" customHeight="false" outlineLevel="0" collapsed="false">
      <c r="R956" s="424"/>
      <c r="S956" s="424"/>
      <c r="T956" s="424"/>
      <c r="U956" s="424"/>
      <c r="V956" s="424"/>
      <c r="W956" s="424"/>
      <c r="Y956" s="424"/>
      <c r="Z956" s="424"/>
    </row>
    <row r="957" customFormat="false" ht="15.75" hidden="false" customHeight="false" outlineLevel="0" collapsed="false">
      <c r="R957" s="424"/>
      <c r="S957" s="424"/>
      <c r="T957" s="424"/>
      <c r="U957" s="424"/>
      <c r="V957" s="424"/>
      <c r="W957" s="424"/>
      <c r="Y957" s="424"/>
      <c r="Z957" s="424"/>
    </row>
    <row r="958" customFormat="false" ht="15.75" hidden="false" customHeight="false" outlineLevel="0" collapsed="false">
      <c r="R958" s="424"/>
      <c r="S958" s="424"/>
      <c r="T958" s="424"/>
      <c r="U958" s="424"/>
      <c r="V958" s="424"/>
      <c r="W958" s="424"/>
      <c r="Y958" s="424"/>
      <c r="Z958" s="424"/>
    </row>
    <row r="959" customFormat="false" ht="15.75" hidden="false" customHeight="false" outlineLevel="0" collapsed="false">
      <c r="R959" s="424"/>
      <c r="S959" s="424"/>
      <c r="T959" s="424"/>
      <c r="U959" s="424"/>
      <c r="V959" s="424"/>
      <c r="W959" s="424"/>
      <c r="Y959" s="424"/>
      <c r="Z959" s="424"/>
    </row>
    <row r="960" customFormat="false" ht="15.75" hidden="false" customHeight="false" outlineLevel="0" collapsed="false">
      <c r="R960" s="424"/>
      <c r="S960" s="424"/>
      <c r="T960" s="424"/>
      <c r="U960" s="424"/>
      <c r="V960" s="424"/>
      <c r="W960" s="424"/>
      <c r="Y960" s="424"/>
      <c r="Z960" s="424"/>
    </row>
    <row r="961" customFormat="false" ht="15.75" hidden="false" customHeight="false" outlineLevel="0" collapsed="false">
      <c r="R961" s="424"/>
      <c r="S961" s="424"/>
      <c r="T961" s="424"/>
      <c r="U961" s="424"/>
      <c r="V961" s="424"/>
      <c r="W961" s="424"/>
      <c r="Y961" s="424"/>
      <c r="Z961" s="424"/>
    </row>
    <row r="962" customFormat="false" ht="15.75" hidden="false" customHeight="false" outlineLevel="0" collapsed="false">
      <c r="R962" s="424"/>
      <c r="S962" s="424"/>
      <c r="T962" s="424"/>
      <c r="U962" s="424"/>
      <c r="V962" s="424"/>
      <c r="W962" s="424"/>
      <c r="Y962" s="424"/>
      <c r="Z962" s="424"/>
    </row>
    <row r="963" customFormat="false" ht="15.75" hidden="false" customHeight="false" outlineLevel="0" collapsed="false">
      <c r="R963" s="424"/>
      <c r="S963" s="424"/>
      <c r="T963" s="424"/>
      <c r="U963" s="424"/>
      <c r="V963" s="424"/>
      <c r="W963" s="424"/>
      <c r="Y963" s="424"/>
      <c r="Z963" s="424"/>
    </row>
    <row r="964" customFormat="false" ht="15.75" hidden="false" customHeight="false" outlineLevel="0" collapsed="false">
      <c r="R964" s="424"/>
      <c r="S964" s="424"/>
      <c r="T964" s="424"/>
      <c r="U964" s="424"/>
      <c r="V964" s="424"/>
      <c r="W964" s="424"/>
      <c r="Y964" s="424"/>
      <c r="Z964" s="424"/>
    </row>
    <row r="965" customFormat="false" ht="15.75" hidden="false" customHeight="false" outlineLevel="0" collapsed="false">
      <c r="R965" s="424"/>
      <c r="S965" s="424"/>
      <c r="T965" s="424"/>
      <c r="U965" s="424"/>
      <c r="V965" s="424"/>
      <c r="W965" s="424"/>
      <c r="Y965" s="424"/>
      <c r="Z965" s="424"/>
    </row>
    <row r="966" customFormat="false" ht="15.75" hidden="false" customHeight="false" outlineLevel="0" collapsed="false">
      <c r="R966" s="424"/>
      <c r="S966" s="424"/>
      <c r="T966" s="424"/>
      <c r="U966" s="424"/>
      <c r="V966" s="424"/>
      <c r="W966" s="424"/>
      <c r="Y966" s="424"/>
      <c r="Z966" s="424"/>
    </row>
    <row r="967" customFormat="false" ht="15.75" hidden="false" customHeight="false" outlineLevel="0" collapsed="false">
      <c r="R967" s="424"/>
      <c r="S967" s="424"/>
      <c r="T967" s="424"/>
      <c r="U967" s="424"/>
      <c r="V967" s="424"/>
      <c r="W967" s="424"/>
      <c r="Y967" s="424"/>
      <c r="Z967" s="424"/>
    </row>
    <row r="968" customFormat="false" ht="15.75" hidden="false" customHeight="false" outlineLevel="0" collapsed="false">
      <c r="R968" s="424"/>
      <c r="S968" s="424"/>
      <c r="T968" s="424"/>
      <c r="U968" s="424"/>
      <c r="V968" s="424"/>
      <c r="W968" s="424"/>
      <c r="Y968" s="424"/>
      <c r="Z968" s="424"/>
    </row>
    <row r="969" customFormat="false" ht="15.75" hidden="false" customHeight="false" outlineLevel="0" collapsed="false">
      <c r="R969" s="424"/>
      <c r="S969" s="424"/>
      <c r="T969" s="424"/>
      <c r="U969" s="424"/>
      <c r="V969" s="424"/>
      <c r="W969" s="424"/>
      <c r="Y969" s="424"/>
      <c r="Z969" s="424"/>
    </row>
    <row r="970" customFormat="false" ht="15.75" hidden="false" customHeight="false" outlineLevel="0" collapsed="false">
      <c r="R970" s="424"/>
      <c r="S970" s="424"/>
      <c r="T970" s="424"/>
      <c r="U970" s="424"/>
      <c r="V970" s="424"/>
      <c r="W970" s="424"/>
      <c r="Y970" s="424"/>
      <c r="Z970" s="424"/>
    </row>
    <row r="971" customFormat="false" ht="15.75" hidden="false" customHeight="false" outlineLevel="0" collapsed="false">
      <c r="R971" s="424"/>
      <c r="S971" s="424"/>
      <c r="T971" s="424"/>
      <c r="U971" s="424"/>
      <c r="V971" s="424"/>
      <c r="W971" s="424"/>
      <c r="Y971" s="424"/>
      <c r="Z971" s="424"/>
    </row>
    <row r="972" customFormat="false" ht="15.75" hidden="false" customHeight="false" outlineLevel="0" collapsed="false">
      <c r="R972" s="424"/>
      <c r="S972" s="424"/>
      <c r="T972" s="424"/>
      <c r="U972" s="424"/>
      <c r="V972" s="424"/>
      <c r="W972" s="424"/>
      <c r="Y972" s="424"/>
      <c r="Z972" s="424"/>
    </row>
    <row r="973" customFormat="false" ht="15.75" hidden="false" customHeight="false" outlineLevel="0" collapsed="false">
      <c r="R973" s="424"/>
      <c r="S973" s="424"/>
      <c r="T973" s="424"/>
      <c r="U973" s="424"/>
      <c r="V973" s="424"/>
      <c r="W973" s="424"/>
      <c r="Y973" s="424"/>
      <c r="Z973" s="424"/>
    </row>
    <row r="974" customFormat="false" ht="15.75" hidden="false" customHeight="false" outlineLevel="0" collapsed="false">
      <c r="R974" s="424"/>
      <c r="S974" s="424"/>
      <c r="T974" s="424"/>
      <c r="U974" s="424"/>
      <c r="V974" s="424"/>
      <c r="W974" s="424"/>
      <c r="Y974" s="424"/>
      <c r="Z974" s="424"/>
    </row>
    <row r="975" customFormat="false" ht="15.75" hidden="false" customHeight="false" outlineLevel="0" collapsed="false">
      <c r="R975" s="424"/>
      <c r="S975" s="424"/>
      <c r="T975" s="424"/>
      <c r="U975" s="424"/>
      <c r="V975" s="424"/>
      <c r="W975" s="424"/>
      <c r="Y975" s="424"/>
      <c r="Z975" s="424"/>
    </row>
    <row r="976" customFormat="false" ht="15.75" hidden="false" customHeight="false" outlineLevel="0" collapsed="false">
      <c r="R976" s="424"/>
      <c r="S976" s="424"/>
      <c r="T976" s="424"/>
      <c r="U976" s="424"/>
      <c r="V976" s="424"/>
      <c r="W976" s="424"/>
      <c r="Y976" s="424"/>
      <c r="Z976" s="424"/>
    </row>
    <row r="977" customFormat="false" ht="15.75" hidden="false" customHeight="false" outlineLevel="0" collapsed="false">
      <c r="R977" s="424"/>
      <c r="S977" s="424"/>
      <c r="T977" s="424"/>
      <c r="U977" s="424"/>
      <c r="V977" s="424"/>
      <c r="W977" s="424"/>
      <c r="Y977" s="424"/>
      <c r="Z977" s="424"/>
    </row>
    <row r="978" customFormat="false" ht="15.75" hidden="false" customHeight="false" outlineLevel="0" collapsed="false">
      <c r="R978" s="424"/>
      <c r="S978" s="424"/>
      <c r="T978" s="424"/>
      <c r="U978" s="424"/>
      <c r="V978" s="424"/>
      <c r="W978" s="424"/>
      <c r="Y978" s="424"/>
      <c r="Z978" s="424"/>
    </row>
    <row r="979" customFormat="false" ht="15.75" hidden="false" customHeight="false" outlineLevel="0" collapsed="false">
      <c r="R979" s="424"/>
      <c r="S979" s="424"/>
      <c r="T979" s="424"/>
      <c r="U979" s="424"/>
      <c r="V979" s="424"/>
      <c r="W979" s="424"/>
      <c r="Y979" s="424"/>
      <c r="Z979" s="424"/>
    </row>
    <row r="980" customFormat="false" ht="15.75" hidden="false" customHeight="false" outlineLevel="0" collapsed="false">
      <c r="R980" s="424"/>
      <c r="S980" s="424"/>
      <c r="T980" s="424"/>
      <c r="U980" s="424"/>
      <c r="V980" s="424"/>
      <c r="W980" s="424"/>
      <c r="Y980" s="424"/>
      <c r="Z980" s="424"/>
    </row>
    <row r="981" customFormat="false" ht="15.75" hidden="false" customHeight="false" outlineLevel="0" collapsed="false">
      <c r="R981" s="424"/>
      <c r="S981" s="424"/>
      <c r="T981" s="424"/>
      <c r="U981" s="424"/>
      <c r="V981" s="424"/>
      <c r="W981" s="424"/>
      <c r="Y981" s="424"/>
      <c r="Z981" s="424"/>
    </row>
    <row r="982" customFormat="false" ht="15.75" hidden="false" customHeight="false" outlineLevel="0" collapsed="false">
      <c r="R982" s="424"/>
      <c r="S982" s="424"/>
      <c r="T982" s="424"/>
      <c r="U982" s="424"/>
      <c r="V982" s="424"/>
      <c r="W982" s="424"/>
      <c r="Y982" s="424"/>
      <c r="Z982" s="424"/>
    </row>
    <row r="983" customFormat="false" ht="15.75" hidden="false" customHeight="false" outlineLevel="0" collapsed="false">
      <c r="R983" s="424"/>
      <c r="S983" s="424"/>
      <c r="T983" s="424"/>
      <c r="U983" s="424"/>
      <c r="V983" s="424"/>
      <c r="W983" s="424"/>
      <c r="Y983" s="424"/>
      <c r="Z983" s="424"/>
    </row>
    <row r="984" customFormat="false" ht="15.75" hidden="false" customHeight="false" outlineLevel="0" collapsed="false">
      <c r="R984" s="424"/>
      <c r="S984" s="424"/>
      <c r="T984" s="424"/>
      <c r="U984" s="424"/>
      <c r="V984" s="424"/>
      <c r="W984" s="424"/>
      <c r="Y984" s="424"/>
      <c r="Z984" s="424"/>
    </row>
    <row r="985" customFormat="false" ht="15.75" hidden="false" customHeight="false" outlineLevel="0" collapsed="false">
      <c r="R985" s="424"/>
      <c r="S985" s="424"/>
      <c r="T985" s="424"/>
      <c r="U985" s="424"/>
      <c r="V985" s="424"/>
      <c r="W985" s="424"/>
      <c r="Y985" s="424"/>
      <c r="Z985" s="424"/>
    </row>
    <row r="986" customFormat="false" ht="15.75" hidden="false" customHeight="false" outlineLevel="0" collapsed="false">
      <c r="R986" s="424"/>
      <c r="S986" s="424"/>
      <c r="T986" s="424"/>
      <c r="U986" s="424"/>
      <c r="V986" s="424"/>
      <c r="W986" s="424"/>
      <c r="Y986" s="424"/>
      <c r="Z986" s="424"/>
    </row>
    <row r="987" customFormat="false" ht="15.75" hidden="false" customHeight="false" outlineLevel="0" collapsed="false">
      <c r="R987" s="424"/>
      <c r="S987" s="424"/>
      <c r="T987" s="424"/>
      <c r="U987" s="424"/>
      <c r="V987" s="424"/>
      <c r="W987" s="424"/>
      <c r="Y987" s="424"/>
      <c r="Z987" s="424"/>
    </row>
    <row r="988" customFormat="false" ht="15.75" hidden="false" customHeight="false" outlineLevel="0" collapsed="false">
      <c r="R988" s="424"/>
      <c r="S988" s="424"/>
      <c r="T988" s="424"/>
      <c r="U988" s="424"/>
      <c r="V988" s="424"/>
      <c r="W988" s="424"/>
      <c r="Y988" s="424"/>
      <c r="Z988" s="424"/>
    </row>
    <row r="989" customFormat="false" ht="15.75" hidden="false" customHeight="false" outlineLevel="0" collapsed="false">
      <c r="R989" s="424"/>
      <c r="S989" s="424"/>
      <c r="T989" s="424"/>
      <c r="U989" s="424"/>
      <c r="V989" s="424"/>
      <c r="W989" s="424"/>
      <c r="Y989" s="424"/>
      <c r="Z989" s="424"/>
    </row>
    <row r="990" customFormat="false" ht="15.75" hidden="false" customHeight="false" outlineLevel="0" collapsed="false">
      <c r="R990" s="424"/>
      <c r="S990" s="424"/>
      <c r="T990" s="424"/>
      <c r="U990" s="424"/>
      <c r="V990" s="424"/>
      <c r="W990" s="424"/>
      <c r="Y990" s="424"/>
      <c r="Z990" s="424"/>
    </row>
    <row r="991" customFormat="false" ht="15.75" hidden="false" customHeight="false" outlineLevel="0" collapsed="false">
      <c r="R991" s="424"/>
      <c r="S991" s="424"/>
      <c r="T991" s="424"/>
      <c r="U991" s="424"/>
      <c r="V991" s="424"/>
      <c r="W991" s="424"/>
      <c r="Y991" s="424"/>
      <c r="Z991" s="424"/>
    </row>
    <row r="992" customFormat="false" ht="15.75" hidden="false" customHeight="false" outlineLevel="0" collapsed="false">
      <c r="R992" s="424"/>
      <c r="S992" s="424"/>
      <c r="T992" s="424"/>
      <c r="U992" s="424"/>
      <c r="V992" s="424"/>
      <c r="W992" s="424"/>
      <c r="Y992" s="424"/>
      <c r="Z992" s="424"/>
    </row>
    <row r="993" customFormat="false" ht="15.75" hidden="false" customHeight="false" outlineLevel="0" collapsed="false">
      <c r="R993" s="424"/>
      <c r="S993" s="424"/>
      <c r="T993" s="424"/>
      <c r="U993" s="424"/>
      <c r="V993" s="424"/>
      <c r="W993" s="424"/>
      <c r="Y993" s="424"/>
      <c r="Z993" s="424"/>
    </row>
    <row r="994" customFormat="false" ht="15.75" hidden="false" customHeight="false" outlineLevel="0" collapsed="false">
      <c r="R994" s="424"/>
      <c r="S994" s="424"/>
      <c r="T994" s="424"/>
      <c r="U994" s="424"/>
      <c r="V994" s="424"/>
      <c r="W994" s="424"/>
      <c r="Y994" s="424"/>
      <c r="Z994" s="424"/>
    </row>
    <row r="995" customFormat="false" ht="15.75" hidden="false" customHeight="false" outlineLevel="0" collapsed="false">
      <c r="R995" s="424"/>
      <c r="S995" s="424"/>
      <c r="T995" s="424"/>
      <c r="U995" s="424"/>
      <c r="V995" s="424"/>
      <c r="W995" s="424"/>
      <c r="Y995" s="424"/>
      <c r="Z995" s="424"/>
    </row>
    <row r="996" customFormat="false" ht="15.75" hidden="false" customHeight="false" outlineLevel="0" collapsed="false">
      <c r="R996" s="424"/>
      <c r="S996" s="424"/>
      <c r="T996" s="424"/>
      <c r="U996" s="424"/>
      <c r="V996" s="424"/>
      <c r="W996" s="424"/>
      <c r="Y996" s="424"/>
      <c r="Z996" s="424"/>
    </row>
    <row r="997" customFormat="false" ht="15.75" hidden="false" customHeight="false" outlineLevel="0" collapsed="false">
      <c r="R997" s="424"/>
      <c r="S997" s="424"/>
      <c r="T997" s="424"/>
      <c r="U997" s="424"/>
      <c r="V997" s="424"/>
      <c r="W997" s="424"/>
      <c r="Y997" s="424"/>
      <c r="Z997" s="424"/>
    </row>
    <row r="998" customFormat="false" ht="15.75" hidden="false" customHeight="false" outlineLevel="0" collapsed="false">
      <c r="R998" s="424"/>
      <c r="S998" s="424"/>
      <c r="T998" s="424"/>
      <c r="U998" s="424"/>
      <c r="V998" s="424"/>
      <c r="W998" s="424"/>
      <c r="Y998" s="424"/>
      <c r="Z998" s="424"/>
    </row>
    <row r="999" customFormat="false" ht="15.75" hidden="false" customHeight="false" outlineLevel="0" collapsed="false">
      <c r="R999" s="424"/>
      <c r="S999" s="424"/>
      <c r="T999" s="424"/>
      <c r="U999" s="424"/>
      <c r="V999" s="424"/>
      <c r="W999" s="424"/>
      <c r="Y999" s="424"/>
      <c r="Z999" s="424"/>
    </row>
    <row r="1000" customFormat="false" ht="15.75" hidden="false" customHeight="false" outlineLevel="0" collapsed="false">
      <c r="R1000" s="424"/>
      <c r="S1000" s="424"/>
      <c r="T1000" s="424"/>
      <c r="U1000" s="424"/>
      <c r="V1000" s="424"/>
      <c r="W1000" s="424"/>
      <c r="Y1000" s="424"/>
      <c r="Z1000" s="424"/>
    </row>
    <row r="1001" customFormat="false" ht="15.75" hidden="false" customHeight="false" outlineLevel="0" collapsed="false">
      <c r="R1001" s="424"/>
      <c r="S1001" s="424"/>
      <c r="T1001" s="424"/>
      <c r="U1001" s="424"/>
      <c r="V1001" s="424"/>
      <c r="W1001" s="424"/>
      <c r="Y1001" s="424"/>
      <c r="Z1001" s="424"/>
    </row>
    <row r="1002" customFormat="false" ht="15.75" hidden="false" customHeight="false" outlineLevel="0" collapsed="false">
      <c r="R1002" s="424"/>
      <c r="S1002" s="424"/>
      <c r="T1002" s="424"/>
      <c r="U1002" s="424"/>
      <c r="V1002" s="424"/>
      <c r="W1002" s="424"/>
      <c r="Y1002" s="424"/>
      <c r="Z1002" s="424"/>
    </row>
    <row r="1003" customFormat="false" ht="15.75" hidden="false" customHeight="false" outlineLevel="0" collapsed="false">
      <c r="R1003" s="424"/>
      <c r="S1003" s="424"/>
      <c r="T1003" s="424"/>
      <c r="U1003" s="424"/>
      <c r="V1003" s="424"/>
      <c r="W1003" s="424"/>
      <c r="Y1003" s="424"/>
      <c r="Z1003" s="424"/>
    </row>
    <row r="1004" customFormat="false" ht="15.75" hidden="false" customHeight="false" outlineLevel="0" collapsed="false">
      <c r="R1004" s="424"/>
      <c r="S1004" s="424"/>
      <c r="T1004" s="424"/>
      <c r="U1004" s="424"/>
      <c r="V1004" s="424"/>
      <c r="W1004" s="424"/>
      <c r="Y1004" s="424"/>
      <c r="Z1004" s="424"/>
    </row>
    <row r="1005" customFormat="false" ht="15.75" hidden="false" customHeight="false" outlineLevel="0" collapsed="false">
      <c r="R1005" s="424"/>
      <c r="S1005" s="424"/>
      <c r="T1005" s="424"/>
      <c r="U1005" s="424"/>
      <c r="V1005" s="424"/>
      <c r="W1005" s="424"/>
      <c r="Y1005" s="424"/>
      <c r="Z1005" s="424"/>
    </row>
    <row r="1006" customFormat="false" ht="15.75" hidden="false" customHeight="false" outlineLevel="0" collapsed="false">
      <c r="R1006" s="424"/>
      <c r="S1006" s="424"/>
      <c r="T1006" s="424"/>
      <c r="U1006" s="424"/>
      <c r="V1006" s="424"/>
      <c r="W1006" s="424"/>
      <c r="Y1006" s="424"/>
      <c r="Z1006" s="424"/>
    </row>
    <row r="1007" customFormat="false" ht="15.75" hidden="false" customHeight="false" outlineLevel="0" collapsed="false">
      <c r="R1007" s="424"/>
      <c r="S1007" s="424"/>
      <c r="T1007" s="424"/>
      <c r="U1007" s="424"/>
      <c r="V1007" s="424"/>
      <c r="W1007" s="424"/>
      <c r="Y1007" s="424"/>
      <c r="Z1007" s="424"/>
    </row>
    <row r="1008" customFormat="false" ht="15.75" hidden="false" customHeight="false" outlineLevel="0" collapsed="false">
      <c r="R1008" s="424"/>
      <c r="S1008" s="424"/>
      <c r="T1008" s="424"/>
      <c r="U1008" s="424"/>
      <c r="V1008" s="424"/>
      <c r="W1008" s="424"/>
      <c r="Y1008" s="424"/>
      <c r="Z1008" s="424"/>
    </row>
    <row r="1009" customFormat="false" ht="15.75" hidden="false" customHeight="false" outlineLevel="0" collapsed="false">
      <c r="R1009" s="424"/>
      <c r="S1009" s="424"/>
      <c r="T1009" s="424"/>
      <c r="U1009" s="424"/>
      <c r="V1009" s="424"/>
      <c r="W1009" s="424"/>
      <c r="Y1009" s="424"/>
      <c r="Z1009" s="424"/>
    </row>
    <row r="1010" customFormat="false" ht="15.75" hidden="false" customHeight="false" outlineLevel="0" collapsed="false">
      <c r="R1010" s="424"/>
      <c r="S1010" s="424"/>
      <c r="T1010" s="424"/>
      <c r="U1010" s="424"/>
      <c r="V1010" s="424"/>
      <c r="W1010" s="424"/>
      <c r="Y1010" s="424"/>
      <c r="Z1010" s="424"/>
    </row>
    <row r="1011" customFormat="false" ht="15.75" hidden="false" customHeight="false" outlineLevel="0" collapsed="false">
      <c r="R1011" s="424"/>
      <c r="S1011" s="424"/>
      <c r="T1011" s="424"/>
      <c r="U1011" s="424"/>
      <c r="V1011" s="424"/>
      <c r="W1011" s="424"/>
      <c r="Y1011" s="424"/>
      <c r="Z1011" s="424"/>
    </row>
    <row r="1012" customFormat="false" ht="15.75" hidden="false" customHeight="false" outlineLevel="0" collapsed="false">
      <c r="R1012" s="424"/>
      <c r="S1012" s="424"/>
      <c r="T1012" s="424"/>
      <c r="U1012" s="424"/>
      <c r="V1012" s="424"/>
      <c r="W1012" s="424"/>
      <c r="Y1012" s="424"/>
      <c r="Z1012" s="424"/>
    </row>
    <row r="1013" customFormat="false" ht="15.75" hidden="false" customHeight="false" outlineLevel="0" collapsed="false">
      <c r="R1013" s="424"/>
      <c r="S1013" s="424"/>
      <c r="T1013" s="424"/>
      <c r="U1013" s="424"/>
      <c r="V1013" s="424"/>
      <c r="W1013" s="424"/>
      <c r="Y1013" s="424"/>
      <c r="Z1013" s="424"/>
    </row>
    <row r="1014" customFormat="false" ht="15.75" hidden="false" customHeight="false" outlineLevel="0" collapsed="false">
      <c r="R1014" s="424"/>
      <c r="S1014" s="424"/>
      <c r="T1014" s="424"/>
      <c r="U1014" s="424"/>
      <c r="V1014" s="424"/>
      <c r="W1014" s="424"/>
      <c r="Y1014" s="424"/>
      <c r="Z1014" s="424"/>
    </row>
    <row r="1015" customFormat="false" ht="15.75" hidden="false" customHeight="false" outlineLevel="0" collapsed="false">
      <c r="R1015" s="424"/>
      <c r="S1015" s="424"/>
      <c r="T1015" s="424"/>
      <c r="U1015" s="424"/>
      <c r="V1015" s="424"/>
      <c r="W1015" s="424"/>
      <c r="Y1015" s="424"/>
      <c r="Z1015" s="424"/>
    </row>
    <row r="1016" customFormat="false" ht="15.75" hidden="false" customHeight="false" outlineLevel="0" collapsed="false">
      <c r="R1016" s="424"/>
      <c r="S1016" s="424"/>
      <c r="T1016" s="424"/>
      <c r="U1016" s="424"/>
      <c r="V1016" s="424"/>
      <c r="W1016" s="424"/>
      <c r="Y1016" s="424"/>
      <c r="Z1016" s="424"/>
    </row>
    <row r="1017" customFormat="false" ht="15.75" hidden="false" customHeight="false" outlineLevel="0" collapsed="false">
      <c r="R1017" s="424"/>
      <c r="S1017" s="424"/>
      <c r="T1017" s="424"/>
      <c r="U1017" s="424"/>
      <c r="V1017" s="424"/>
      <c r="W1017" s="424"/>
      <c r="Y1017" s="424"/>
      <c r="Z1017" s="424"/>
    </row>
    <row r="1018" customFormat="false" ht="15.75" hidden="false" customHeight="false" outlineLevel="0" collapsed="false">
      <c r="R1018" s="424"/>
      <c r="S1018" s="424"/>
      <c r="T1018" s="424"/>
      <c r="U1018" s="424"/>
      <c r="V1018" s="424"/>
      <c r="W1018" s="424"/>
      <c r="Y1018" s="424"/>
      <c r="Z1018" s="424"/>
    </row>
    <row r="1019" customFormat="false" ht="15.75" hidden="false" customHeight="false" outlineLevel="0" collapsed="false">
      <c r="R1019" s="424"/>
      <c r="S1019" s="424"/>
      <c r="T1019" s="424"/>
      <c r="U1019" s="424"/>
      <c r="V1019" s="424"/>
      <c r="W1019" s="424"/>
      <c r="Y1019" s="424"/>
      <c r="Z1019" s="424"/>
    </row>
    <row r="1020" customFormat="false" ht="15.75" hidden="false" customHeight="false" outlineLevel="0" collapsed="false">
      <c r="R1020" s="424"/>
      <c r="S1020" s="424"/>
      <c r="T1020" s="424"/>
      <c r="U1020" s="424"/>
      <c r="V1020" s="424"/>
      <c r="W1020" s="424"/>
      <c r="Y1020" s="424"/>
      <c r="Z1020" s="424"/>
    </row>
    <row r="1021" customFormat="false" ht="15.75" hidden="false" customHeight="false" outlineLevel="0" collapsed="false">
      <c r="R1021" s="424"/>
      <c r="S1021" s="424"/>
      <c r="T1021" s="424"/>
      <c r="U1021" s="424"/>
      <c r="V1021" s="424"/>
      <c r="W1021" s="424"/>
      <c r="Y1021" s="424"/>
      <c r="Z1021" s="424"/>
    </row>
    <row r="1022" customFormat="false" ht="15.75" hidden="false" customHeight="false" outlineLevel="0" collapsed="false">
      <c r="R1022" s="424"/>
      <c r="S1022" s="424"/>
      <c r="T1022" s="424"/>
      <c r="U1022" s="424"/>
      <c r="V1022" s="424"/>
      <c r="W1022" s="424"/>
      <c r="Y1022" s="424"/>
      <c r="Z1022" s="424"/>
    </row>
    <row r="1023" customFormat="false" ht="15.75" hidden="false" customHeight="false" outlineLevel="0" collapsed="false">
      <c r="R1023" s="424"/>
      <c r="S1023" s="424"/>
      <c r="T1023" s="424"/>
      <c r="U1023" s="424"/>
      <c r="V1023" s="424"/>
      <c r="W1023" s="424"/>
      <c r="Y1023" s="424"/>
      <c r="Z1023" s="424"/>
    </row>
    <row r="1024" customFormat="false" ht="15.75" hidden="false" customHeight="false" outlineLevel="0" collapsed="false">
      <c r="R1024" s="424"/>
      <c r="S1024" s="424"/>
      <c r="T1024" s="424"/>
      <c r="U1024" s="424"/>
      <c r="V1024" s="424"/>
      <c r="W1024" s="424"/>
      <c r="Y1024" s="424"/>
      <c r="Z1024" s="424"/>
    </row>
    <row r="1025" customFormat="false" ht="15.75" hidden="false" customHeight="false" outlineLevel="0" collapsed="false">
      <c r="R1025" s="424"/>
      <c r="S1025" s="424"/>
      <c r="T1025" s="424"/>
      <c r="U1025" s="424"/>
      <c r="V1025" s="424"/>
      <c r="W1025" s="424"/>
      <c r="Y1025" s="424"/>
      <c r="Z1025" s="424"/>
    </row>
    <row r="1026" customFormat="false" ht="15.75" hidden="false" customHeight="false" outlineLevel="0" collapsed="false">
      <c r="R1026" s="424"/>
      <c r="S1026" s="424"/>
      <c r="T1026" s="424"/>
      <c r="U1026" s="424"/>
      <c r="V1026" s="424"/>
      <c r="W1026" s="424"/>
      <c r="Y1026" s="424"/>
      <c r="Z1026" s="424"/>
    </row>
    <row r="1027" customFormat="false" ht="15.75" hidden="false" customHeight="false" outlineLevel="0" collapsed="false">
      <c r="R1027" s="424"/>
      <c r="S1027" s="424"/>
      <c r="T1027" s="424"/>
      <c r="U1027" s="424"/>
      <c r="V1027" s="424"/>
      <c r="W1027" s="424"/>
      <c r="Y1027" s="424"/>
      <c r="Z1027" s="424"/>
    </row>
    <row r="1028" customFormat="false" ht="15.75" hidden="false" customHeight="false" outlineLevel="0" collapsed="false">
      <c r="R1028" s="424"/>
      <c r="S1028" s="424"/>
      <c r="T1028" s="424"/>
      <c r="U1028" s="424"/>
      <c r="V1028" s="424"/>
      <c r="W1028" s="424"/>
      <c r="Y1028" s="424"/>
      <c r="Z1028" s="424"/>
    </row>
    <row r="1029" customFormat="false" ht="15.75" hidden="false" customHeight="false" outlineLevel="0" collapsed="false">
      <c r="R1029" s="424"/>
      <c r="S1029" s="424"/>
      <c r="T1029" s="424"/>
      <c r="U1029" s="424"/>
      <c r="V1029" s="424"/>
      <c r="W1029" s="424"/>
      <c r="Y1029" s="424"/>
      <c r="Z1029" s="424"/>
    </row>
    <row r="1030" customFormat="false" ht="15.75" hidden="false" customHeight="false" outlineLevel="0" collapsed="false">
      <c r="R1030" s="424"/>
      <c r="S1030" s="424"/>
      <c r="T1030" s="424"/>
      <c r="U1030" s="424"/>
      <c r="V1030" s="424"/>
      <c r="W1030" s="424"/>
      <c r="Y1030" s="424"/>
      <c r="Z1030" s="424"/>
    </row>
    <row r="1031" customFormat="false" ht="15.75" hidden="false" customHeight="false" outlineLevel="0" collapsed="false">
      <c r="R1031" s="424"/>
      <c r="S1031" s="424"/>
      <c r="T1031" s="424"/>
      <c r="U1031" s="424"/>
      <c r="V1031" s="424"/>
      <c r="W1031" s="424"/>
      <c r="Y1031" s="424"/>
      <c r="Z1031" s="424"/>
    </row>
    <row r="1032" customFormat="false" ht="15.75" hidden="false" customHeight="false" outlineLevel="0" collapsed="false">
      <c r="R1032" s="424"/>
      <c r="S1032" s="424"/>
      <c r="T1032" s="424"/>
      <c r="U1032" s="424"/>
      <c r="V1032" s="424"/>
      <c r="W1032" s="424"/>
      <c r="Y1032" s="424"/>
      <c r="Z1032" s="424"/>
    </row>
    <row r="1033" customFormat="false" ht="15.75" hidden="false" customHeight="false" outlineLevel="0" collapsed="false">
      <c r="R1033" s="424"/>
      <c r="S1033" s="424"/>
      <c r="T1033" s="424"/>
      <c r="U1033" s="424"/>
      <c r="V1033" s="424"/>
      <c r="W1033" s="424"/>
      <c r="Y1033" s="424"/>
      <c r="Z1033" s="424"/>
    </row>
    <row r="1034" customFormat="false" ht="15.75" hidden="false" customHeight="false" outlineLevel="0" collapsed="false">
      <c r="R1034" s="424"/>
      <c r="S1034" s="424"/>
      <c r="T1034" s="424"/>
      <c r="U1034" s="424"/>
      <c r="V1034" s="424"/>
      <c r="W1034" s="424"/>
      <c r="Y1034" s="424"/>
      <c r="Z1034" s="424"/>
    </row>
    <row r="1035" customFormat="false" ht="15.75" hidden="false" customHeight="false" outlineLevel="0" collapsed="false">
      <c r="R1035" s="424"/>
      <c r="S1035" s="424"/>
      <c r="T1035" s="424"/>
      <c r="U1035" s="424"/>
      <c r="V1035" s="424"/>
      <c r="W1035" s="424"/>
      <c r="Y1035" s="424"/>
      <c r="Z1035" s="424"/>
    </row>
    <row r="1036" customFormat="false" ht="15.75" hidden="false" customHeight="false" outlineLevel="0" collapsed="false">
      <c r="R1036" s="424"/>
      <c r="S1036" s="424"/>
      <c r="T1036" s="424"/>
      <c r="U1036" s="424"/>
      <c r="V1036" s="424"/>
      <c r="W1036" s="424"/>
      <c r="Y1036" s="424"/>
      <c r="Z1036" s="424"/>
    </row>
    <row r="1037" customFormat="false" ht="15.75" hidden="false" customHeight="false" outlineLevel="0" collapsed="false">
      <c r="R1037" s="424"/>
      <c r="S1037" s="424"/>
      <c r="T1037" s="424"/>
      <c r="U1037" s="424"/>
      <c r="V1037" s="424"/>
      <c r="W1037" s="424"/>
      <c r="Y1037" s="424"/>
      <c r="Z1037" s="424"/>
    </row>
    <row r="1038" customFormat="false" ht="15.75" hidden="false" customHeight="false" outlineLevel="0" collapsed="false">
      <c r="R1038" s="424"/>
      <c r="S1038" s="424"/>
      <c r="T1038" s="424"/>
      <c r="U1038" s="424"/>
      <c r="V1038" s="424"/>
      <c r="W1038" s="424"/>
      <c r="Y1038" s="424"/>
      <c r="Z1038" s="424"/>
    </row>
    <row r="1039" customFormat="false" ht="15.75" hidden="false" customHeight="false" outlineLevel="0" collapsed="false">
      <c r="R1039" s="424"/>
      <c r="S1039" s="424"/>
      <c r="T1039" s="424"/>
      <c r="U1039" s="424"/>
      <c r="V1039" s="424"/>
      <c r="W1039" s="424"/>
      <c r="Y1039" s="424"/>
      <c r="Z1039" s="424"/>
    </row>
    <row r="1040" customFormat="false" ht="15.75" hidden="false" customHeight="false" outlineLevel="0" collapsed="false">
      <c r="R1040" s="424"/>
      <c r="S1040" s="424"/>
      <c r="T1040" s="424"/>
      <c r="U1040" s="424"/>
      <c r="V1040" s="424"/>
      <c r="W1040" s="424"/>
      <c r="Y1040" s="424"/>
      <c r="Z1040" s="424"/>
    </row>
    <row r="1041" customFormat="false" ht="15.75" hidden="false" customHeight="false" outlineLevel="0" collapsed="false">
      <c r="R1041" s="424"/>
      <c r="S1041" s="424"/>
      <c r="T1041" s="424"/>
      <c r="U1041" s="424"/>
      <c r="V1041" s="424"/>
      <c r="W1041" s="424"/>
      <c r="Y1041" s="424"/>
      <c r="Z1041" s="424"/>
    </row>
    <row r="1042" customFormat="false" ht="15.75" hidden="false" customHeight="false" outlineLevel="0" collapsed="false">
      <c r="R1042" s="424"/>
      <c r="S1042" s="424"/>
      <c r="T1042" s="424"/>
      <c r="U1042" s="424"/>
      <c r="V1042" s="424"/>
      <c r="W1042" s="424"/>
      <c r="Y1042" s="424"/>
      <c r="Z1042" s="424"/>
    </row>
    <row r="1043" customFormat="false" ht="15.75" hidden="false" customHeight="false" outlineLevel="0" collapsed="false">
      <c r="R1043" s="424"/>
      <c r="S1043" s="424"/>
      <c r="T1043" s="424"/>
      <c r="U1043" s="424"/>
      <c r="V1043" s="424"/>
      <c r="W1043" s="424"/>
      <c r="Y1043" s="424"/>
      <c r="Z1043" s="424"/>
    </row>
    <row r="1044" customFormat="false" ht="15.75" hidden="false" customHeight="false" outlineLevel="0" collapsed="false">
      <c r="R1044" s="424"/>
      <c r="S1044" s="424"/>
      <c r="T1044" s="424"/>
      <c r="U1044" s="424"/>
      <c r="V1044" s="424"/>
      <c r="W1044" s="424"/>
      <c r="Y1044" s="424"/>
      <c r="Z1044" s="424"/>
    </row>
    <row r="1045" customFormat="false" ht="15.75" hidden="false" customHeight="false" outlineLevel="0" collapsed="false">
      <c r="R1045" s="424"/>
      <c r="S1045" s="424"/>
      <c r="T1045" s="424"/>
      <c r="U1045" s="424"/>
      <c r="V1045" s="424"/>
      <c r="W1045" s="424"/>
      <c r="Y1045" s="424"/>
      <c r="Z1045" s="424"/>
    </row>
    <row r="1046" customFormat="false" ht="15.75" hidden="false" customHeight="false" outlineLevel="0" collapsed="false">
      <c r="R1046" s="424"/>
      <c r="S1046" s="424"/>
      <c r="T1046" s="424"/>
      <c r="U1046" s="424"/>
      <c r="V1046" s="424"/>
      <c r="W1046" s="424"/>
      <c r="Y1046" s="424"/>
      <c r="Z1046" s="424"/>
    </row>
    <row r="1047" customFormat="false" ht="15.75" hidden="false" customHeight="false" outlineLevel="0" collapsed="false">
      <c r="R1047" s="424"/>
      <c r="S1047" s="424"/>
      <c r="T1047" s="424"/>
      <c r="U1047" s="424"/>
      <c r="V1047" s="424"/>
      <c r="W1047" s="424"/>
      <c r="Y1047" s="424"/>
      <c r="Z1047" s="424"/>
    </row>
    <row r="1048" customFormat="false" ht="15.75" hidden="false" customHeight="false" outlineLevel="0" collapsed="false">
      <c r="R1048" s="424"/>
      <c r="S1048" s="424"/>
      <c r="T1048" s="424"/>
      <c r="U1048" s="424"/>
      <c r="V1048" s="424"/>
      <c r="W1048" s="424"/>
      <c r="Y1048" s="424"/>
      <c r="Z1048" s="424"/>
    </row>
    <row r="1049" customFormat="false" ht="15.75" hidden="false" customHeight="false" outlineLevel="0" collapsed="false">
      <c r="R1049" s="424"/>
      <c r="S1049" s="424"/>
      <c r="T1049" s="424"/>
      <c r="U1049" s="424"/>
      <c r="V1049" s="424"/>
      <c r="W1049" s="424"/>
      <c r="Y1049" s="424"/>
      <c r="Z1049" s="424"/>
    </row>
    <row r="1050" customFormat="false" ht="15.75" hidden="false" customHeight="false" outlineLevel="0" collapsed="false">
      <c r="R1050" s="424"/>
      <c r="S1050" s="424"/>
      <c r="T1050" s="424"/>
      <c r="U1050" s="424"/>
      <c r="V1050" s="424"/>
      <c r="W1050" s="424"/>
      <c r="Y1050" s="424"/>
      <c r="Z1050" s="424"/>
    </row>
    <row r="1051" customFormat="false" ht="15.75" hidden="false" customHeight="false" outlineLevel="0" collapsed="false">
      <c r="R1051" s="424"/>
      <c r="S1051" s="424"/>
      <c r="T1051" s="424"/>
      <c r="U1051" s="424"/>
      <c r="V1051" s="424"/>
      <c r="W1051" s="424"/>
      <c r="Y1051" s="424"/>
      <c r="Z1051" s="424"/>
    </row>
    <row r="1052" customFormat="false" ht="15.75" hidden="false" customHeight="false" outlineLevel="0" collapsed="false">
      <c r="R1052" s="424"/>
      <c r="S1052" s="424"/>
      <c r="T1052" s="424"/>
      <c r="U1052" s="424"/>
      <c r="V1052" s="424"/>
      <c r="W1052" s="424"/>
      <c r="Y1052" s="424"/>
      <c r="Z1052" s="424"/>
    </row>
    <row r="1053" customFormat="false" ht="15.75" hidden="false" customHeight="false" outlineLevel="0" collapsed="false">
      <c r="R1053" s="424"/>
      <c r="S1053" s="424"/>
      <c r="T1053" s="424"/>
      <c r="U1053" s="424"/>
      <c r="V1053" s="424"/>
      <c r="W1053" s="424"/>
      <c r="Y1053" s="424"/>
      <c r="Z1053" s="424"/>
    </row>
    <row r="1054" customFormat="false" ht="15.75" hidden="false" customHeight="false" outlineLevel="0" collapsed="false">
      <c r="R1054" s="424"/>
      <c r="S1054" s="424"/>
      <c r="T1054" s="424"/>
      <c r="U1054" s="424"/>
      <c r="V1054" s="424"/>
      <c r="W1054" s="424"/>
      <c r="Y1054" s="424"/>
      <c r="Z1054" s="424"/>
    </row>
    <row r="1055" customFormat="false" ht="15.75" hidden="false" customHeight="false" outlineLevel="0" collapsed="false">
      <c r="R1055" s="424"/>
      <c r="S1055" s="424"/>
      <c r="T1055" s="424"/>
      <c r="U1055" s="424"/>
      <c r="V1055" s="424"/>
      <c r="W1055" s="424"/>
      <c r="Y1055" s="424"/>
      <c r="Z1055" s="424"/>
    </row>
    <row r="1056" customFormat="false" ht="15.75" hidden="false" customHeight="false" outlineLevel="0" collapsed="false">
      <c r="R1056" s="424"/>
      <c r="S1056" s="424"/>
      <c r="T1056" s="424"/>
      <c r="U1056" s="424"/>
      <c r="V1056" s="424"/>
      <c r="W1056" s="424"/>
      <c r="Y1056" s="424"/>
      <c r="Z1056" s="424"/>
    </row>
    <row r="1057" customFormat="false" ht="15.75" hidden="false" customHeight="false" outlineLevel="0" collapsed="false">
      <c r="R1057" s="424"/>
      <c r="S1057" s="424"/>
      <c r="T1057" s="424"/>
      <c r="U1057" s="424"/>
      <c r="V1057" s="424"/>
      <c r="W1057" s="424"/>
      <c r="Y1057" s="424"/>
      <c r="Z1057" s="424"/>
    </row>
    <row r="1058" customFormat="false" ht="15.75" hidden="false" customHeight="false" outlineLevel="0" collapsed="false">
      <c r="R1058" s="424"/>
      <c r="S1058" s="424"/>
      <c r="T1058" s="424"/>
      <c r="U1058" s="424"/>
      <c r="V1058" s="424"/>
      <c r="W1058" s="424"/>
      <c r="Y1058" s="424"/>
      <c r="Z1058" s="424"/>
    </row>
    <row r="1059" customFormat="false" ht="15.75" hidden="false" customHeight="false" outlineLevel="0" collapsed="false">
      <c r="R1059" s="424"/>
      <c r="S1059" s="424"/>
      <c r="T1059" s="424"/>
      <c r="U1059" s="424"/>
      <c r="V1059" s="424"/>
      <c r="W1059" s="424"/>
      <c r="Y1059" s="424"/>
      <c r="Z1059" s="424"/>
    </row>
    <row r="1060" customFormat="false" ht="15.75" hidden="false" customHeight="false" outlineLevel="0" collapsed="false">
      <c r="R1060" s="424"/>
      <c r="S1060" s="424"/>
      <c r="T1060" s="424"/>
      <c r="U1060" s="424"/>
      <c r="V1060" s="424"/>
      <c r="W1060" s="424"/>
      <c r="Y1060" s="424"/>
      <c r="Z1060" s="424"/>
    </row>
    <row r="1061" customFormat="false" ht="15.75" hidden="false" customHeight="false" outlineLevel="0" collapsed="false">
      <c r="R1061" s="424"/>
      <c r="S1061" s="424"/>
      <c r="T1061" s="424"/>
      <c r="U1061" s="424"/>
      <c r="V1061" s="424"/>
      <c r="W1061" s="424"/>
      <c r="Y1061" s="424"/>
      <c r="Z1061" s="424"/>
    </row>
    <row r="1062" customFormat="false" ht="15.75" hidden="false" customHeight="false" outlineLevel="0" collapsed="false">
      <c r="R1062" s="424"/>
      <c r="S1062" s="424"/>
      <c r="T1062" s="424"/>
      <c r="U1062" s="424"/>
      <c r="V1062" s="424"/>
      <c r="W1062" s="424"/>
      <c r="Y1062" s="424"/>
      <c r="Z1062" s="424"/>
    </row>
    <row r="1063" customFormat="false" ht="15.75" hidden="false" customHeight="false" outlineLevel="0" collapsed="false">
      <c r="R1063" s="424"/>
      <c r="S1063" s="424"/>
      <c r="T1063" s="424"/>
      <c r="U1063" s="424"/>
      <c r="V1063" s="424"/>
      <c r="W1063" s="424"/>
      <c r="Y1063" s="424"/>
      <c r="Z1063" s="424"/>
    </row>
    <row r="1064" customFormat="false" ht="15.75" hidden="false" customHeight="false" outlineLevel="0" collapsed="false">
      <c r="R1064" s="424"/>
      <c r="S1064" s="424"/>
      <c r="T1064" s="424"/>
      <c r="U1064" s="424"/>
      <c r="V1064" s="424"/>
      <c r="W1064" s="424"/>
      <c r="Y1064" s="424"/>
      <c r="Z1064" s="424"/>
    </row>
    <row r="1065" customFormat="false" ht="15.75" hidden="false" customHeight="false" outlineLevel="0" collapsed="false">
      <c r="R1065" s="424"/>
      <c r="S1065" s="424"/>
      <c r="T1065" s="424"/>
      <c r="U1065" s="424"/>
      <c r="V1065" s="424"/>
      <c r="W1065" s="424"/>
      <c r="Y1065" s="424"/>
      <c r="Z1065" s="424"/>
    </row>
    <row r="1066" customFormat="false" ht="15.75" hidden="false" customHeight="false" outlineLevel="0" collapsed="false">
      <c r="R1066" s="424"/>
      <c r="S1066" s="424"/>
      <c r="T1066" s="424"/>
      <c r="U1066" s="424"/>
      <c r="V1066" s="424"/>
      <c r="W1066" s="424"/>
      <c r="Y1066" s="424"/>
      <c r="Z1066" s="424"/>
    </row>
    <row r="1067" customFormat="false" ht="15.75" hidden="false" customHeight="false" outlineLevel="0" collapsed="false">
      <c r="R1067" s="424"/>
      <c r="S1067" s="424"/>
      <c r="T1067" s="424"/>
      <c r="U1067" s="424"/>
      <c r="V1067" s="424"/>
      <c r="W1067" s="424"/>
      <c r="Y1067" s="424"/>
      <c r="Z1067" s="424"/>
    </row>
    <row r="1068" customFormat="false" ht="15.75" hidden="false" customHeight="false" outlineLevel="0" collapsed="false">
      <c r="R1068" s="424"/>
      <c r="S1068" s="424"/>
      <c r="T1068" s="424"/>
      <c r="U1068" s="424"/>
      <c r="V1068" s="424"/>
      <c r="W1068" s="424"/>
      <c r="Y1068" s="424"/>
      <c r="Z1068" s="424"/>
    </row>
    <row r="1069" customFormat="false" ht="15.75" hidden="false" customHeight="false" outlineLevel="0" collapsed="false">
      <c r="R1069" s="424"/>
      <c r="S1069" s="424"/>
      <c r="T1069" s="424"/>
      <c r="U1069" s="424"/>
      <c r="V1069" s="424"/>
      <c r="W1069" s="424"/>
      <c r="Y1069" s="424"/>
      <c r="Z1069" s="424"/>
    </row>
    <row r="1070" customFormat="false" ht="15.75" hidden="false" customHeight="false" outlineLevel="0" collapsed="false">
      <c r="R1070" s="424"/>
      <c r="S1070" s="424"/>
      <c r="T1070" s="424"/>
      <c r="U1070" s="424"/>
      <c r="V1070" s="424"/>
      <c r="W1070" s="424"/>
      <c r="Y1070" s="424"/>
      <c r="Z1070" s="424"/>
    </row>
    <row r="1071" customFormat="false" ht="15.75" hidden="false" customHeight="false" outlineLevel="0" collapsed="false">
      <c r="R1071" s="424"/>
      <c r="S1071" s="424"/>
      <c r="T1071" s="424"/>
      <c r="U1071" s="424"/>
      <c r="V1071" s="424"/>
      <c r="W1071" s="424"/>
      <c r="Y1071" s="424"/>
      <c r="Z1071" s="424"/>
    </row>
    <row r="1072" customFormat="false" ht="15.75" hidden="false" customHeight="false" outlineLevel="0" collapsed="false">
      <c r="R1072" s="424"/>
      <c r="S1072" s="424"/>
      <c r="T1072" s="424"/>
      <c r="U1072" s="424"/>
      <c r="V1072" s="424"/>
      <c r="W1072" s="424"/>
      <c r="Y1072" s="424"/>
      <c r="Z1072" s="424"/>
    </row>
    <row r="1073" customFormat="false" ht="15.75" hidden="false" customHeight="false" outlineLevel="0" collapsed="false">
      <c r="R1073" s="424"/>
      <c r="S1073" s="424"/>
      <c r="T1073" s="424"/>
      <c r="U1073" s="424"/>
      <c r="V1073" s="424"/>
      <c r="W1073" s="424"/>
      <c r="Y1073" s="424"/>
      <c r="Z1073" s="424"/>
    </row>
    <row r="1074" customFormat="false" ht="15.75" hidden="false" customHeight="false" outlineLevel="0" collapsed="false">
      <c r="R1074" s="424"/>
      <c r="S1074" s="424"/>
      <c r="T1074" s="424"/>
      <c r="U1074" s="424"/>
      <c r="V1074" s="424"/>
      <c r="W1074" s="424"/>
      <c r="Y1074" s="424"/>
      <c r="Z1074" s="424"/>
    </row>
    <row r="1075" customFormat="false" ht="15.75" hidden="false" customHeight="false" outlineLevel="0" collapsed="false">
      <c r="R1075" s="424"/>
      <c r="S1075" s="424"/>
      <c r="T1075" s="424"/>
      <c r="U1075" s="424"/>
      <c r="V1075" s="424"/>
      <c r="W1075" s="424"/>
      <c r="Y1075" s="424"/>
      <c r="Z1075" s="424"/>
    </row>
    <row r="1076" customFormat="false" ht="15.75" hidden="false" customHeight="false" outlineLevel="0" collapsed="false">
      <c r="R1076" s="424"/>
      <c r="S1076" s="424"/>
      <c r="T1076" s="424"/>
      <c r="U1076" s="424"/>
      <c r="V1076" s="424"/>
      <c r="W1076" s="424"/>
      <c r="Y1076" s="424"/>
      <c r="Z1076" s="424"/>
    </row>
    <row r="1077" customFormat="false" ht="15.75" hidden="false" customHeight="false" outlineLevel="0" collapsed="false">
      <c r="R1077" s="424"/>
      <c r="S1077" s="424"/>
      <c r="T1077" s="424"/>
      <c r="U1077" s="424"/>
      <c r="V1077" s="424"/>
      <c r="W1077" s="424"/>
      <c r="Y1077" s="424"/>
      <c r="Z1077" s="424"/>
    </row>
    <row r="1078" customFormat="false" ht="15.75" hidden="false" customHeight="false" outlineLevel="0" collapsed="false">
      <c r="R1078" s="424"/>
      <c r="S1078" s="424"/>
      <c r="T1078" s="424"/>
      <c r="U1078" s="424"/>
      <c r="V1078" s="424"/>
      <c r="W1078" s="424"/>
      <c r="Y1078" s="424"/>
      <c r="Z1078" s="424"/>
    </row>
    <row r="1079" customFormat="false" ht="15.75" hidden="false" customHeight="false" outlineLevel="0" collapsed="false">
      <c r="R1079" s="424"/>
      <c r="S1079" s="424"/>
      <c r="T1079" s="424"/>
      <c r="U1079" s="424"/>
      <c r="V1079" s="424"/>
      <c r="W1079" s="424"/>
      <c r="Y1079" s="424"/>
      <c r="Z1079" s="424"/>
    </row>
    <row r="1080" customFormat="false" ht="15.75" hidden="false" customHeight="false" outlineLevel="0" collapsed="false">
      <c r="R1080" s="424"/>
      <c r="S1080" s="424"/>
      <c r="T1080" s="424"/>
      <c r="U1080" s="424"/>
      <c r="V1080" s="424"/>
      <c r="W1080" s="424"/>
      <c r="Y1080" s="424"/>
      <c r="Z1080" s="424"/>
    </row>
    <row r="1081" customFormat="false" ht="15.75" hidden="false" customHeight="false" outlineLevel="0" collapsed="false">
      <c r="R1081" s="424"/>
      <c r="S1081" s="424"/>
      <c r="T1081" s="424"/>
      <c r="U1081" s="424"/>
      <c r="V1081" s="424"/>
      <c r="W1081" s="424"/>
      <c r="Y1081" s="424"/>
      <c r="Z1081" s="424"/>
    </row>
    <row r="1082" customFormat="false" ht="15.75" hidden="false" customHeight="false" outlineLevel="0" collapsed="false">
      <c r="R1082" s="424"/>
      <c r="S1082" s="424"/>
      <c r="T1082" s="424"/>
      <c r="U1082" s="424"/>
      <c r="V1082" s="424"/>
      <c r="W1082" s="424"/>
      <c r="Y1082" s="424"/>
      <c r="Z1082" s="424"/>
    </row>
    <row r="1083" customFormat="false" ht="15.75" hidden="false" customHeight="false" outlineLevel="0" collapsed="false">
      <c r="R1083" s="424"/>
      <c r="S1083" s="424"/>
      <c r="T1083" s="424"/>
      <c r="U1083" s="424"/>
      <c r="V1083" s="424"/>
      <c r="W1083" s="424"/>
      <c r="Y1083" s="424"/>
      <c r="Z1083" s="424"/>
    </row>
    <row r="1084" customFormat="false" ht="15.75" hidden="false" customHeight="false" outlineLevel="0" collapsed="false">
      <c r="R1084" s="424"/>
      <c r="S1084" s="424"/>
      <c r="T1084" s="424"/>
      <c r="U1084" s="424"/>
      <c r="V1084" s="424"/>
      <c r="W1084" s="424"/>
      <c r="Y1084" s="424"/>
      <c r="Z1084" s="424"/>
    </row>
    <row r="1085" customFormat="false" ht="15.75" hidden="false" customHeight="false" outlineLevel="0" collapsed="false">
      <c r="R1085" s="424"/>
      <c r="S1085" s="424"/>
      <c r="T1085" s="424"/>
      <c r="U1085" s="424"/>
      <c r="V1085" s="424"/>
      <c r="W1085" s="424"/>
      <c r="Y1085" s="424"/>
      <c r="Z1085" s="424"/>
    </row>
    <row r="1086" customFormat="false" ht="15.75" hidden="false" customHeight="false" outlineLevel="0" collapsed="false">
      <c r="R1086" s="424"/>
      <c r="S1086" s="424"/>
      <c r="T1086" s="424"/>
      <c r="U1086" s="424"/>
      <c r="V1086" s="424"/>
      <c r="W1086" s="424"/>
      <c r="Y1086" s="424"/>
      <c r="Z1086" s="424"/>
    </row>
    <row r="1087" customFormat="false" ht="15.75" hidden="false" customHeight="false" outlineLevel="0" collapsed="false">
      <c r="R1087" s="424"/>
      <c r="S1087" s="424"/>
      <c r="T1087" s="424"/>
      <c r="U1087" s="424"/>
      <c r="V1087" s="424"/>
      <c r="W1087" s="424"/>
      <c r="Y1087" s="424"/>
      <c r="Z1087" s="424"/>
    </row>
    <row r="1088" customFormat="false" ht="15.75" hidden="false" customHeight="false" outlineLevel="0" collapsed="false">
      <c r="R1088" s="424"/>
      <c r="S1088" s="424"/>
      <c r="T1088" s="424"/>
      <c r="U1088" s="424"/>
      <c r="V1088" s="424"/>
      <c r="W1088" s="424"/>
      <c r="Y1088" s="424"/>
      <c r="Z1088" s="424"/>
    </row>
    <row r="1089" customFormat="false" ht="15.75" hidden="false" customHeight="false" outlineLevel="0" collapsed="false">
      <c r="R1089" s="424"/>
      <c r="S1089" s="424"/>
      <c r="T1089" s="424"/>
      <c r="U1089" s="424"/>
      <c r="V1089" s="424"/>
      <c r="W1089" s="424"/>
      <c r="Y1089" s="424"/>
      <c r="Z1089" s="424"/>
    </row>
    <row r="1090" customFormat="false" ht="15.75" hidden="false" customHeight="false" outlineLevel="0" collapsed="false">
      <c r="R1090" s="424"/>
      <c r="S1090" s="424"/>
      <c r="T1090" s="424"/>
      <c r="U1090" s="424"/>
      <c r="V1090" s="424"/>
      <c r="W1090" s="424"/>
      <c r="Y1090" s="424"/>
      <c r="Z1090" s="424"/>
    </row>
    <row r="1091" customFormat="false" ht="15.75" hidden="false" customHeight="false" outlineLevel="0" collapsed="false">
      <c r="R1091" s="424"/>
      <c r="S1091" s="424"/>
      <c r="T1091" s="424"/>
      <c r="U1091" s="424"/>
      <c r="V1091" s="424"/>
      <c r="W1091" s="424"/>
      <c r="Y1091" s="424"/>
      <c r="Z1091" s="424"/>
    </row>
    <row r="1092" customFormat="false" ht="15.75" hidden="false" customHeight="false" outlineLevel="0" collapsed="false">
      <c r="R1092" s="424"/>
      <c r="S1092" s="424"/>
      <c r="T1092" s="424"/>
      <c r="U1092" s="424"/>
      <c r="V1092" s="424"/>
      <c r="W1092" s="424"/>
      <c r="Y1092" s="424"/>
      <c r="Z1092" s="424"/>
    </row>
    <row r="1093" customFormat="false" ht="15.75" hidden="false" customHeight="false" outlineLevel="0" collapsed="false">
      <c r="R1093" s="424"/>
      <c r="S1093" s="424"/>
      <c r="T1093" s="424"/>
      <c r="U1093" s="424"/>
      <c r="V1093" s="424"/>
      <c r="W1093" s="424"/>
      <c r="Y1093" s="424"/>
      <c r="Z1093" s="424"/>
    </row>
    <row r="1094" customFormat="false" ht="15.75" hidden="false" customHeight="false" outlineLevel="0" collapsed="false">
      <c r="R1094" s="424"/>
      <c r="S1094" s="424"/>
      <c r="T1094" s="424"/>
      <c r="U1094" s="424"/>
      <c r="V1094" s="424"/>
      <c r="W1094" s="424"/>
      <c r="Y1094" s="424"/>
      <c r="Z1094" s="424"/>
    </row>
    <row r="1095" customFormat="false" ht="15.75" hidden="false" customHeight="false" outlineLevel="0" collapsed="false">
      <c r="R1095" s="424"/>
      <c r="S1095" s="424"/>
      <c r="T1095" s="424"/>
      <c r="U1095" s="424"/>
      <c r="V1095" s="424"/>
      <c r="W1095" s="424"/>
      <c r="Y1095" s="424"/>
      <c r="Z1095" s="424"/>
    </row>
    <row r="1096" customFormat="false" ht="15.75" hidden="false" customHeight="false" outlineLevel="0" collapsed="false">
      <c r="R1096" s="424"/>
      <c r="S1096" s="424"/>
      <c r="T1096" s="424"/>
      <c r="U1096" s="424"/>
      <c r="V1096" s="424"/>
      <c r="W1096" s="424"/>
      <c r="Y1096" s="424"/>
      <c r="Z1096" s="424"/>
    </row>
    <row r="1097" customFormat="false" ht="15.75" hidden="false" customHeight="false" outlineLevel="0" collapsed="false">
      <c r="R1097" s="424"/>
      <c r="S1097" s="424"/>
      <c r="T1097" s="424"/>
      <c r="U1097" s="424"/>
      <c r="V1097" s="424"/>
      <c r="W1097" s="424"/>
      <c r="Y1097" s="424"/>
      <c r="Z1097" s="424"/>
    </row>
    <row r="1098" customFormat="false" ht="15.75" hidden="false" customHeight="false" outlineLevel="0" collapsed="false">
      <c r="R1098" s="424"/>
      <c r="S1098" s="424"/>
      <c r="T1098" s="424"/>
      <c r="U1098" s="424"/>
      <c r="V1098" s="424"/>
      <c r="W1098" s="424"/>
      <c r="Y1098" s="424"/>
      <c r="Z1098" s="424"/>
    </row>
    <row r="1099" customFormat="false" ht="15.75" hidden="false" customHeight="false" outlineLevel="0" collapsed="false">
      <c r="R1099" s="424"/>
      <c r="S1099" s="424"/>
      <c r="T1099" s="424"/>
      <c r="U1099" s="424"/>
      <c r="V1099" s="424"/>
      <c r="W1099" s="424"/>
      <c r="Y1099" s="424"/>
      <c r="Z1099" s="424"/>
    </row>
    <row r="1100" customFormat="false" ht="15.75" hidden="false" customHeight="false" outlineLevel="0" collapsed="false">
      <c r="R1100" s="424"/>
      <c r="S1100" s="424"/>
      <c r="T1100" s="424"/>
      <c r="U1100" s="424"/>
      <c r="V1100" s="424"/>
      <c r="W1100" s="424"/>
      <c r="Y1100" s="424"/>
      <c r="Z1100" s="424"/>
    </row>
    <row r="1101" customFormat="false" ht="15.75" hidden="false" customHeight="false" outlineLevel="0" collapsed="false">
      <c r="R1101" s="424"/>
      <c r="S1101" s="424"/>
      <c r="T1101" s="424"/>
      <c r="U1101" s="424"/>
      <c r="V1101" s="424"/>
      <c r="W1101" s="424"/>
      <c r="Y1101" s="424"/>
      <c r="Z1101" s="424"/>
    </row>
    <row r="1102" customFormat="false" ht="15.75" hidden="false" customHeight="false" outlineLevel="0" collapsed="false">
      <c r="R1102" s="424"/>
      <c r="S1102" s="424"/>
      <c r="T1102" s="424"/>
      <c r="U1102" s="424"/>
      <c r="V1102" s="424"/>
      <c r="W1102" s="424"/>
      <c r="Y1102" s="424"/>
      <c r="Z1102" s="424"/>
    </row>
    <row r="1103" customFormat="false" ht="15.75" hidden="false" customHeight="false" outlineLevel="0" collapsed="false">
      <c r="R1103" s="424"/>
      <c r="S1103" s="424"/>
      <c r="T1103" s="424"/>
      <c r="U1103" s="424"/>
      <c r="V1103" s="424"/>
      <c r="W1103" s="424"/>
      <c r="Y1103" s="424"/>
      <c r="Z1103" s="424"/>
    </row>
    <row r="1104" customFormat="false" ht="15.75" hidden="false" customHeight="false" outlineLevel="0" collapsed="false">
      <c r="R1104" s="424"/>
      <c r="S1104" s="424"/>
      <c r="T1104" s="424"/>
      <c r="U1104" s="424"/>
      <c r="V1104" s="424"/>
      <c r="W1104" s="424"/>
      <c r="Y1104" s="424"/>
      <c r="Z1104" s="424"/>
    </row>
    <row r="1105" customFormat="false" ht="15.75" hidden="false" customHeight="false" outlineLevel="0" collapsed="false">
      <c r="R1105" s="424"/>
      <c r="S1105" s="424"/>
      <c r="T1105" s="424"/>
      <c r="U1105" s="424"/>
      <c r="V1105" s="424"/>
      <c r="W1105" s="424"/>
      <c r="Y1105" s="424"/>
      <c r="Z1105" s="424"/>
    </row>
    <row r="1106" customFormat="false" ht="15.75" hidden="false" customHeight="false" outlineLevel="0" collapsed="false">
      <c r="R1106" s="424"/>
      <c r="S1106" s="424"/>
      <c r="T1106" s="424"/>
      <c r="U1106" s="424"/>
      <c r="V1106" s="424"/>
      <c r="W1106" s="424"/>
      <c r="Y1106" s="424"/>
      <c r="Z1106" s="424"/>
    </row>
    <row r="1107" customFormat="false" ht="15.75" hidden="false" customHeight="false" outlineLevel="0" collapsed="false">
      <c r="R1107" s="424"/>
      <c r="S1107" s="424"/>
      <c r="T1107" s="424"/>
      <c r="U1107" s="424"/>
      <c r="V1107" s="424"/>
      <c r="W1107" s="424"/>
      <c r="Y1107" s="424"/>
      <c r="Z1107" s="424"/>
    </row>
    <row r="1108" customFormat="false" ht="15.75" hidden="false" customHeight="false" outlineLevel="0" collapsed="false">
      <c r="R1108" s="424"/>
      <c r="S1108" s="424"/>
      <c r="T1108" s="424"/>
      <c r="U1108" s="424"/>
      <c r="V1108" s="424"/>
      <c r="W1108" s="424"/>
      <c r="Y1108" s="424"/>
      <c r="Z1108" s="424"/>
    </row>
    <row r="1109" customFormat="false" ht="15.75" hidden="false" customHeight="false" outlineLevel="0" collapsed="false">
      <c r="R1109" s="424"/>
      <c r="S1109" s="424"/>
      <c r="T1109" s="424"/>
      <c r="U1109" s="424"/>
      <c r="V1109" s="424"/>
      <c r="W1109" s="424"/>
      <c r="Y1109" s="424"/>
      <c r="Z1109" s="424"/>
    </row>
    <row r="1110" customFormat="false" ht="15.75" hidden="false" customHeight="false" outlineLevel="0" collapsed="false">
      <c r="R1110" s="424"/>
      <c r="S1110" s="424"/>
      <c r="T1110" s="424"/>
      <c r="U1110" s="424"/>
      <c r="V1110" s="424"/>
      <c r="W1110" s="424"/>
      <c r="Y1110" s="424"/>
      <c r="Z1110" s="424"/>
    </row>
    <row r="1111" customFormat="false" ht="15.75" hidden="false" customHeight="false" outlineLevel="0" collapsed="false">
      <c r="R1111" s="424"/>
      <c r="S1111" s="424"/>
      <c r="T1111" s="424"/>
      <c r="U1111" s="424"/>
      <c r="V1111" s="424"/>
      <c r="W1111" s="424"/>
      <c r="Y1111" s="424"/>
      <c r="Z1111" s="424"/>
    </row>
    <row r="1112" customFormat="false" ht="15.75" hidden="false" customHeight="false" outlineLevel="0" collapsed="false">
      <c r="R1112" s="424"/>
      <c r="S1112" s="424"/>
      <c r="T1112" s="424"/>
      <c r="U1112" s="424"/>
      <c r="V1112" s="424"/>
      <c r="W1112" s="424"/>
      <c r="Y1112" s="424"/>
      <c r="Z1112" s="424"/>
    </row>
    <row r="1113" customFormat="false" ht="15.75" hidden="false" customHeight="false" outlineLevel="0" collapsed="false">
      <c r="R1113" s="424"/>
      <c r="S1113" s="424"/>
      <c r="T1113" s="424"/>
      <c r="U1113" s="424"/>
      <c r="V1113" s="424"/>
      <c r="W1113" s="424"/>
      <c r="Y1113" s="424"/>
      <c r="Z1113" s="424"/>
    </row>
    <row r="1114" customFormat="false" ht="15.75" hidden="false" customHeight="false" outlineLevel="0" collapsed="false">
      <c r="R1114" s="424"/>
      <c r="S1114" s="424"/>
      <c r="T1114" s="424"/>
      <c r="U1114" s="424"/>
      <c r="V1114" s="424"/>
      <c r="W1114" s="424"/>
      <c r="Y1114" s="424"/>
      <c r="Z1114" s="424"/>
    </row>
    <row r="1115" customFormat="false" ht="15.75" hidden="false" customHeight="false" outlineLevel="0" collapsed="false">
      <c r="R1115" s="424"/>
      <c r="S1115" s="424"/>
      <c r="T1115" s="424"/>
      <c r="U1115" s="424"/>
      <c r="V1115" s="424"/>
      <c r="W1115" s="424"/>
      <c r="Y1115" s="424"/>
      <c r="Z1115" s="424"/>
    </row>
    <row r="1116" customFormat="false" ht="15.75" hidden="false" customHeight="false" outlineLevel="0" collapsed="false">
      <c r="R1116" s="424"/>
      <c r="S1116" s="424"/>
      <c r="T1116" s="424"/>
      <c r="U1116" s="424"/>
      <c r="V1116" s="424"/>
      <c r="W1116" s="424"/>
      <c r="Y1116" s="424"/>
      <c r="Z1116" s="424"/>
    </row>
    <row r="1117" customFormat="false" ht="15.75" hidden="false" customHeight="false" outlineLevel="0" collapsed="false">
      <c r="R1117" s="424"/>
      <c r="S1117" s="424"/>
      <c r="T1117" s="424"/>
      <c r="U1117" s="424"/>
      <c r="V1117" s="424"/>
      <c r="W1117" s="424"/>
      <c r="Y1117" s="424"/>
      <c r="Z1117" s="424"/>
    </row>
    <row r="1118" customFormat="false" ht="15.75" hidden="false" customHeight="false" outlineLevel="0" collapsed="false">
      <c r="R1118" s="424"/>
      <c r="S1118" s="424"/>
      <c r="T1118" s="424"/>
      <c r="U1118" s="424"/>
      <c r="V1118" s="424"/>
      <c r="W1118" s="424"/>
      <c r="Y1118" s="424"/>
      <c r="Z1118" s="424"/>
    </row>
    <row r="1119" customFormat="false" ht="15.75" hidden="false" customHeight="false" outlineLevel="0" collapsed="false">
      <c r="R1119" s="424"/>
      <c r="S1119" s="424"/>
      <c r="T1119" s="424"/>
      <c r="U1119" s="424"/>
      <c r="V1119" s="424"/>
      <c r="W1119" s="424"/>
      <c r="Y1119" s="424"/>
      <c r="Z1119" s="424"/>
    </row>
    <row r="1120" customFormat="false" ht="15.75" hidden="false" customHeight="false" outlineLevel="0" collapsed="false">
      <c r="R1120" s="424"/>
      <c r="S1120" s="424"/>
      <c r="T1120" s="424"/>
      <c r="U1120" s="424"/>
      <c r="V1120" s="424"/>
      <c r="W1120" s="424"/>
      <c r="Y1120" s="424"/>
      <c r="Z1120" s="424"/>
    </row>
    <row r="1121" customFormat="false" ht="15.75" hidden="false" customHeight="false" outlineLevel="0" collapsed="false">
      <c r="R1121" s="424"/>
      <c r="S1121" s="424"/>
      <c r="T1121" s="424"/>
      <c r="U1121" s="424"/>
      <c r="V1121" s="424"/>
      <c r="W1121" s="424"/>
      <c r="Y1121" s="424"/>
      <c r="Z1121" s="424"/>
    </row>
    <row r="1122" customFormat="false" ht="15.75" hidden="false" customHeight="false" outlineLevel="0" collapsed="false">
      <c r="R1122" s="424"/>
      <c r="S1122" s="424"/>
      <c r="T1122" s="424"/>
      <c r="U1122" s="424"/>
      <c r="V1122" s="424"/>
      <c r="W1122" s="424"/>
      <c r="Y1122" s="424"/>
      <c r="Z1122" s="424"/>
    </row>
    <row r="1123" customFormat="false" ht="15.75" hidden="false" customHeight="false" outlineLevel="0" collapsed="false">
      <c r="R1123" s="424"/>
      <c r="S1123" s="424"/>
      <c r="T1123" s="424"/>
      <c r="U1123" s="424"/>
      <c r="V1123" s="424"/>
      <c r="W1123" s="424"/>
      <c r="Y1123" s="424"/>
      <c r="Z1123" s="424"/>
    </row>
    <row r="1124" customFormat="false" ht="15.75" hidden="false" customHeight="false" outlineLevel="0" collapsed="false">
      <c r="R1124" s="424"/>
      <c r="S1124" s="424"/>
      <c r="T1124" s="424"/>
      <c r="U1124" s="424"/>
      <c r="V1124" s="424"/>
      <c r="W1124" s="424"/>
      <c r="Y1124" s="424"/>
      <c r="Z1124" s="424"/>
    </row>
    <row r="1125" customFormat="false" ht="15.75" hidden="false" customHeight="false" outlineLevel="0" collapsed="false">
      <c r="R1125" s="424"/>
      <c r="S1125" s="424"/>
      <c r="T1125" s="424"/>
      <c r="U1125" s="424"/>
      <c r="V1125" s="424"/>
      <c r="W1125" s="424"/>
      <c r="Y1125" s="424"/>
      <c r="Z1125" s="424"/>
    </row>
    <row r="1126" customFormat="false" ht="15.75" hidden="false" customHeight="false" outlineLevel="0" collapsed="false">
      <c r="R1126" s="424"/>
      <c r="S1126" s="424"/>
      <c r="T1126" s="424"/>
      <c r="U1126" s="424"/>
      <c r="V1126" s="424"/>
      <c r="W1126" s="424"/>
      <c r="Y1126" s="424"/>
      <c r="Z1126" s="424"/>
    </row>
    <row r="1127" customFormat="false" ht="15.75" hidden="false" customHeight="false" outlineLevel="0" collapsed="false">
      <c r="R1127" s="424"/>
      <c r="S1127" s="424"/>
      <c r="T1127" s="424"/>
      <c r="U1127" s="424"/>
      <c r="V1127" s="424"/>
      <c r="W1127" s="424"/>
      <c r="Y1127" s="424"/>
      <c r="Z1127" s="424"/>
    </row>
    <row r="1128" customFormat="false" ht="15.75" hidden="false" customHeight="false" outlineLevel="0" collapsed="false">
      <c r="R1128" s="424"/>
      <c r="S1128" s="424"/>
      <c r="T1128" s="424"/>
      <c r="U1128" s="424"/>
      <c r="V1128" s="424"/>
      <c r="W1128" s="424"/>
      <c r="Y1128" s="424"/>
      <c r="Z1128" s="424"/>
    </row>
    <row r="1129" customFormat="false" ht="15.75" hidden="false" customHeight="false" outlineLevel="0" collapsed="false">
      <c r="R1129" s="424"/>
      <c r="S1129" s="424"/>
      <c r="T1129" s="424"/>
      <c r="U1129" s="424"/>
      <c r="V1129" s="424"/>
      <c r="W1129" s="424"/>
      <c r="Y1129" s="424"/>
      <c r="Z1129" s="424"/>
    </row>
    <row r="1130" customFormat="false" ht="15.75" hidden="false" customHeight="false" outlineLevel="0" collapsed="false">
      <c r="R1130" s="424"/>
      <c r="S1130" s="424"/>
      <c r="T1130" s="424"/>
      <c r="U1130" s="424"/>
      <c r="V1130" s="424"/>
      <c r="W1130" s="424"/>
      <c r="Y1130" s="424"/>
      <c r="Z1130" s="424"/>
    </row>
    <row r="1131" customFormat="false" ht="15.75" hidden="false" customHeight="false" outlineLevel="0" collapsed="false">
      <c r="R1131" s="424"/>
      <c r="S1131" s="424"/>
      <c r="T1131" s="424"/>
      <c r="U1131" s="424"/>
      <c r="V1131" s="424"/>
      <c r="W1131" s="424"/>
      <c r="Y1131" s="424"/>
      <c r="Z1131" s="424"/>
    </row>
    <row r="1132" customFormat="false" ht="15.75" hidden="false" customHeight="false" outlineLevel="0" collapsed="false">
      <c r="R1132" s="424"/>
      <c r="S1132" s="424"/>
      <c r="T1132" s="424"/>
      <c r="U1132" s="424"/>
      <c r="V1132" s="424"/>
      <c r="W1132" s="424"/>
      <c r="Y1132" s="424"/>
      <c r="Z1132" s="424"/>
    </row>
    <row r="1133" customFormat="false" ht="15.75" hidden="false" customHeight="false" outlineLevel="0" collapsed="false">
      <c r="R1133" s="424"/>
      <c r="S1133" s="424"/>
      <c r="T1133" s="424"/>
      <c r="U1133" s="424"/>
      <c r="V1133" s="424"/>
      <c r="W1133" s="424"/>
      <c r="Y1133" s="424"/>
      <c r="Z1133" s="424"/>
    </row>
    <row r="1134" customFormat="false" ht="15.75" hidden="false" customHeight="false" outlineLevel="0" collapsed="false">
      <c r="R1134" s="424"/>
      <c r="S1134" s="424"/>
      <c r="T1134" s="424"/>
      <c r="U1134" s="424"/>
      <c r="V1134" s="424"/>
      <c r="W1134" s="424"/>
      <c r="Y1134" s="424"/>
      <c r="Z1134" s="424"/>
    </row>
    <row r="1135" customFormat="false" ht="15.75" hidden="false" customHeight="false" outlineLevel="0" collapsed="false">
      <c r="R1135" s="424"/>
      <c r="S1135" s="424"/>
      <c r="T1135" s="424"/>
      <c r="U1135" s="424"/>
      <c r="V1135" s="424"/>
      <c r="W1135" s="424"/>
      <c r="Y1135" s="424"/>
      <c r="Z1135" s="424"/>
    </row>
    <row r="1136" customFormat="false" ht="15.75" hidden="false" customHeight="false" outlineLevel="0" collapsed="false">
      <c r="R1136" s="424"/>
      <c r="S1136" s="424"/>
      <c r="T1136" s="424"/>
      <c r="U1136" s="424"/>
      <c r="V1136" s="424"/>
      <c r="W1136" s="424"/>
      <c r="Y1136" s="424"/>
      <c r="Z1136" s="424"/>
    </row>
    <row r="1137" customFormat="false" ht="15.75" hidden="false" customHeight="false" outlineLevel="0" collapsed="false">
      <c r="R1137" s="424"/>
      <c r="S1137" s="424"/>
      <c r="T1137" s="424"/>
      <c r="U1137" s="424"/>
      <c r="V1137" s="424"/>
      <c r="W1137" s="424"/>
      <c r="Y1137" s="424"/>
      <c r="Z1137" s="424"/>
    </row>
    <row r="1138" customFormat="false" ht="15.75" hidden="false" customHeight="false" outlineLevel="0" collapsed="false">
      <c r="R1138" s="424"/>
      <c r="S1138" s="424"/>
      <c r="T1138" s="424"/>
      <c r="U1138" s="424"/>
      <c r="V1138" s="424"/>
      <c r="W1138" s="424"/>
      <c r="Y1138" s="424"/>
      <c r="Z1138" s="424"/>
    </row>
    <row r="1139" customFormat="false" ht="15.75" hidden="false" customHeight="false" outlineLevel="0" collapsed="false">
      <c r="R1139" s="424"/>
      <c r="S1139" s="424"/>
      <c r="T1139" s="424"/>
      <c r="U1139" s="424"/>
      <c r="V1139" s="424"/>
      <c r="W1139" s="424"/>
      <c r="Y1139" s="424"/>
      <c r="Z1139" s="424"/>
    </row>
    <row r="1140" customFormat="false" ht="15.75" hidden="false" customHeight="false" outlineLevel="0" collapsed="false">
      <c r="R1140" s="424"/>
      <c r="S1140" s="424"/>
      <c r="T1140" s="424"/>
      <c r="U1140" s="424"/>
      <c r="V1140" s="424"/>
      <c r="W1140" s="424"/>
      <c r="Y1140" s="424"/>
      <c r="Z1140" s="424"/>
    </row>
    <row r="1141" customFormat="false" ht="15.75" hidden="false" customHeight="false" outlineLevel="0" collapsed="false">
      <c r="R1141" s="424"/>
      <c r="S1141" s="424"/>
      <c r="T1141" s="424"/>
      <c r="U1141" s="424"/>
      <c r="V1141" s="424"/>
      <c r="W1141" s="424"/>
      <c r="Y1141" s="424"/>
      <c r="Z1141" s="424"/>
    </row>
    <row r="1142" customFormat="false" ht="15.75" hidden="false" customHeight="false" outlineLevel="0" collapsed="false">
      <c r="R1142" s="424"/>
      <c r="S1142" s="424"/>
      <c r="T1142" s="424"/>
      <c r="U1142" s="424"/>
      <c r="V1142" s="424"/>
      <c r="W1142" s="424"/>
      <c r="Y1142" s="424"/>
      <c r="Z1142" s="424"/>
    </row>
    <row r="1143" customFormat="false" ht="15.75" hidden="false" customHeight="false" outlineLevel="0" collapsed="false">
      <c r="R1143" s="424"/>
      <c r="S1143" s="424"/>
      <c r="T1143" s="424"/>
      <c r="U1143" s="424"/>
      <c r="V1143" s="424"/>
      <c r="W1143" s="424"/>
      <c r="Y1143" s="424"/>
      <c r="Z1143" s="424"/>
    </row>
    <row r="1144" customFormat="false" ht="15.75" hidden="false" customHeight="false" outlineLevel="0" collapsed="false">
      <c r="R1144" s="424"/>
      <c r="S1144" s="424"/>
      <c r="T1144" s="424"/>
      <c r="U1144" s="424"/>
      <c r="V1144" s="424"/>
      <c r="W1144" s="424"/>
      <c r="Y1144" s="424"/>
      <c r="Z1144" s="424"/>
    </row>
    <row r="1145" customFormat="false" ht="15.75" hidden="false" customHeight="false" outlineLevel="0" collapsed="false">
      <c r="R1145" s="424"/>
      <c r="S1145" s="424"/>
      <c r="T1145" s="424"/>
      <c r="U1145" s="424"/>
      <c r="V1145" s="424"/>
      <c r="W1145" s="424"/>
      <c r="Y1145" s="424"/>
      <c r="Z1145" s="424"/>
    </row>
    <row r="1146" customFormat="false" ht="15.75" hidden="false" customHeight="false" outlineLevel="0" collapsed="false">
      <c r="R1146" s="424"/>
      <c r="S1146" s="424"/>
      <c r="T1146" s="424"/>
      <c r="U1146" s="424"/>
      <c r="V1146" s="424"/>
      <c r="W1146" s="424"/>
      <c r="Y1146" s="424"/>
      <c r="Z1146" s="424"/>
    </row>
    <row r="1147" customFormat="false" ht="15.75" hidden="false" customHeight="false" outlineLevel="0" collapsed="false">
      <c r="R1147" s="424"/>
      <c r="S1147" s="424"/>
      <c r="T1147" s="424"/>
      <c r="U1147" s="424"/>
      <c r="V1147" s="424"/>
      <c r="W1147" s="424"/>
      <c r="Y1147" s="424"/>
      <c r="Z1147" s="424"/>
    </row>
    <row r="1148" customFormat="false" ht="15.75" hidden="false" customHeight="false" outlineLevel="0" collapsed="false">
      <c r="R1148" s="424"/>
      <c r="S1148" s="424"/>
      <c r="T1148" s="424"/>
      <c r="U1148" s="424"/>
      <c r="V1148" s="424"/>
      <c r="W1148" s="424"/>
      <c r="Y1148" s="424"/>
      <c r="Z1148" s="424"/>
    </row>
    <row r="1149" customFormat="false" ht="15.75" hidden="false" customHeight="false" outlineLevel="0" collapsed="false">
      <c r="R1149" s="424"/>
      <c r="S1149" s="424"/>
      <c r="T1149" s="424"/>
      <c r="U1149" s="424"/>
      <c r="V1149" s="424"/>
      <c r="W1149" s="424"/>
      <c r="Y1149" s="424"/>
      <c r="Z1149" s="424"/>
    </row>
    <row r="1150" customFormat="false" ht="15.75" hidden="false" customHeight="false" outlineLevel="0" collapsed="false">
      <c r="R1150" s="424"/>
      <c r="S1150" s="424"/>
      <c r="T1150" s="424"/>
      <c r="U1150" s="424"/>
      <c r="V1150" s="424"/>
      <c r="W1150" s="424"/>
      <c r="Y1150" s="424"/>
      <c r="Z1150" s="424"/>
    </row>
    <row r="1151" customFormat="false" ht="15.75" hidden="false" customHeight="false" outlineLevel="0" collapsed="false">
      <c r="R1151" s="424"/>
      <c r="S1151" s="424"/>
      <c r="T1151" s="424"/>
      <c r="U1151" s="424"/>
      <c r="V1151" s="424"/>
      <c r="W1151" s="424"/>
      <c r="Y1151" s="424"/>
      <c r="Z1151" s="424"/>
    </row>
    <row r="1152" customFormat="false" ht="15.75" hidden="false" customHeight="false" outlineLevel="0" collapsed="false">
      <c r="R1152" s="424"/>
      <c r="S1152" s="424"/>
      <c r="T1152" s="424"/>
      <c r="U1152" s="424"/>
      <c r="V1152" s="424"/>
      <c r="W1152" s="424"/>
      <c r="Y1152" s="424"/>
      <c r="Z1152" s="424"/>
    </row>
    <row r="1153" customFormat="false" ht="15.75" hidden="false" customHeight="false" outlineLevel="0" collapsed="false">
      <c r="R1153" s="424"/>
      <c r="S1153" s="424"/>
      <c r="T1153" s="424"/>
      <c r="U1153" s="424"/>
      <c r="V1153" s="424"/>
      <c r="W1153" s="424"/>
      <c r="Y1153" s="424"/>
      <c r="Z1153" s="424"/>
    </row>
    <row r="1154" customFormat="false" ht="15.75" hidden="false" customHeight="false" outlineLevel="0" collapsed="false">
      <c r="R1154" s="424"/>
      <c r="S1154" s="424"/>
      <c r="T1154" s="424"/>
      <c r="U1154" s="424"/>
      <c r="V1154" s="424"/>
      <c r="W1154" s="424"/>
      <c r="Y1154" s="424"/>
      <c r="Z1154" s="424"/>
    </row>
    <row r="1155" customFormat="false" ht="15.75" hidden="false" customHeight="false" outlineLevel="0" collapsed="false">
      <c r="R1155" s="424"/>
      <c r="S1155" s="424"/>
      <c r="T1155" s="424"/>
      <c r="U1155" s="424"/>
      <c r="V1155" s="424"/>
      <c r="W1155" s="424"/>
      <c r="Y1155" s="424"/>
      <c r="Z1155" s="424"/>
    </row>
    <row r="1156" customFormat="false" ht="15.75" hidden="false" customHeight="false" outlineLevel="0" collapsed="false">
      <c r="R1156" s="424"/>
      <c r="S1156" s="424"/>
      <c r="T1156" s="424"/>
      <c r="U1156" s="424"/>
      <c r="V1156" s="424"/>
      <c r="W1156" s="424"/>
      <c r="Y1156" s="424"/>
      <c r="Z1156" s="424"/>
    </row>
    <row r="1157" customFormat="false" ht="15.75" hidden="false" customHeight="false" outlineLevel="0" collapsed="false">
      <c r="R1157" s="424"/>
      <c r="S1157" s="424"/>
      <c r="T1157" s="424"/>
      <c r="U1157" s="424"/>
      <c r="V1157" s="424"/>
      <c r="W1157" s="424"/>
      <c r="Y1157" s="424"/>
      <c r="Z1157" s="424"/>
    </row>
    <row r="1158" customFormat="false" ht="15.75" hidden="false" customHeight="false" outlineLevel="0" collapsed="false">
      <c r="R1158" s="424"/>
      <c r="S1158" s="424"/>
      <c r="T1158" s="424"/>
      <c r="U1158" s="424"/>
      <c r="V1158" s="424"/>
      <c r="W1158" s="424"/>
      <c r="Y1158" s="424"/>
      <c r="Z1158" s="424"/>
    </row>
    <row r="1159" customFormat="false" ht="15.75" hidden="false" customHeight="false" outlineLevel="0" collapsed="false">
      <c r="R1159" s="424"/>
      <c r="S1159" s="424"/>
      <c r="T1159" s="424"/>
      <c r="U1159" s="424"/>
      <c r="V1159" s="424"/>
      <c r="W1159" s="424"/>
      <c r="Y1159" s="424"/>
      <c r="Z1159" s="424"/>
    </row>
    <row r="1160" customFormat="false" ht="15.75" hidden="false" customHeight="false" outlineLevel="0" collapsed="false">
      <c r="R1160" s="424"/>
      <c r="S1160" s="424"/>
      <c r="T1160" s="424"/>
      <c r="U1160" s="424"/>
      <c r="V1160" s="424"/>
      <c r="W1160" s="424"/>
      <c r="Y1160" s="424"/>
      <c r="Z1160" s="424"/>
    </row>
    <row r="1161" customFormat="false" ht="15.75" hidden="false" customHeight="false" outlineLevel="0" collapsed="false">
      <c r="R1161" s="424"/>
      <c r="S1161" s="424"/>
      <c r="T1161" s="424"/>
      <c r="U1161" s="424"/>
      <c r="V1161" s="424"/>
      <c r="W1161" s="424"/>
      <c r="Y1161" s="424"/>
      <c r="Z1161" s="424"/>
    </row>
    <row r="1162" customFormat="false" ht="15.75" hidden="false" customHeight="false" outlineLevel="0" collapsed="false">
      <c r="R1162" s="424"/>
      <c r="S1162" s="424"/>
      <c r="T1162" s="424"/>
      <c r="U1162" s="424"/>
      <c r="V1162" s="424"/>
      <c r="W1162" s="424"/>
      <c r="Y1162" s="424"/>
      <c r="Z1162" s="424"/>
    </row>
    <row r="1163" customFormat="false" ht="15.75" hidden="false" customHeight="false" outlineLevel="0" collapsed="false">
      <c r="R1163" s="424"/>
      <c r="S1163" s="424"/>
      <c r="T1163" s="424"/>
      <c r="U1163" s="424"/>
      <c r="V1163" s="424"/>
      <c r="W1163" s="424"/>
      <c r="Y1163" s="424"/>
      <c r="Z1163" s="424"/>
    </row>
    <row r="1164" customFormat="false" ht="15.75" hidden="false" customHeight="false" outlineLevel="0" collapsed="false">
      <c r="R1164" s="424"/>
      <c r="S1164" s="424"/>
      <c r="T1164" s="424"/>
      <c r="U1164" s="424"/>
      <c r="V1164" s="424"/>
      <c r="W1164" s="424"/>
      <c r="Y1164" s="424"/>
      <c r="Z1164" s="424"/>
    </row>
    <row r="1165" customFormat="false" ht="15.75" hidden="false" customHeight="false" outlineLevel="0" collapsed="false">
      <c r="R1165" s="424"/>
      <c r="S1165" s="424"/>
      <c r="T1165" s="424"/>
      <c r="U1165" s="424"/>
      <c r="V1165" s="424"/>
      <c r="W1165" s="424"/>
      <c r="Y1165" s="424"/>
      <c r="Z1165" s="424"/>
    </row>
    <row r="1166" customFormat="false" ht="15.75" hidden="false" customHeight="false" outlineLevel="0" collapsed="false">
      <c r="R1166" s="424"/>
      <c r="S1166" s="424"/>
      <c r="T1166" s="424"/>
      <c r="U1166" s="424"/>
      <c r="V1166" s="424"/>
      <c r="W1166" s="424"/>
      <c r="Y1166" s="424"/>
      <c r="Z1166" s="424"/>
    </row>
    <row r="1167" customFormat="false" ht="15.75" hidden="false" customHeight="false" outlineLevel="0" collapsed="false">
      <c r="R1167" s="424"/>
      <c r="S1167" s="424"/>
      <c r="T1167" s="424"/>
      <c r="U1167" s="424"/>
      <c r="V1167" s="424"/>
      <c r="W1167" s="424"/>
      <c r="Y1167" s="424"/>
      <c r="Z1167" s="424"/>
    </row>
    <row r="1168" customFormat="false" ht="15.75" hidden="false" customHeight="false" outlineLevel="0" collapsed="false">
      <c r="R1168" s="424"/>
      <c r="S1168" s="424"/>
      <c r="T1168" s="424"/>
      <c r="U1168" s="424"/>
      <c r="V1168" s="424"/>
      <c r="W1168" s="424"/>
      <c r="Y1168" s="424"/>
      <c r="Z1168" s="424"/>
    </row>
    <row r="1169" customFormat="false" ht="15.75" hidden="false" customHeight="false" outlineLevel="0" collapsed="false">
      <c r="R1169" s="424"/>
      <c r="S1169" s="424"/>
      <c r="T1169" s="424"/>
      <c r="U1169" s="424"/>
      <c r="V1169" s="424"/>
      <c r="W1169" s="424"/>
      <c r="Y1169" s="424"/>
      <c r="Z1169" s="424"/>
    </row>
    <row r="1170" customFormat="false" ht="15.75" hidden="false" customHeight="false" outlineLevel="0" collapsed="false">
      <c r="R1170" s="424"/>
      <c r="S1170" s="424"/>
      <c r="T1170" s="424"/>
      <c r="U1170" s="424"/>
      <c r="V1170" s="424"/>
      <c r="W1170" s="424"/>
      <c r="Y1170" s="424"/>
      <c r="Z1170" s="424"/>
    </row>
    <row r="1171" customFormat="false" ht="15.75" hidden="false" customHeight="false" outlineLevel="0" collapsed="false">
      <c r="R1171" s="424"/>
      <c r="S1171" s="424"/>
      <c r="T1171" s="424"/>
      <c r="U1171" s="424"/>
      <c r="V1171" s="424"/>
      <c r="W1171" s="424"/>
      <c r="Y1171" s="424"/>
      <c r="Z1171" s="424"/>
    </row>
    <row r="1172" customFormat="false" ht="15.75" hidden="false" customHeight="false" outlineLevel="0" collapsed="false">
      <c r="R1172" s="424"/>
      <c r="S1172" s="424"/>
      <c r="T1172" s="424"/>
      <c r="U1172" s="424"/>
      <c r="V1172" s="424"/>
      <c r="W1172" s="424"/>
      <c r="Y1172" s="424"/>
      <c r="Z1172" s="424"/>
    </row>
    <row r="1173" customFormat="false" ht="15.75" hidden="false" customHeight="false" outlineLevel="0" collapsed="false">
      <c r="R1173" s="424"/>
      <c r="S1173" s="424"/>
      <c r="T1173" s="424"/>
      <c r="U1173" s="424"/>
      <c r="V1173" s="424"/>
      <c r="W1173" s="424"/>
      <c r="Y1173" s="424"/>
      <c r="Z1173" s="424"/>
    </row>
    <row r="1174" customFormat="false" ht="15.75" hidden="false" customHeight="false" outlineLevel="0" collapsed="false">
      <c r="R1174" s="424"/>
      <c r="S1174" s="424"/>
      <c r="T1174" s="424"/>
      <c r="U1174" s="424"/>
      <c r="V1174" s="424"/>
      <c r="W1174" s="424"/>
      <c r="Y1174" s="424"/>
      <c r="Z1174" s="424"/>
    </row>
    <row r="1175" customFormat="false" ht="15.75" hidden="false" customHeight="false" outlineLevel="0" collapsed="false">
      <c r="R1175" s="424"/>
      <c r="S1175" s="424"/>
      <c r="T1175" s="424"/>
      <c r="U1175" s="424"/>
      <c r="V1175" s="424"/>
      <c r="W1175" s="424"/>
      <c r="Y1175" s="424"/>
      <c r="Z1175" s="424"/>
    </row>
    <row r="1176" customFormat="false" ht="15.75" hidden="false" customHeight="false" outlineLevel="0" collapsed="false">
      <c r="R1176" s="424"/>
      <c r="S1176" s="424"/>
      <c r="T1176" s="424"/>
      <c r="U1176" s="424"/>
      <c r="V1176" s="424"/>
      <c r="W1176" s="424"/>
      <c r="Y1176" s="424"/>
      <c r="Z1176" s="424"/>
    </row>
    <row r="1177" customFormat="false" ht="15.75" hidden="false" customHeight="false" outlineLevel="0" collapsed="false">
      <c r="R1177" s="424"/>
      <c r="S1177" s="424"/>
      <c r="T1177" s="424"/>
      <c r="U1177" s="424"/>
      <c r="V1177" s="424"/>
      <c r="W1177" s="424"/>
      <c r="Y1177" s="424"/>
      <c r="Z1177" s="424"/>
    </row>
    <row r="1178" customFormat="false" ht="15.75" hidden="false" customHeight="false" outlineLevel="0" collapsed="false">
      <c r="R1178" s="424"/>
      <c r="S1178" s="424"/>
      <c r="T1178" s="424"/>
      <c r="U1178" s="424"/>
      <c r="V1178" s="424"/>
      <c r="W1178" s="424"/>
      <c r="Y1178" s="424"/>
      <c r="Z1178" s="424"/>
    </row>
    <row r="1179" customFormat="false" ht="15.75" hidden="false" customHeight="false" outlineLevel="0" collapsed="false">
      <c r="R1179" s="424"/>
      <c r="S1179" s="424"/>
      <c r="T1179" s="424"/>
      <c r="U1179" s="424"/>
      <c r="V1179" s="424"/>
      <c r="W1179" s="424"/>
      <c r="Y1179" s="424"/>
      <c r="Z1179" s="424"/>
    </row>
    <row r="1180" customFormat="false" ht="15.75" hidden="false" customHeight="false" outlineLevel="0" collapsed="false">
      <c r="R1180" s="424"/>
      <c r="S1180" s="424"/>
      <c r="T1180" s="424"/>
      <c r="U1180" s="424"/>
      <c r="V1180" s="424"/>
      <c r="W1180" s="424"/>
      <c r="Y1180" s="424"/>
      <c r="Z1180" s="424"/>
    </row>
    <row r="1181" customFormat="false" ht="15.75" hidden="false" customHeight="false" outlineLevel="0" collapsed="false">
      <c r="R1181" s="424"/>
      <c r="S1181" s="424"/>
      <c r="T1181" s="424"/>
      <c r="U1181" s="424"/>
      <c r="V1181" s="424"/>
      <c r="W1181" s="424"/>
      <c r="Y1181" s="424"/>
      <c r="Z1181" s="424"/>
    </row>
    <row r="1182" customFormat="false" ht="15.75" hidden="false" customHeight="false" outlineLevel="0" collapsed="false">
      <c r="R1182" s="424"/>
      <c r="S1182" s="424"/>
      <c r="T1182" s="424"/>
      <c r="U1182" s="424"/>
      <c r="V1182" s="424"/>
      <c r="W1182" s="424"/>
      <c r="Y1182" s="424"/>
      <c r="Z1182" s="424"/>
    </row>
    <row r="1183" customFormat="false" ht="15.75" hidden="false" customHeight="false" outlineLevel="0" collapsed="false">
      <c r="R1183" s="424"/>
      <c r="S1183" s="424"/>
      <c r="T1183" s="424"/>
      <c r="U1183" s="424"/>
      <c r="V1183" s="424"/>
      <c r="W1183" s="424"/>
      <c r="Y1183" s="424"/>
      <c r="Z1183" s="424"/>
    </row>
    <row r="1184" customFormat="false" ht="15.75" hidden="false" customHeight="false" outlineLevel="0" collapsed="false">
      <c r="R1184" s="424"/>
      <c r="S1184" s="424"/>
      <c r="T1184" s="424"/>
      <c r="U1184" s="424"/>
      <c r="V1184" s="424"/>
      <c r="W1184" s="424"/>
      <c r="Y1184" s="424"/>
      <c r="Z1184" s="424"/>
    </row>
    <row r="1185" customFormat="false" ht="15.75" hidden="false" customHeight="false" outlineLevel="0" collapsed="false">
      <c r="R1185" s="424"/>
      <c r="S1185" s="424"/>
      <c r="T1185" s="424"/>
      <c r="U1185" s="424"/>
      <c r="V1185" s="424"/>
      <c r="W1185" s="424"/>
      <c r="Y1185" s="424"/>
      <c r="Z1185" s="424"/>
    </row>
    <row r="1186" customFormat="false" ht="15.75" hidden="false" customHeight="false" outlineLevel="0" collapsed="false">
      <c r="R1186" s="424"/>
      <c r="S1186" s="424"/>
      <c r="T1186" s="424"/>
      <c r="U1186" s="424"/>
      <c r="V1186" s="424"/>
      <c r="W1186" s="424"/>
      <c r="Y1186" s="424"/>
      <c r="Z1186" s="424"/>
    </row>
    <row r="1187" customFormat="false" ht="15.75" hidden="false" customHeight="false" outlineLevel="0" collapsed="false">
      <c r="R1187" s="424"/>
      <c r="S1187" s="424"/>
      <c r="T1187" s="424"/>
      <c r="U1187" s="424"/>
      <c r="V1187" s="424"/>
      <c r="W1187" s="424"/>
      <c r="Y1187" s="424"/>
      <c r="Z1187" s="424"/>
    </row>
    <row r="1188" customFormat="false" ht="15.75" hidden="false" customHeight="false" outlineLevel="0" collapsed="false">
      <c r="R1188" s="424"/>
      <c r="S1188" s="424"/>
      <c r="T1188" s="424"/>
      <c r="U1188" s="424"/>
      <c r="V1188" s="424"/>
      <c r="W1188" s="424"/>
      <c r="Y1188" s="424"/>
      <c r="Z1188" s="424"/>
    </row>
    <row r="1189" customFormat="false" ht="15.75" hidden="false" customHeight="false" outlineLevel="0" collapsed="false">
      <c r="R1189" s="424"/>
      <c r="S1189" s="424"/>
      <c r="T1189" s="424"/>
      <c r="U1189" s="424"/>
      <c r="V1189" s="424"/>
      <c r="W1189" s="424"/>
      <c r="Y1189" s="424"/>
      <c r="Z1189" s="424"/>
    </row>
    <row r="1190" customFormat="false" ht="15.75" hidden="false" customHeight="false" outlineLevel="0" collapsed="false">
      <c r="R1190" s="424"/>
      <c r="S1190" s="424"/>
      <c r="T1190" s="424"/>
      <c r="U1190" s="424"/>
      <c r="V1190" s="424"/>
      <c r="W1190" s="424"/>
      <c r="Y1190" s="424"/>
      <c r="Z1190" s="424"/>
    </row>
    <row r="1191" customFormat="false" ht="15.75" hidden="false" customHeight="false" outlineLevel="0" collapsed="false">
      <c r="R1191" s="424"/>
      <c r="S1191" s="424"/>
      <c r="T1191" s="424"/>
      <c r="U1191" s="424"/>
      <c r="V1191" s="424"/>
      <c r="W1191" s="424"/>
      <c r="Y1191" s="424"/>
      <c r="Z1191" s="424"/>
    </row>
    <row r="1192" customFormat="false" ht="15.75" hidden="false" customHeight="false" outlineLevel="0" collapsed="false">
      <c r="R1192" s="424"/>
      <c r="S1192" s="424"/>
      <c r="T1192" s="424"/>
      <c r="U1192" s="424"/>
      <c r="V1192" s="424"/>
      <c r="W1192" s="424"/>
      <c r="Y1192" s="424"/>
      <c r="Z1192" s="424"/>
    </row>
    <row r="1193" customFormat="false" ht="15.75" hidden="false" customHeight="false" outlineLevel="0" collapsed="false">
      <c r="R1193" s="424"/>
      <c r="S1193" s="424"/>
      <c r="T1193" s="424"/>
      <c r="U1193" s="424"/>
      <c r="V1193" s="424"/>
      <c r="W1193" s="424"/>
      <c r="Y1193" s="424"/>
      <c r="Z1193" s="424"/>
    </row>
    <row r="1194" customFormat="false" ht="15.75" hidden="false" customHeight="false" outlineLevel="0" collapsed="false">
      <c r="R1194" s="424"/>
      <c r="S1194" s="424"/>
      <c r="T1194" s="424"/>
      <c r="U1194" s="424"/>
      <c r="V1194" s="424"/>
      <c r="W1194" s="424"/>
      <c r="Y1194" s="424"/>
      <c r="Z1194" s="424"/>
    </row>
    <row r="1195" customFormat="false" ht="15.75" hidden="false" customHeight="false" outlineLevel="0" collapsed="false">
      <c r="R1195" s="424"/>
      <c r="S1195" s="424"/>
      <c r="T1195" s="424"/>
      <c r="U1195" s="424"/>
      <c r="V1195" s="424"/>
      <c r="W1195" s="424"/>
      <c r="Y1195" s="424"/>
      <c r="Z1195" s="424"/>
    </row>
    <row r="1196" customFormat="false" ht="15.75" hidden="false" customHeight="false" outlineLevel="0" collapsed="false">
      <c r="R1196" s="424"/>
      <c r="S1196" s="424"/>
      <c r="T1196" s="424"/>
      <c r="U1196" s="424"/>
      <c r="V1196" s="424"/>
      <c r="W1196" s="424"/>
      <c r="Y1196" s="424"/>
      <c r="Z1196" s="424"/>
    </row>
    <row r="1197" customFormat="false" ht="15.75" hidden="false" customHeight="false" outlineLevel="0" collapsed="false">
      <c r="R1197" s="424"/>
      <c r="S1197" s="424"/>
      <c r="T1197" s="424"/>
      <c r="U1197" s="424"/>
      <c r="V1197" s="424"/>
      <c r="W1197" s="424"/>
      <c r="Y1197" s="424"/>
      <c r="Z1197" s="424"/>
    </row>
    <row r="1198" customFormat="false" ht="15.75" hidden="false" customHeight="false" outlineLevel="0" collapsed="false">
      <c r="R1198" s="424"/>
      <c r="S1198" s="424"/>
      <c r="T1198" s="424"/>
      <c r="U1198" s="424"/>
      <c r="V1198" s="424"/>
      <c r="W1198" s="424"/>
      <c r="Y1198" s="424"/>
      <c r="Z1198" s="424"/>
    </row>
    <row r="1199" customFormat="false" ht="15.75" hidden="false" customHeight="false" outlineLevel="0" collapsed="false">
      <c r="R1199" s="424"/>
      <c r="S1199" s="424"/>
      <c r="T1199" s="424"/>
      <c r="U1199" s="424"/>
      <c r="V1199" s="424"/>
      <c r="W1199" s="424"/>
      <c r="Y1199" s="424"/>
      <c r="Z1199" s="424"/>
    </row>
    <row r="1200" customFormat="false" ht="15.75" hidden="false" customHeight="false" outlineLevel="0" collapsed="false">
      <c r="R1200" s="424"/>
      <c r="S1200" s="424"/>
      <c r="T1200" s="424"/>
      <c r="U1200" s="424"/>
      <c r="V1200" s="424"/>
      <c r="W1200" s="424"/>
      <c r="Y1200" s="424"/>
      <c r="Z1200" s="424"/>
    </row>
    <row r="1201" customFormat="false" ht="15.75" hidden="false" customHeight="false" outlineLevel="0" collapsed="false">
      <c r="R1201" s="424"/>
      <c r="S1201" s="424"/>
      <c r="T1201" s="424"/>
      <c r="U1201" s="424"/>
      <c r="V1201" s="424"/>
      <c r="W1201" s="424"/>
      <c r="Y1201" s="424"/>
      <c r="Z1201" s="424"/>
    </row>
    <row r="1202" customFormat="false" ht="15.75" hidden="false" customHeight="false" outlineLevel="0" collapsed="false">
      <c r="R1202" s="424"/>
      <c r="S1202" s="424"/>
      <c r="T1202" s="424"/>
      <c r="U1202" s="424"/>
      <c r="V1202" s="424"/>
      <c r="W1202" s="424"/>
      <c r="Y1202" s="424"/>
      <c r="Z1202" s="424"/>
    </row>
    <row r="1203" customFormat="false" ht="15.75" hidden="false" customHeight="false" outlineLevel="0" collapsed="false">
      <c r="R1203" s="424"/>
      <c r="S1203" s="424"/>
      <c r="T1203" s="424"/>
      <c r="U1203" s="424"/>
      <c r="V1203" s="424"/>
      <c r="W1203" s="424"/>
      <c r="Y1203" s="424"/>
      <c r="Z1203" s="424"/>
    </row>
    <row r="1204" customFormat="false" ht="15.75" hidden="false" customHeight="false" outlineLevel="0" collapsed="false">
      <c r="R1204" s="424"/>
      <c r="S1204" s="424"/>
      <c r="T1204" s="424"/>
      <c r="U1204" s="424"/>
      <c r="V1204" s="424"/>
      <c r="W1204" s="424"/>
      <c r="Y1204" s="424"/>
      <c r="Z1204" s="424"/>
    </row>
    <row r="1205" customFormat="false" ht="15.75" hidden="false" customHeight="false" outlineLevel="0" collapsed="false">
      <c r="R1205" s="424"/>
      <c r="S1205" s="424"/>
      <c r="T1205" s="424"/>
      <c r="U1205" s="424"/>
      <c r="V1205" s="424"/>
      <c r="W1205" s="424"/>
      <c r="Y1205" s="424"/>
      <c r="Z1205" s="424"/>
    </row>
    <row r="1206" customFormat="false" ht="15.75" hidden="false" customHeight="false" outlineLevel="0" collapsed="false">
      <c r="R1206" s="424"/>
      <c r="S1206" s="424"/>
      <c r="T1206" s="424"/>
      <c r="U1206" s="424"/>
      <c r="V1206" s="424"/>
      <c r="W1206" s="424"/>
      <c r="Y1206" s="424"/>
      <c r="Z1206" s="424"/>
    </row>
    <row r="1207" customFormat="false" ht="15.75" hidden="false" customHeight="false" outlineLevel="0" collapsed="false">
      <c r="R1207" s="424"/>
      <c r="S1207" s="424"/>
      <c r="T1207" s="424"/>
      <c r="U1207" s="424"/>
      <c r="V1207" s="424"/>
      <c r="W1207" s="424"/>
      <c r="Y1207" s="424"/>
      <c r="Z1207" s="424"/>
    </row>
    <row r="1208" customFormat="false" ht="15.75" hidden="false" customHeight="false" outlineLevel="0" collapsed="false">
      <c r="R1208" s="424"/>
      <c r="S1208" s="424"/>
      <c r="T1208" s="424"/>
      <c r="U1208" s="424"/>
      <c r="V1208" s="424"/>
      <c r="W1208" s="424"/>
      <c r="Y1208" s="424"/>
      <c r="Z1208" s="424"/>
    </row>
    <row r="1209" customFormat="false" ht="15.75" hidden="false" customHeight="false" outlineLevel="0" collapsed="false">
      <c r="R1209" s="424"/>
      <c r="S1209" s="424"/>
      <c r="T1209" s="424"/>
      <c r="U1209" s="424"/>
      <c r="V1209" s="424"/>
      <c r="W1209" s="424"/>
      <c r="Y1209" s="424"/>
      <c r="Z1209" s="424"/>
    </row>
    <row r="1210" customFormat="false" ht="15.75" hidden="false" customHeight="false" outlineLevel="0" collapsed="false">
      <c r="R1210" s="424"/>
      <c r="S1210" s="424"/>
      <c r="T1210" s="424"/>
      <c r="U1210" s="424"/>
      <c r="V1210" s="424"/>
      <c r="W1210" s="424"/>
      <c r="Y1210" s="424"/>
      <c r="Z1210" s="424"/>
    </row>
    <row r="1211" customFormat="false" ht="15.75" hidden="false" customHeight="false" outlineLevel="0" collapsed="false">
      <c r="R1211" s="424"/>
      <c r="S1211" s="424"/>
      <c r="T1211" s="424"/>
      <c r="U1211" s="424"/>
      <c r="V1211" s="424"/>
      <c r="W1211" s="424"/>
      <c r="Y1211" s="424"/>
      <c r="Z1211" s="424"/>
    </row>
    <row r="1212" customFormat="false" ht="15.75" hidden="false" customHeight="false" outlineLevel="0" collapsed="false">
      <c r="R1212" s="424"/>
      <c r="S1212" s="424"/>
      <c r="T1212" s="424"/>
      <c r="U1212" s="424"/>
      <c r="V1212" s="424"/>
      <c r="W1212" s="424"/>
      <c r="Y1212" s="424"/>
      <c r="Z1212" s="424"/>
    </row>
    <row r="1213" customFormat="false" ht="15.75" hidden="false" customHeight="false" outlineLevel="0" collapsed="false">
      <c r="R1213" s="424"/>
      <c r="S1213" s="424"/>
      <c r="T1213" s="424"/>
      <c r="U1213" s="424"/>
      <c r="V1213" s="424"/>
      <c r="W1213" s="424"/>
      <c r="Y1213" s="424"/>
      <c r="Z1213" s="424"/>
    </row>
    <row r="1214" customFormat="false" ht="15.75" hidden="false" customHeight="false" outlineLevel="0" collapsed="false">
      <c r="R1214" s="424"/>
      <c r="S1214" s="424"/>
      <c r="T1214" s="424"/>
      <c r="U1214" s="424"/>
      <c r="V1214" s="424"/>
      <c r="W1214" s="424"/>
      <c r="Y1214" s="424"/>
      <c r="Z1214" s="424"/>
    </row>
    <row r="1215" customFormat="false" ht="15.75" hidden="false" customHeight="false" outlineLevel="0" collapsed="false">
      <c r="R1215" s="424"/>
      <c r="S1215" s="424"/>
      <c r="T1215" s="424"/>
      <c r="U1215" s="424"/>
      <c r="V1215" s="424"/>
      <c r="W1215" s="424"/>
      <c r="Y1215" s="424"/>
      <c r="Z1215" s="424"/>
    </row>
    <row r="1216" customFormat="false" ht="15.75" hidden="false" customHeight="false" outlineLevel="0" collapsed="false">
      <c r="R1216" s="424"/>
      <c r="S1216" s="424"/>
      <c r="T1216" s="424"/>
      <c r="U1216" s="424"/>
      <c r="V1216" s="424"/>
      <c r="W1216" s="424"/>
      <c r="Y1216" s="424"/>
      <c r="Z1216" s="424"/>
    </row>
    <row r="1217" customFormat="false" ht="15.75" hidden="false" customHeight="false" outlineLevel="0" collapsed="false">
      <c r="R1217" s="424"/>
      <c r="S1217" s="424"/>
      <c r="T1217" s="424"/>
      <c r="U1217" s="424"/>
      <c r="V1217" s="424"/>
      <c r="W1217" s="424"/>
      <c r="Y1217" s="424"/>
      <c r="Z1217" s="424"/>
    </row>
    <row r="1218" customFormat="false" ht="15.75" hidden="false" customHeight="false" outlineLevel="0" collapsed="false">
      <c r="R1218" s="424"/>
      <c r="S1218" s="424"/>
      <c r="T1218" s="424"/>
      <c r="U1218" s="424"/>
      <c r="V1218" s="424"/>
      <c r="W1218" s="424"/>
      <c r="Y1218" s="424"/>
      <c r="Z1218" s="424"/>
    </row>
    <row r="1219" customFormat="false" ht="15.75" hidden="false" customHeight="false" outlineLevel="0" collapsed="false">
      <c r="R1219" s="424"/>
      <c r="S1219" s="424"/>
      <c r="T1219" s="424"/>
      <c r="U1219" s="424"/>
      <c r="V1219" s="424"/>
      <c r="W1219" s="424"/>
      <c r="Y1219" s="424"/>
      <c r="Z1219" s="424"/>
    </row>
    <row r="1220" customFormat="false" ht="15.75" hidden="false" customHeight="false" outlineLevel="0" collapsed="false">
      <c r="R1220" s="424"/>
      <c r="S1220" s="424"/>
      <c r="T1220" s="424"/>
      <c r="U1220" s="424"/>
      <c r="V1220" s="424"/>
      <c r="W1220" s="424"/>
      <c r="Y1220" s="424"/>
      <c r="Z1220" s="424"/>
    </row>
    <row r="1221" customFormat="false" ht="15.75" hidden="false" customHeight="false" outlineLevel="0" collapsed="false">
      <c r="R1221" s="424"/>
      <c r="S1221" s="424"/>
      <c r="T1221" s="424"/>
      <c r="U1221" s="424"/>
      <c r="V1221" s="424"/>
      <c r="W1221" s="424"/>
      <c r="Y1221" s="424"/>
      <c r="Z1221" s="424"/>
    </row>
    <row r="1222" customFormat="false" ht="15.75" hidden="false" customHeight="false" outlineLevel="0" collapsed="false">
      <c r="R1222" s="424"/>
      <c r="S1222" s="424"/>
      <c r="T1222" s="424"/>
      <c r="U1222" s="424"/>
      <c r="V1222" s="424"/>
      <c r="W1222" s="424"/>
      <c r="Y1222" s="424"/>
      <c r="Z1222" s="424"/>
    </row>
    <row r="1223" customFormat="false" ht="15.75" hidden="false" customHeight="false" outlineLevel="0" collapsed="false">
      <c r="R1223" s="424"/>
      <c r="S1223" s="424"/>
      <c r="T1223" s="424"/>
      <c r="U1223" s="424"/>
      <c r="V1223" s="424"/>
      <c r="W1223" s="424"/>
      <c r="Y1223" s="424"/>
      <c r="Z1223" s="424"/>
    </row>
    <row r="1224" customFormat="false" ht="15.75" hidden="false" customHeight="false" outlineLevel="0" collapsed="false">
      <c r="R1224" s="424"/>
      <c r="S1224" s="424"/>
      <c r="T1224" s="424"/>
      <c r="U1224" s="424"/>
      <c r="V1224" s="424"/>
      <c r="W1224" s="424"/>
      <c r="Y1224" s="424"/>
      <c r="Z1224" s="424"/>
    </row>
    <row r="1225" customFormat="false" ht="15.75" hidden="false" customHeight="false" outlineLevel="0" collapsed="false">
      <c r="R1225" s="424"/>
      <c r="S1225" s="424"/>
      <c r="T1225" s="424"/>
      <c r="U1225" s="424"/>
      <c r="V1225" s="424"/>
      <c r="W1225" s="424"/>
      <c r="Y1225" s="424"/>
      <c r="Z1225" s="424"/>
    </row>
    <row r="1226" customFormat="false" ht="15.75" hidden="false" customHeight="false" outlineLevel="0" collapsed="false">
      <c r="R1226" s="424"/>
      <c r="S1226" s="424"/>
      <c r="T1226" s="424"/>
      <c r="U1226" s="424"/>
      <c r="V1226" s="424"/>
      <c r="W1226" s="424"/>
      <c r="Y1226" s="424"/>
      <c r="Z1226" s="424"/>
    </row>
    <row r="1227" customFormat="false" ht="15.75" hidden="false" customHeight="false" outlineLevel="0" collapsed="false">
      <c r="R1227" s="424"/>
      <c r="S1227" s="424"/>
      <c r="T1227" s="424"/>
      <c r="U1227" s="424"/>
      <c r="V1227" s="424"/>
      <c r="W1227" s="424"/>
      <c r="Y1227" s="424"/>
      <c r="Z1227" s="424"/>
    </row>
    <row r="1228" customFormat="false" ht="15.75" hidden="false" customHeight="false" outlineLevel="0" collapsed="false">
      <c r="R1228" s="424"/>
      <c r="S1228" s="424"/>
      <c r="T1228" s="424"/>
      <c r="U1228" s="424"/>
      <c r="V1228" s="424"/>
      <c r="W1228" s="424"/>
      <c r="Y1228" s="424"/>
      <c r="Z1228" s="424"/>
    </row>
    <row r="1229" customFormat="false" ht="15.75" hidden="false" customHeight="false" outlineLevel="0" collapsed="false">
      <c r="R1229" s="424"/>
      <c r="S1229" s="424"/>
      <c r="T1229" s="424"/>
      <c r="U1229" s="424"/>
      <c r="V1229" s="424"/>
      <c r="W1229" s="424"/>
      <c r="Y1229" s="424"/>
      <c r="Z1229" s="424"/>
    </row>
    <row r="1230" customFormat="false" ht="15.75" hidden="false" customHeight="false" outlineLevel="0" collapsed="false">
      <c r="R1230" s="424"/>
      <c r="S1230" s="424"/>
      <c r="T1230" s="424"/>
      <c r="U1230" s="424"/>
      <c r="V1230" s="424"/>
      <c r="W1230" s="424"/>
      <c r="Y1230" s="424"/>
      <c r="Z1230" s="424"/>
    </row>
    <row r="1231" customFormat="false" ht="15.75" hidden="false" customHeight="false" outlineLevel="0" collapsed="false">
      <c r="R1231" s="424"/>
      <c r="S1231" s="424"/>
      <c r="T1231" s="424"/>
      <c r="U1231" s="424"/>
      <c r="V1231" s="424"/>
      <c r="W1231" s="424"/>
      <c r="Y1231" s="424"/>
      <c r="Z1231" s="424"/>
    </row>
    <row r="1232" customFormat="false" ht="15.75" hidden="false" customHeight="false" outlineLevel="0" collapsed="false">
      <c r="R1232" s="424"/>
      <c r="S1232" s="424"/>
      <c r="T1232" s="424"/>
      <c r="U1232" s="424"/>
      <c r="V1232" s="424"/>
      <c r="W1232" s="424"/>
      <c r="Y1232" s="424"/>
      <c r="Z1232" s="424"/>
    </row>
    <row r="1233" customFormat="false" ht="15.75" hidden="false" customHeight="false" outlineLevel="0" collapsed="false">
      <c r="R1233" s="424"/>
      <c r="S1233" s="424"/>
      <c r="T1233" s="424"/>
      <c r="U1233" s="424"/>
      <c r="V1233" s="424"/>
      <c r="W1233" s="424"/>
      <c r="Y1233" s="424"/>
      <c r="Z1233" s="424"/>
    </row>
    <row r="1234" customFormat="false" ht="15.75" hidden="false" customHeight="false" outlineLevel="0" collapsed="false">
      <c r="R1234" s="424"/>
      <c r="S1234" s="424"/>
      <c r="T1234" s="424"/>
      <c r="U1234" s="424"/>
      <c r="V1234" s="424"/>
      <c r="W1234" s="424"/>
      <c r="Y1234" s="424"/>
      <c r="Z1234" s="424"/>
    </row>
    <row r="1235" customFormat="false" ht="15.75" hidden="false" customHeight="false" outlineLevel="0" collapsed="false">
      <c r="R1235" s="424"/>
      <c r="S1235" s="424"/>
      <c r="T1235" s="424"/>
      <c r="U1235" s="424"/>
      <c r="V1235" s="424"/>
      <c r="W1235" s="424"/>
      <c r="Y1235" s="424"/>
      <c r="Z1235" s="424"/>
    </row>
    <row r="1236" customFormat="false" ht="15.75" hidden="false" customHeight="false" outlineLevel="0" collapsed="false">
      <c r="R1236" s="424"/>
      <c r="S1236" s="424"/>
      <c r="T1236" s="424"/>
      <c r="U1236" s="424"/>
      <c r="V1236" s="424"/>
      <c r="W1236" s="424"/>
      <c r="Y1236" s="424"/>
      <c r="Z1236" s="424"/>
    </row>
    <row r="1237" customFormat="false" ht="15.75" hidden="false" customHeight="false" outlineLevel="0" collapsed="false">
      <c r="R1237" s="424"/>
      <c r="S1237" s="424"/>
      <c r="T1237" s="424"/>
      <c r="U1237" s="424"/>
      <c r="V1237" s="424"/>
      <c r="W1237" s="424"/>
      <c r="Y1237" s="424"/>
      <c r="Z1237" s="424"/>
    </row>
    <row r="1238" customFormat="false" ht="15.75" hidden="false" customHeight="false" outlineLevel="0" collapsed="false">
      <c r="R1238" s="424"/>
      <c r="S1238" s="424"/>
      <c r="T1238" s="424"/>
      <c r="U1238" s="424"/>
      <c r="V1238" s="424"/>
      <c r="W1238" s="424"/>
      <c r="Y1238" s="424"/>
      <c r="Z1238" s="424"/>
    </row>
    <row r="1239" customFormat="false" ht="15.75" hidden="false" customHeight="false" outlineLevel="0" collapsed="false">
      <c r="R1239" s="424"/>
      <c r="S1239" s="424"/>
      <c r="T1239" s="424"/>
      <c r="U1239" s="424"/>
      <c r="V1239" s="424"/>
      <c r="W1239" s="424"/>
      <c r="Y1239" s="424"/>
      <c r="Z1239" s="424"/>
    </row>
    <row r="1240" customFormat="false" ht="15.75" hidden="false" customHeight="false" outlineLevel="0" collapsed="false">
      <c r="R1240" s="424"/>
      <c r="S1240" s="424"/>
      <c r="T1240" s="424"/>
      <c r="U1240" s="424"/>
      <c r="V1240" s="424"/>
      <c r="W1240" s="424"/>
      <c r="Y1240" s="424"/>
      <c r="Z1240" s="424"/>
    </row>
    <row r="1241" customFormat="false" ht="15.75" hidden="false" customHeight="false" outlineLevel="0" collapsed="false">
      <c r="R1241" s="424"/>
      <c r="S1241" s="424"/>
      <c r="T1241" s="424"/>
      <c r="U1241" s="424"/>
      <c r="V1241" s="424"/>
      <c r="W1241" s="424"/>
      <c r="Y1241" s="424"/>
      <c r="Z1241" s="424"/>
    </row>
    <row r="1242" customFormat="false" ht="15.75" hidden="false" customHeight="false" outlineLevel="0" collapsed="false">
      <c r="R1242" s="424"/>
      <c r="S1242" s="424"/>
      <c r="T1242" s="424"/>
      <c r="U1242" s="424"/>
      <c r="V1242" s="424"/>
      <c r="W1242" s="424"/>
      <c r="Y1242" s="424"/>
      <c r="Z1242" s="424"/>
    </row>
    <row r="1243" customFormat="false" ht="15.75" hidden="false" customHeight="false" outlineLevel="0" collapsed="false">
      <c r="R1243" s="424"/>
      <c r="S1243" s="424"/>
      <c r="T1243" s="424"/>
      <c r="U1243" s="424"/>
      <c r="V1243" s="424"/>
      <c r="W1243" s="424"/>
      <c r="Y1243" s="424"/>
      <c r="Z1243" s="424"/>
    </row>
    <row r="1244" customFormat="false" ht="15.75" hidden="false" customHeight="false" outlineLevel="0" collapsed="false">
      <c r="R1244" s="424"/>
      <c r="S1244" s="424"/>
      <c r="T1244" s="424"/>
      <c r="U1244" s="424"/>
      <c r="V1244" s="424"/>
      <c r="W1244" s="424"/>
      <c r="Y1244" s="424"/>
      <c r="Z1244" s="424"/>
    </row>
    <row r="1245" customFormat="false" ht="15.75" hidden="false" customHeight="false" outlineLevel="0" collapsed="false">
      <c r="R1245" s="424"/>
      <c r="S1245" s="424"/>
      <c r="T1245" s="424"/>
      <c r="U1245" s="424"/>
      <c r="V1245" s="424"/>
      <c r="W1245" s="424"/>
      <c r="Y1245" s="424"/>
      <c r="Z1245" s="424"/>
    </row>
    <row r="1246" customFormat="false" ht="15.75" hidden="false" customHeight="false" outlineLevel="0" collapsed="false">
      <c r="R1246" s="424"/>
      <c r="S1246" s="424"/>
      <c r="T1246" s="424"/>
      <c r="U1246" s="424"/>
      <c r="V1246" s="424"/>
      <c r="W1246" s="424"/>
      <c r="Y1246" s="424"/>
      <c r="Z1246" s="424"/>
    </row>
    <row r="1247" customFormat="false" ht="15.75" hidden="false" customHeight="false" outlineLevel="0" collapsed="false">
      <c r="R1247" s="424"/>
      <c r="S1247" s="424"/>
      <c r="T1247" s="424"/>
      <c r="U1247" s="424"/>
      <c r="V1247" s="424"/>
      <c r="W1247" s="424"/>
      <c r="Y1247" s="424"/>
      <c r="Z1247" s="424"/>
    </row>
    <row r="1248" customFormat="false" ht="15.75" hidden="false" customHeight="false" outlineLevel="0" collapsed="false">
      <c r="R1248" s="424"/>
      <c r="S1248" s="424"/>
      <c r="T1248" s="424"/>
      <c r="U1248" s="424"/>
      <c r="V1248" s="424"/>
      <c r="W1248" s="424"/>
      <c r="Y1248" s="424"/>
      <c r="Z1248" s="424"/>
    </row>
    <row r="1249" customFormat="false" ht="15.75" hidden="false" customHeight="false" outlineLevel="0" collapsed="false">
      <c r="R1249" s="424"/>
      <c r="S1249" s="424"/>
      <c r="T1249" s="424"/>
      <c r="U1249" s="424"/>
      <c r="V1249" s="424"/>
      <c r="W1249" s="424"/>
      <c r="Y1249" s="424"/>
      <c r="Z1249" s="424"/>
    </row>
    <row r="1250" customFormat="false" ht="15.75" hidden="false" customHeight="false" outlineLevel="0" collapsed="false">
      <c r="R1250" s="424"/>
      <c r="S1250" s="424"/>
      <c r="T1250" s="424"/>
      <c r="U1250" s="424"/>
      <c r="V1250" s="424"/>
      <c r="W1250" s="424"/>
      <c r="Y1250" s="424"/>
      <c r="Z1250" s="424"/>
    </row>
    <row r="1251" customFormat="false" ht="15.75" hidden="false" customHeight="false" outlineLevel="0" collapsed="false">
      <c r="R1251" s="424"/>
      <c r="S1251" s="424"/>
      <c r="T1251" s="424"/>
      <c r="U1251" s="424"/>
      <c r="V1251" s="424"/>
      <c r="W1251" s="424"/>
      <c r="Y1251" s="424"/>
      <c r="Z1251" s="424"/>
    </row>
    <row r="1252" customFormat="false" ht="15.75" hidden="false" customHeight="false" outlineLevel="0" collapsed="false">
      <c r="R1252" s="424"/>
      <c r="S1252" s="424"/>
      <c r="T1252" s="424"/>
      <c r="U1252" s="424"/>
      <c r="V1252" s="424"/>
      <c r="W1252" s="424"/>
      <c r="Y1252" s="424"/>
      <c r="Z1252" s="424"/>
    </row>
    <row r="1253" customFormat="false" ht="15.75" hidden="false" customHeight="false" outlineLevel="0" collapsed="false">
      <c r="R1253" s="424"/>
      <c r="S1253" s="424"/>
      <c r="T1253" s="424"/>
      <c r="U1253" s="424"/>
      <c r="V1253" s="424"/>
      <c r="W1253" s="424"/>
      <c r="Y1253" s="424"/>
      <c r="Z1253" s="424"/>
    </row>
    <row r="1254" customFormat="false" ht="15.75" hidden="false" customHeight="false" outlineLevel="0" collapsed="false">
      <c r="R1254" s="424"/>
      <c r="S1254" s="424"/>
      <c r="T1254" s="424"/>
      <c r="U1254" s="424"/>
      <c r="V1254" s="424"/>
      <c r="W1254" s="424"/>
      <c r="Y1254" s="424"/>
      <c r="Z1254" s="424"/>
    </row>
    <row r="1255" customFormat="false" ht="15.75" hidden="false" customHeight="false" outlineLevel="0" collapsed="false">
      <c r="R1255" s="424"/>
      <c r="S1255" s="424"/>
      <c r="T1255" s="424"/>
      <c r="U1255" s="424"/>
      <c r="V1255" s="424"/>
      <c r="W1255" s="424"/>
      <c r="Y1255" s="424"/>
      <c r="Z1255" s="424"/>
    </row>
    <row r="1256" customFormat="false" ht="15.75" hidden="false" customHeight="false" outlineLevel="0" collapsed="false">
      <c r="R1256" s="424"/>
      <c r="S1256" s="424"/>
      <c r="T1256" s="424"/>
      <c r="U1256" s="424"/>
      <c r="V1256" s="424"/>
      <c r="W1256" s="424"/>
      <c r="Y1256" s="424"/>
      <c r="Z1256" s="424"/>
    </row>
    <row r="1257" customFormat="false" ht="15.75" hidden="false" customHeight="false" outlineLevel="0" collapsed="false">
      <c r="R1257" s="424"/>
      <c r="S1257" s="424"/>
      <c r="T1257" s="424"/>
      <c r="U1257" s="424"/>
      <c r="V1257" s="424"/>
      <c r="W1257" s="424"/>
      <c r="Y1257" s="424"/>
      <c r="Z1257" s="424"/>
    </row>
    <row r="1258" customFormat="false" ht="15.75" hidden="false" customHeight="false" outlineLevel="0" collapsed="false">
      <c r="R1258" s="424"/>
      <c r="S1258" s="424"/>
      <c r="T1258" s="424"/>
      <c r="U1258" s="424"/>
      <c r="V1258" s="424"/>
      <c r="W1258" s="424"/>
      <c r="Y1258" s="424"/>
      <c r="Z1258" s="424"/>
    </row>
    <row r="1259" customFormat="false" ht="15.75" hidden="false" customHeight="false" outlineLevel="0" collapsed="false">
      <c r="R1259" s="424"/>
      <c r="S1259" s="424"/>
      <c r="T1259" s="424"/>
      <c r="U1259" s="424"/>
      <c r="V1259" s="424"/>
      <c r="W1259" s="424"/>
      <c r="Y1259" s="424"/>
      <c r="Z1259" s="424"/>
    </row>
    <row r="1260" customFormat="false" ht="15.75" hidden="false" customHeight="false" outlineLevel="0" collapsed="false">
      <c r="R1260" s="424"/>
      <c r="S1260" s="424"/>
      <c r="T1260" s="424"/>
      <c r="U1260" s="424"/>
      <c r="V1260" s="424"/>
      <c r="W1260" s="424"/>
      <c r="Y1260" s="424"/>
      <c r="Z1260" s="424"/>
    </row>
    <row r="1261" customFormat="false" ht="15.75" hidden="false" customHeight="false" outlineLevel="0" collapsed="false">
      <c r="R1261" s="424"/>
      <c r="S1261" s="424"/>
      <c r="T1261" s="424"/>
      <c r="U1261" s="424"/>
      <c r="V1261" s="424"/>
      <c r="W1261" s="424"/>
      <c r="Y1261" s="424"/>
      <c r="Z1261" s="424"/>
    </row>
    <row r="1262" customFormat="false" ht="15.75" hidden="false" customHeight="false" outlineLevel="0" collapsed="false">
      <c r="R1262" s="424"/>
      <c r="S1262" s="424"/>
      <c r="T1262" s="424"/>
      <c r="U1262" s="424"/>
      <c r="V1262" s="424"/>
      <c r="W1262" s="424"/>
      <c r="Y1262" s="424"/>
      <c r="Z1262" s="424"/>
    </row>
    <row r="1263" customFormat="false" ht="15.75" hidden="false" customHeight="false" outlineLevel="0" collapsed="false">
      <c r="R1263" s="424"/>
      <c r="S1263" s="424"/>
      <c r="T1263" s="424"/>
      <c r="U1263" s="424"/>
      <c r="V1263" s="424"/>
      <c r="W1263" s="424"/>
      <c r="Y1263" s="424"/>
      <c r="Z1263" s="424"/>
    </row>
    <row r="1264" customFormat="false" ht="15.75" hidden="false" customHeight="false" outlineLevel="0" collapsed="false">
      <c r="R1264" s="424"/>
      <c r="S1264" s="424"/>
      <c r="T1264" s="424"/>
      <c r="U1264" s="424"/>
      <c r="V1264" s="424"/>
      <c r="W1264" s="424"/>
      <c r="Y1264" s="424"/>
      <c r="Z1264" s="424"/>
    </row>
    <row r="1265" customFormat="false" ht="15.75" hidden="false" customHeight="false" outlineLevel="0" collapsed="false">
      <c r="R1265" s="424"/>
      <c r="S1265" s="424"/>
      <c r="T1265" s="424"/>
      <c r="U1265" s="424"/>
      <c r="V1265" s="424"/>
      <c r="W1265" s="424"/>
      <c r="Y1265" s="424"/>
      <c r="Z1265" s="424"/>
    </row>
    <row r="1266" customFormat="false" ht="15.75" hidden="false" customHeight="false" outlineLevel="0" collapsed="false">
      <c r="R1266" s="424"/>
      <c r="S1266" s="424"/>
      <c r="T1266" s="424"/>
      <c r="U1266" s="424"/>
      <c r="V1266" s="424"/>
      <c r="W1266" s="424"/>
      <c r="Y1266" s="424"/>
      <c r="Z1266" s="424"/>
    </row>
    <row r="1267" customFormat="false" ht="15.75" hidden="false" customHeight="false" outlineLevel="0" collapsed="false">
      <c r="R1267" s="424"/>
      <c r="S1267" s="424"/>
      <c r="T1267" s="424"/>
      <c r="U1267" s="424"/>
      <c r="V1267" s="424"/>
      <c r="W1267" s="424"/>
      <c r="Y1267" s="424"/>
      <c r="Z1267" s="424"/>
    </row>
    <row r="1268" customFormat="false" ht="15.75" hidden="false" customHeight="false" outlineLevel="0" collapsed="false">
      <c r="R1268" s="424"/>
      <c r="S1268" s="424"/>
      <c r="T1268" s="424"/>
      <c r="U1268" s="424"/>
      <c r="V1268" s="424"/>
      <c r="W1268" s="424"/>
      <c r="Y1268" s="424"/>
      <c r="Z1268" s="424"/>
    </row>
    <row r="1269" customFormat="false" ht="15.75" hidden="false" customHeight="false" outlineLevel="0" collapsed="false">
      <c r="R1269" s="424"/>
      <c r="S1269" s="424"/>
      <c r="T1269" s="424"/>
      <c r="U1269" s="424"/>
      <c r="V1269" s="424"/>
      <c r="W1269" s="424"/>
      <c r="Y1269" s="424"/>
      <c r="Z1269" s="424"/>
    </row>
    <row r="1270" customFormat="false" ht="15.75" hidden="false" customHeight="false" outlineLevel="0" collapsed="false">
      <c r="R1270" s="424"/>
      <c r="S1270" s="424"/>
      <c r="T1270" s="424"/>
      <c r="U1270" s="424"/>
      <c r="V1270" s="424"/>
      <c r="W1270" s="424"/>
      <c r="Y1270" s="424"/>
      <c r="Z1270" s="424"/>
    </row>
    <row r="1271" customFormat="false" ht="15.75" hidden="false" customHeight="false" outlineLevel="0" collapsed="false">
      <c r="R1271" s="424"/>
      <c r="S1271" s="424"/>
      <c r="T1271" s="424"/>
      <c r="U1271" s="424"/>
      <c r="V1271" s="424"/>
      <c r="W1271" s="424"/>
      <c r="Y1271" s="424"/>
      <c r="Z1271" s="424"/>
    </row>
    <row r="1272" customFormat="false" ht="15.75" hidden="false" customHeight="false" outlineLevel="0" collapsed="false">
      <c r="R1272" s="424"/>
      <c r="S1272" s="424"/>
      <c r="T1272" s="424"/>
      <c r="U1272" s="424"/>
      <c r="V1272" s="424"/>
      <c r="W1272" s="424"/>
      <c r="Y1272" s="424"/>
      <c r="Z1272" s="424"/>
    </row>
    <row r="1273" customFormat="false" ht="15.75" hidden="false" customHeight="false" outlineLevel="0" collapsed="false">
      <c r="R1273" s="424"/>
      <c r="S1273" s="424"/>
      <c r="T1273" s="424"/>
      <c r="U1273" s="424"/>
      <c r="V1273" s="424"/>
      <c r="W1273" s="424"/>
      <c r="Y1273" s="424"/>
      <c r="Z1273" s="424"/>
    </row>
    <row r="1274" customFormat="false" ht="15.75" hidden="false" customHeight="false" outlineLevel="0" collapsed="false">
      <c r="R1274" s="424"/>
      <c r="S1274" s="424"/>
      <c r="T1274" s="424"/>
      <c r="U1274" s="424"/>
      <c r="V1274" s="424"/>
      <c r="W1274" s="424"/>
      <c r="Y1274" s="424"/>
      <c r="Z1274" s="424"/>
    </row>
    <row r="1275" customFormat="false" ht="15.75" hidden="false" customHeight="false" outlineLevel="0" collapsed="false">
      <c r="R1275" s="424"/>
      <c r="S1275" s="424"/>
      <c r="T1275" s="424"/>
      <c r="U1275" s="424"/>
      <c r="V1275" s="424"/>
      <c r="W1275" s="424"/>
      <c r="Y1275" s="424"/>
      <c r="Z1275" s="424"/>
    </row>
    <row r="1276" customFormat="false" ht="15.75" hidden="false" customHeight="false" outlineLevel="0" collapsed="false">
      <c r="R1276" s="424"/>
      <c r="S1276" s="424"/>
      <c r="T1276" s="424"/>
      <c r="U1276" s="424"/>
      <c r="V1276" s="424"/>
      <c r="W1276" s="424"/>
      <c r="Y1276" s="424"/>
      <c r="Z1276" s="424"/>
    </row>
    <row r="1277" customFormat="false" ht="15.75" hidden="false" customHeight="false" outlineLevel="0" collapsed="false">
      <c r="R1277" s="424"/>
      <c r="S1277" s="424"/>
      <c r="T1277" s="424"/>
      <c r="U1277" s="424"/>
      <c r="V1277" s="424"/>
      <c r="W1277" s="424"/>
      <c r="Y1277" s="424"/>
      <c r="Z1277" s="424"/>
    </row>
    <row r="1278" customFormat="false" ht="15.75" hidden="false" customHeight="false" outlineLevel="0" collapsed="false">
      <c r="R1278" s="424"/>
      <c r="S1278" s="424"/>
      <c r="T1278" s="424"/>
      <c r="U1278" s="424"/>
      <c r="V1278" s="424"/>
      <c r="W1278" s="424"/>
      <c r="Y1278" s="424"/>
      <c r="Z1278" s="424"/>
    </row>
    <row r="1279" customFormat="false" ht="15.75" hidden="false" customHeight="false" outlineLevel="0" collapsed="false">
      <c r="R1279" s="424"/>
      <c r="S1279" s="424"/>
      <c r="T1279" s="424"/>
      <c r="U1279" s="424"/>
      <c r="V1279" s="424"/>
      <c r="W1279" s="424"/>
      <c r="Y1279" s="424"/>
      <c r="Z1279" s="424"/>
    </row>
    <row r="1280" customFormat="false" ht="15.75" hidden="false" customHeight="false" outlineLevel="0" collapsed="false">
      <c r="R1280" s="424"/>
      <c r="S1280" s="424"/>
      <c r="T1280" s="424"/>
      <c r="U1280" s="424"/>
      <c r="V1280" s="424"/>
      <c r="W1280" s="424"/>
      <c r="Y1280" s="424"/>
      <c r="Z1280" s="424"/>
    </row>
    <row r="1281" customFormat="false" ht="15.75" hidden="false" customHeight="false" outlineLevel="0" collapsed="false">
      <c r="R1281" s="424"/>
      <c r="S1281" s="424"/>
      <c r="T1281" s="424"/>
      <c r="U1281" s="424"/>
      <c r="V1281" s="424"/>
      <c r="W1281" s="424"/>
      <c r="Y1281" s="424"/>
      <c r="Z1281" s="424"/>
    </row>
    <row r="1282" customFormat="false" ht="15.75" hidden="false" customHeight="false" outlineLevel="0" collapsed="false">
      <c r="R1282" s="424"/>
      <c r="S1282" s="424"/>
      <c r="T1282" s="424"/>
      <c r="U1282" s="424"/>
      <c r="V1282" s="424"/>
      <c r="W1282" s="424"/>
      <c r="Y1282" s="424"/>
      <c r="Z1282" s="424"/>
    </row>
    <row r="1283" customFormat="false" ht="15.75" hidden="false" customHeight="false" outlineLevel="0" collapsed="false">
      <c r="R1283" s="424"/>
      <c r="S1283" s="424"/>
      <c r="T1283" s="424"/>
      <c r="U1283" s="424"/>
      <c r="V1283" s="424"/>
      <c r="W1283" s="424"/>
      <c r="Y1283" s="424"/>
      <c r="Z1283" s="424"/>
    </row>
    <row r="1284" customFormat="false" ht="15.75" hidden="false" customHeight="false" outlineLevel="0" collapsed="false">
      <c r="R1284" s="424"/>
      <c r="S1284" s="424"/>
      <c r="T1284" s="424"/>
      <c r="U1284" s="424"/>
      <c r="V1284" s="424"/>
      <c r="W1284" s="424"/>
      <c r="Y1284" s="424"/>
      <c r="Z1284" s="424"/>
    </row>
    <row r="1285" customFormat="false" ht="15.75" hidden="false" customHeight="false" outlineLevel="0" collapsed="false">
      <c r="R1285" s="424"/>
      <c r="S1285" s="424"/>
      <c r="T1285" s="424"/>
      <c r="U1285" s="424"/>
      <c r="V1285" s="424"/>
      <c r="W1285" s="424"/>
      <c r="Y1285" s="424"/>
      <c r="Z1285" s="424"/>
    </row>
    <row r="1286" customFormat="false" ht="15.75" hidden="false" customHeight="false" outlineLevel="0" collapsed="false">
      <c r="R1286" s="424"/>
      <c r="S1286" s="424"/>
      <c r="T1286" s="424"/>
      <c r="U1286" s="424"/>
      <c r="V1286" s="424"/>
      <c r="W1286" s="424"/>
      <c r="Y1286" s="424"/>
      <c r="Z1286" s="424"/>
    </row>
    <row r="1287" customFormat="false" ht="15.75" hidden="false" customHeight="false" outlineLevel="0" collapsed="false">
      <c r="R1287" s="424"/>
      <c r="S1287" s="424"/>
      <c r="T1287" s="424"/>
      <c r="U1287" s="424"/>
      <c r="V1287" s="424"/>
      <c r="W1287" s="424"/>
      <c r="Y1287" s="424"/>
      <c r="Z1287" s="424"/>
    </row>
    <row r="1288" customFormat="false" ht="15.75" hidden="false" customHeight="false" outlineLevel="0" collapsed="false">
      <c r="R1288" s="424"/>
      <c r="S1288" s="424"/>
      <c r="T1288" s="424"/>
      <c r="U1288" s="424"/>
      <c r="V1288" s="424"/>
      <c r="W1288" s="424"/>
      <c r="Y1288" s="424"/>
      <c r="Z1288" s="424"/>
    </row>
    <row r="1289" customFormat="false" ht="15.75" hidden="false" customHeight="false" outlineLevel="0" collapsed="false">
      <c r="R1289" s="424"/>
      <c r="S1289" s="424"/>
      <c r="T1289" s="424"/>
      <c r="U1289" s="424"/>
      <c r="V1289" s="424"/>
      <c r="W1289" s="424"/>
      <c r="Y1289" s="424"/>
      <c r="Z1289" s="424"/>
    </row>
    <row r="1290" customFormat="false" ht="15.75" hidden="false" customHeight="false" outlineLevel="0" collapsed="false">
      <c r="R1290" s="424"/>
      <c r="S1290" s="424"/>
      <c r="T1290" s="424"/>
      <c r="U1290" s="424"/>
      <c r="V1290" s="424"/>
      <c r="W1290" s="424"/>
      <c r="Y1290" s="424"/>
      <c r="Z1290" s="424"/>
    </row>
    <row r="1291" customFormat="false" ht="15.75" hidden="false" customHeight="false" outlineLevel="0" collapsed="false">
      <c r="R1291" s="424"/>
      <c r="S1291" s="424"/>
      <c r="T1291" s="424"/>
      <c r="U1291" s="424"/>
      <c r="V1291" s="424"/>
      <c r="W1291" s="424"/>
      <c r="Y1291" s="424"/>
      <c r="Z1291" s="424"/>
    </row>
    <row r="1292" customFormat="false" ht="15.75" hidden="false" customHeight="false" outlineLevel="0" collapsed="false">
      <c r="R1292" s="424"/>
      <c r="S1292" s="424"/>
      <c r="T1292" s="424"/>
      <c r="U1292" s="424"/>
      <c r="V1292" s="424"/>
      <c r="W1292" s="424"/>
      <c r="Y1292" s="424"/>
      <c r="Z1292" s="424"/>
    </row>
    <row r="1293" customFormat="false" ht="15.75" hidden="false" customHeight="false" outlineLevel="0" collapsed="false">
      <c r="R1293" s="424"/>
      <c r="S1293" s="424"/>
      <c r="T1293" s="424"/>
      <c r="U1293" s="424"/>
      <c r="V1293" s="424"/>
      <c r="W1293" s="424"/>
      <c r="Y1293" s="424"/>
      <c r="Z1293" s="424"/>
    </row>
    <row r="1294" customFormat="false" ht="15.75" hidden="false" customHeight="false" outlineLevel="0" collapsed="false">
      <c r="R1294" s="424"/>
      <c r="S1294" s="424"/>
      <c r="T1294" s="424"/>
      <c r="U1294" s="424"/>
      <c r="V1294" s="424"/>
      <c r="W1294" s="424"/>
      <c r="Y1294" s="424"/>
      <c r="Z1294" s="424"/>
    </row>
    <row r="1295" customFormat="false" ht="15.75" hidden="false" customHeight="false" outlineLevel="0" collapsed="false">
      <c r="R1295" s="424"/>
      <c r="S1295" s="424"/>
      <c r="T1295" s="424"/>
      <c r="U1295" s="424"/>
      <c r="V1295" s="424"/>
      <c r="W1295" s="424"/>
      <c r="Y1295" s="424"/>
      <c r="Z1295" s="424"/>
    </row>
    <row r="1296" customFormat="false" ht="15.75" hidden="false" customHeight="false" outlineLevel="0" collapsed="false">
      <c r="R1296" s="424"/>
      <c r="S1296" s="424"/>
      <c r="T1296" s="424"/>
      <c r="U1296" s="424"/>
      <c r="V1296" s="424"/>
      <c r="W1296" s="424"/>
      <c r="Y1296" s="424"/>
      <c r="Z1296" s="424"/>
    </row>
    <row r="1297" customFormat="false" ht="15.75" hidden="false" customHeight="false" outlineLevel="0" collapsed="false">
      <c r="R1297" s="424"/>
      <c r="S1297" s="424"/>
      <c r="T1297" s="424"/>
      <c r="U1297" s="424"/>
      <c r="V1297" s="424"/>
      <c r="W1297" s="424"/>
      <c r="Y1297" s="424"/>
      <c r="Z1297" s="424"/>
    </row>
    <row r="1298" customFormat="false" ht="15.75" hidden="false" customHeight="false" outlineLevel="0" collapsed="false">
      <c r="R1298" s="424"/>
      <c r="S1298" s="424"/>
      <c r="T1298" s="424"/>
      <c r="U1298" s="424"/>
      <c r="V1298" s="424"/>
      <c r="W1298" s="424"/>
      <c r="Y1298" s="424"/>
      <c r="Z1298" s="424"/>
    </row>
    <row r="1299" customFormat="false" ht="15.75" hidden="false" customHeight="false" outlineLevel="0" collapsed="false">
      <c r="R1299" s="424"/>
      <c r="S1299" s="424"/>
      <c r="T1299" s="424"/>
      <c r="U1299" s="424"/>
      <c r="V1299" s="424"/>
      <c r="W1299" s="424"/>
      <c r="Y1299" s="424"/>
      <c r="Z1299" s="424"/>
    </row>
    <row r="1300" customFormat="false" ht="15.75" hidden="false" customHeight="false" outlineLevel="0" collapsed="false">
      <c r="R1300" s="424"/>
      <c r="S1300" s="424"/>
      <c r="T1300" s="424"/>
      <c r="U1300" s="424"/>
      <c r="V1300" s="424"/>
      <c r="W1300" s="424"/>
      <c r="Y1300" s="424"/>
      <c r="Z1300" s="424"/>
    </row>
    <row r="1301" customFormat="false" ht="15.75" hidden="false" customHeight="false" outlineLevel="0" collapsed="false">
      <c r="R1301" s="424"/>
      <c r="S1301" s="424"/>
      <c r="T1301" s="424"/>
      <c r="U1301" s="424"/>
      <c r="V1301" s="424"/>
      <c r="W1301" s="424"/>
      <c r="Y1301" s="424"/>
      <c r="Z1301" s="424"/>
    </row>
    <row r="1302" customFormat="false" ht="15.75" hidden="false" customHeight="false" outlineLevel="0" collapsed="false">
      <c r="R1302" s="424"/>
      <c r="S1302" s="424"/>
      <c r="T1302" s="424"/>
      <c r="U1302" s="424"/>
      <c r="V1302" s="424"/>
      <c r="W1302" s="424"/>
      <c r="Y1302" s="424"/>
      <c r="Z1302" s="424"/>
    </row>
    <row r="1303" customFormat="false" ht="15.75" hidden="false" customHeight="false" outlineLevel="0" collapsed="false">
      <c r="R1303" s="424"/>
      <c r="S1303" s="424"/>
      <c r="T1303" s="424"/>
      <c r="U1303" s="424"/>
      <c r="V1303" s="424"/>
      <c r="W1303" s="424"/>
      <c r="Y1303" s="424"/>
      <c r="Z1303" s="424"/>
    </row>
    <row r="1304" customFormat="false" ht="15.75" hidden="false" customHeight="false" outlineLevel="0" collapsed="false">
      <c r="R1304" s="424"/>
      <c r="S1304" s="424"/>
      <c r="T1304" s="424"/>
      <c r="U1304" s="424"/>
      <c r="V1304" s="424"/>
      <c r="W1304" s="424"/>
      <c r="Y1304" s="424"/>
      <c r="Z1304" s="424"/>
    </row>
    <row r="1305" customFormat="false" ht="15.75" hidden="false" customHeight="false" outlineLevel="0" collapsed="false">
      <c r="R1305" s="424"/>
      <c r="S1305" s="424"/>
      <c r="T1305" s="424"/>
      <c r="U1305" s="424"/>
      <c r="V1305" s="424"/>
      <c r="W1305" s="424"/>
      <c r="Y1305" s="424"/>
      <c r="Z1305" s="424"/>
    </row>
    <row r="1306" customFormat="false" ht="15.75" hidden="false" customHeight="false" outlineLevel="0" collapsed="false">
      <c r="R1306" s="424"/>
      <c r="S1306" s="424"/>
      <c r="T1306" s="424"/>
      <c r="U1306" s="424"/>
      <c r="V1306" s="424"/>
      <c r="W1306" s="424"/>
      <c r="Y1306" s="424"/>
      <c r="Z1306" s="424"/>
    </row>
    <row r="1307" customFormat="false" ht="15.75" hidden="false" customHeight="false" outlineLevel="0" collapsed="false">
      <c r="R1307" s="424"/>
      <c r="S1307" s="424"/>
      <c r="T1307" s="424"/>
      <c r="U1307" s="424"/>
      <c r="V1307" s="424"/>
      <c r="W1307" s="424"/>
      <c r="Y1307" s="424"/>
      <c r="Z1307" s="424"/>
    </row>
    <row r="1308" customFormat="false" ht="15.75" hidden="false" customHeight="false" outlineLevel="0" collapsed="false">
      <c r="R1308" s="424"/>
      <c r="S1308" s="424"/>
      <c r="T1308" s="424"/>
      <c r="U1308" s="424"/>
      <c r="V1308" s="424"/>
      <c r="W1308" s="424"/>
      <c r="Y1308" s="424"/>
      <c r="Z1308" s="424"/>
    </row>
    <row r="1309" customFormat="false" ht="15.75" hidden="false" customHeight="false" outlineLevel="0" collapsed="false">
      <c r="R1309" s="424"/>
      <c r="S1309" s="424"/>
      <c r="T1309" s="424"/>
      <c r="U1309" s="424"/>
      <c r="V1309" s="424"/>
      <c r="W1309" s="424"/>
      <c r="Y1309" s="424"/>
      <c r="Z1309" s="424"/>
    </row>
    <row r="1310" customFormat="false" ht="15.75" hidden="false" customHeight="false" outlineLevel="0" collapsed="false">
      <c r="R1310" s="424"/>
      <c r="S1310" s="424"/>
      <c r="T1310" s="424"/>
      <c r="U1310" s="424"/>
      <c r="V1310" s="424"/>
      <c r="W1310" s="424"/>
      <c r="Y1310" s="424"/>
      <c r="Z1310" s="424"/>
    </row>
    <row r="1311" customFormat="false" ht="15.75" hidden="false" customHeight="false" outlineLevel="0" collapsed="false">
      <c r="R1311" s="424"/>
      <c r="S1311" s="424"/>
      <c r="T1311" s="424"/>
      <c r="U1311" s="424"/>
      <c r="V1311" s="424"/>
      <c r="W1311" s="424"/>
      <c r="Y1311" s="424"/>
      <c r="Z1311" s="424"/>
    </row>
    <row r="1312" customFormat="false" ht="15.75" hidden="false" customHeight="false" outlineLevel="0" collapsed="false">
      <c r="R1312" s="424"/>
      <c r="S1312" s="424"/>
      <c r="T1312" s="424"/>
      <c r="U1312" s="424"/>
      <c r="V1312" s="424"/>
      <c r="W1312" s="424"/>
      <c r="Y1312" s="424"/>
      <c r="Z1312" s="424"/>
    </row>
    <row r="1313" customFormat="false" ht="15.75" hidden="false" customHeight="false" outlineLevel="0" collapsed="false">
      <c r="R1313" s="424"/>
      <c r="S1313" s="424"/>
      <c r="T1313" s="424"/>
      <c r="U1313" s="424"/>
      <c r="V1313" s="424"/>
      <c r="W1313" s="424"/>
      <c r="Y1313" s="424"/>
      <c r="Z1313" s="424"/>
    </row>
    <row r="1314" customFormat="false" ht="15.75" hidden="false" customHeight="false" outlineLevel="0" collapsed="false">
      <c r="R1314" s="424"/>
      <c r="S1314" s="424"/>
      <c r="T1314" s="424"/>
      <c r="U1314" s="424"/>
      <c r="V1314" s="424"/>
      <c r="W1314" s="424"/>
      <c r="Y1314" s="424"/>
      <c r="Z1314" s="424"/>
    </row>
    <row r="1315" customFormat="false" ht="15.75" hidden="false" customHeight="false" outlineLevel="0" collapsed="false">
      <c r="R1315" s="424"/>
      <c r="S1315" s="424"/>
      <c r="T1315" s="424"/>
      <c r="U1315" s="424"/>
      <c r="V1315" s="424"/>
      <c r="W1315" s="424"/>
      <c r="Y1315" s="424"/>
      <c r="Z1315" s="424"/>
    </row>
    <row r="1316" customFormat="false" ht="15.75" hidden="false" customHeight="false" outlineLevel="0" collapsed="false">
      <c r="R1316" s="424"/>
      <c r="S1316" s="424"/>
      <c r="T1316" s="424"/>
      <c r="U1316" s="424"/>
      <c r="V1316" s="424"/>
      <c r="W1316" s="424"/>
      <c r="Y1316" s="424"/>
      <c r="Z1316" s="424"/>
    </row>
    <row r="1317" customFormat="false" ht="15.75" hidden="false" customHeight="false" outlineLevel="0" collapsed="false">
      <c r="R1317" s="424"/>
      <c r="S1317" s="424"/>
      <c r="T1317" s="424"/>
      <c r="U1317" s="424"/>
      <c r="V1317" s="424"/>
      <c r="W1317" s="424"/>
      <c r="Y1317" s="424"/>
      <c r="Z1317" s="424"/>
    </row>
    <row r="1318" customFormat="false" ht="15.75" hidden="false" customHeight="false" outlineLevel="0" collapsed="false">
      <c r="R1318" s="424"/>
      <c r="S1318" s="424"/>
      <c r="T1318" s="424"/>
      <c r="U1318" s="424"/>
      <c r="V1318" s="424"/>
      <c r="W1318" s="424"/>
      <c r="Y1318" s="424"/>
      <c r="Z1318" s="424"/>
    </row>
    <row r="1319" customFormat="false" ht="15.75" hidden="false" customHeight="false" outlineLevel="0" collapsed="false">
      <c r="R1319" s="424"/>
      <c r="S1319" s="424"/>
      <c r="T1319" s="424"/>
      <c r="U1319" s="424"/>
      <c r="V1319" s="424"/>
      <c r="W1319" s="424"/>
      <c r="Y1319" s="424"/>
      <c r="Z1319" s="424"/>
    </row>
    <row r="1320" customFormat="false" ht="15.75" hidden="false" customHeight="false" outlineLevel="0" collapsed="false">
      <c r="R1320" s="424"/>
      <c r="S1320" s="424"/>
      <c r="T1320" s="424"/>
      <c r="U1320" s="424"/>
      <c r="V1320" s="424"/>
      <c r="W1320" s="424"/>
      <c r="Y1320" s="424"/>
      <c r="Z1320" s="424"/>
    </row>
    <row r="1321" customFormat="false" ht="15.75" hidden="false" customHeight="false" outlineLevel="0" collapsed="false">
      <c r="R1321" s="424"/>
      <c r="S1321" s="424"/>
      <c r="T1321" s="424"/>
      <c r="U1321" s="424"/>
      <c r="V1321" s="424"/>
      <c r="W1321" s="424"/>
      <c r="Y1321" s="424"/>
      <c r="Z1321" s="424"/>
    </row>
    <row r="1322" customFormat="false" ht="15.75" hidden="false" customHeight="false" outlineLevel="0" collapsed="false">
      <c r="R1322" s="424"/>
      <c r="S1322" s="424"/>
      <c r="T1322" s="424"/>
      <c r="U1322" s="424"/>
      <c r="V1322" s="424"/>
      <c r="W1322" s="424"/>
      <c r="Y1322" s="424"/>
      <c r="Z1322" s="424"/>
    </row>
    <row r="1323" customFormat="false" ht="15.75" hidden="false" customHeight="false" outlineLevel="0" collapsed="false">
      <c r="R1323" s="424"/>
      <c r="S1323" s="424"/>
      <c r="T1323" s="424"/>
      <c r="U1323" s="424"/>
      <c r="V1323" s="424"/>
      <c r="W1323" s="424"/>
      <c r="Y1323" s="424"/>
      <c r="Z1323" s="424"/>
    </row>
    <row r="1324" customFormat="false" ht="15.75" hidden="false" customHeight="false" outlineLevel="0" collapsed="false">
      <c r="R1324" s="424"/>
      <c r="S1324" s="424"/>
      <c r="T1324" s="424"/>
      <c r="U1324" s="424"/>
      <c r="V1324" s="424"/>
      <c r="W1324" s="424"/>
      <c r="Y1324" s="424"/>
      <c r="Z1324" s="424"/>
    </row>
    <row r="1325" customFormat="false" ht="15.75" hidden="false" customHeight="false" outlineLevel="0" collapsed="false">
      <c r="R1325" s="424"/>
      <c r="S1325" s="424"/>
      <c r="T1325" s="424"/>
      <c r="U1325" s="424"/>
      <c r="V1325" s="424"/>
      <c r="W1325" s="424"/>
      <c r="Y1325" s="424"/>
      <c r="Z1325" s="424"/>
    </row>
    <row r="1326" customFormat="false" ht="15.75" hidden="false" customHeight="false" outlineLevel="0" collapsed="false">
      <c r="R1326" s="424"/>
      <c r="S1326" s="424"/>
      <c r="T1326" s="424"/>
      <c r="U1326" s="424"/>
      <c r="V1326" s="424"/>
      <c r="W1326" s="424"/>
      <c r="Y1326" s="424"/>
      <c r="Z1326" s="424"/>
    </row>
    <row r="1327" customFormat="false" ht="15.75" hidden="false" customHeight="false" outlineLevel="0" collapsed="false">
      <c r="R1327" s="424"/>
      <c r="S1327" s="424"/>
      <c r="T1327" s="424"/>
      <c r="U1327" s="424"/>
      <c r="V1327" s="424"/>
      <c r="W1327" s="424"/>
      <c r="Y1327" s="424"/>
      <c r="Z1327" s="424"/>
    </row>
    <row r="1328" customFormat="false" ht="15.75" hidden="false" customHeight="false" outlineLevel="0" collapsed="false">
      <c r="R1328" s="424"/>
      <c r="S1328" s="424"/>
      <c r="T1328" s="424"/>
      <c r="U1328" s="424"/>
      <c r="V1328" s="424"/>
      <c r="W1328" s="424"/>
      <c r="Y1328" s="424"/>
      <c r="Z1328" s="424"/>
    </row>
    <row r="1329" customFormat="false" ht="15.75" hidden="false" customHeight="false" outlineLevel="0" collapsed="false">
      <c r="R1329" s="424"/>
      <c r="S1329" s="424"/>
      <c r="T1329" s="424"/>
      <c r="U1329" s="424"/>
      <c r="V1329" s="424"/>
      <c r="W1329" s="424"/>
      <c r="Y1329" s="424"/>
      <c r="Z1329" s="424"/>
    </row>
    <row r="1330" customFormat="false" ht="15.75" hidden="false" customHeight="false" outlineLevel="0" collapsed="false">
      <c r="R1330" s="424"/>
      <c r="S1330" s="424"/>
      <c r="T1330" s="424"/>
      <c r="U1330" s="424"/>
      <c r="V1330" s="424"/>
      <c r="W1330" s="424"/>
      <c r="Y1330" s="424"/>
      <c r="Z1330" s="424"/>
    </row>
    <row r="1331" customFormat="false" ht="15.75" hidden="false" customHeight="false" outlineLevel="0" collapsed="false">
      <c r="R1331" s="424"/>
      <c r="S1331" s="424"/>
      <c r="T1331" s="424"/>
      <c r="U1331" s="424"/>
      <c r="V1331" s="424"/>
      <c r="W1331" s="424"/>
      <c r="Y1331" s="424"/>
      <c r="Z1331" s="424"/>
    </row>
    <row r="1332" customFormat="false" ht="15.75" hidden="false" customHeight="false" outlineLevel="0" collapsed="false">
      <c r="R1332" s="424"/>
      <c r="S1332" s="424"/>
      <c r="T1332" s="424"/>
      <c r="U1332" s="424"/>
      <c r="V1332" s="424"/>
      <c r="W1332" s="424"/>
      <c r="Y1332" s="424"/>
      <c r="Z1332" s="424"/>
    </row>
    <row r="1333" customFormat="false" ht="15.75" hidden="false" customHeight="false" outlineLevel="0" collapsed="false">
      <c r="R1333" s="424"/>
      <c r="S1333" s="424"/>
      <c r="T1333" s="424"/>
      <c r="U1333" s="424"/>
      <c r="V1333" s="424"/>
      <c r="W1333" s="424"/>
      <c r="Y1333" s="424"/>
      <c r="Z1333" s="424"/>
    </row>
    <row r="1334" customFormat="false" ht="15.75" hidden="false" customHeight="false" outlineLevel="0" collapsed="false">
      <c r="R1334" s="424"/>
      <c r="S1334" s="424"/>
      <c r="T1334" s="424"/>
      <c r="U1334" s="424"/>
      <c r="V1334" s="424"/>
      <c r="W1334" s="424"/>
      <c r="Y1334" s="424"/>
      <c r="Z1334" s="424"/>
    </row>
    <row r="1335" customFormat="false" ht="15.75" hidden="false" customHeight="false" outlineLevel="0" collapsed="false">
      <c r="R1335" s="424"/>
      <c r="S1335" s="424"/>
      <c r="T1335" s="424"/>
      <c r="U1335" s="424"/>
      <c r="V1335" s="424"/>
      <c r="W1335" s="424"/>
      <c r="Y1335" s="424"/>
      <c r="Z1335" s="424"/>
    </row>
    <row r="1336" customFormat="false" ht="15.75" hidden="false" customHeight="false" outlineLevel="0" collapsed="false">
      <c r="R1336" s="424"/>
      <c r="S1336" s="424"/>
      <c r="T1336" s="424"/>
      <c r="U1336" s="424"/>
      <c r="V1336" s="424"/>
      <c r="W1336" s="424"/>
      <c r="Y1336" s="424"/>
      <c r="Z1336" s="424"/>
    </row>
    <row r="1337" customFormat="false" ht="15.75" hidden="false" customHeight="false" outlineLevel="0" collapsed="false">
      <c r="R1337" s="424"/>
      <c r="S1337" s="424"/>
      <c r="T1337" s="424"/>
      <c r="U1337" s="424"/>
      <c r="V1337" s="424"/>
      <c r="W1337" s="424"/>
      <c r="Y1337" s="424"/>
      <c r="Z1337" s="424"/>
    </row>
    <row r="1338" customFormat="false" ht="15.75" hidden="false" customHeight="false" outlineLevel="0" collapsed="false">
      <c r="R1338" s="424"/>
      <c r="S1338" s="424"/>
      <c r="T1338" s="424"/>
      <c r="U1338" s="424"/>
      <c r="V1338" s="424"/>
      <c r="W1338" s="424"/>
      <c r="Y1338" s="424"/>
      <c r="Z1338" s="424"/>
    </row>
    <row r="1339" customFormat="false" ht="15.75" hidden="false" customHeight="false" outlineLevel="0" collapsed="false">
      <c r="R1339" s="424"/>
      <c r="S1339" s="424"/>
      <c r="T1339" s="424"/>
      <c r="U1339" s="424"/>
      <c r="V1339" s="424"/>
      <c r="W1339" s="424"/>
      <c r="Y1339" s="424"/>
      <c r="Z1339" s="424"/>
    </row>
    <row r="1340" customFormat="false" ht="15.75" hidden="false" customHeight="false" outlineLevel="0" collapsed="false">
      <c r="R1340" s="424"/>
      <c r="S1340" s="424"/>
      <c r="T1340" s="424"/>
      <c r="U1340" s="424"/>
      <c r="V1340" s="424"/>
      <c r="W1340" s="424"/>
      <c r="Y1340" s="424"/>
      <c r="Z1340" s="424"/>
    </row>
    <row r="1341" customFormat="false" ht="15.75" hidden="false" customHeight="false" outlineLevel="0" collapsed="false">
      <c r="R1341" s="424"/>
      <c r="S1341" s="424"/>
      <c r="T1341" s="424"/>
      <c r="U1341" s="424"/>
      <c r="V1341" s="424"/>
      <c r="W1341" s="424"/>
      <c r="Y1341" s="424"/>
      <c r="Z1341" s="424"/>
    </row>
    <row r="1342" customFormat="false" ht="15.75" hidden="false" customHeight="false" outlineLevel="0" collapsed="false">
      <c r="R1342" s="424"/>
      <c r="S1342" s="424"/>
      <c r="T1342" s="424"/>
      <c r="U1342" s="424"/>
      <c r="V1342" s="424"/>
      <c r="W1342" s="424"/>
      <c r="Y1342" s="424"/>
      <c r="Z1342" s="424"/>
    </row>
    <row r="1343" customFormat="false" ht="15.75" hidden="false" customHeight="false" outlineLevel="0" collapsed="false">
      <c r="R1343" s="424"/>
      <c r="S1343" s="424"/>
      <c r="T1343" s="424"/>
      <c r="U1343" s="424"/>
      <c r="V1343" s="424"/>
      <c r="W1343" s="424"/>
      <c r="Y1343" s="424"/>
      <c r="Z1343" s="424"/>
    </row>
    <row r="1344" customFormat="false" ht="15.75" hidden="false" customHeight="false" outlineLevel="0" collapsed="false">
      <c r="R1344" s="424"/>
      <c r="S1344" s="424"/>
      <c r="T1344" s="424"/>
      <c r="U1344" s="424"/>
      <c r="V1344" s="424"/>
      <c r="W1344" s="424"/>
      <c r="Y1344" s="424"/>
      <c r="Z1344" s="424"/>
    </row>
    <row r="1345" customFormat="false" ht="15.75" hidden="false" customHeight="false" outlineLevel="0" collapsed="false">
      <c r="R1345" s="424"/>
      <c r="S1345" s="424"/>
      <c r="T1345" s="424"/>
      <c r="U1345" s="424"/>
      <c r="V1345" s="424"/>
      <c r="W1345" s="424"/>
      <c r="Y1345" s="424"/>
      <c r="Z1345" s="424"/>
    </row>
    <row r="1346" customFormat="false" ht="15.75" hidden="false" customHeight="false" outlineLevel="0" collapsed="false">
      <c r="R1346" s="424"/>
      <c r="S1346" s="424"/>
      <c r="T1346" s="424"/>
      <c r="U1346" s="424"/>
      <c r="V1346" s="424"/>
      <c r="W1346" s="424"/>
      <c r="Y1346" s="424"/>
      <c r="Z1346" s="424"/>
    </row>
    <row r="1347" customFormat="false" ht="15.75" hidden="false" customHeight="false" outlineLevel="0" collapsed="false">
      <c r="R1347" s="424"/>
      <c r="S1347" s="424"/>
      <c r="T1347" s="424"/>
      <c r="U1347" s="424"/>
      <c r="V1347" s="424"/>
      <c r="W1347" s="424"/>
      <c r="Y1347" s="424"/>
      <c r="Z1347" s="424"/>
    </row>
    <row r="1348" customFormat="false" ht="15.75" hidden="false" customHeight="false" outlineLevel="0" collapsed="false">
      <c r="R1348" s="424"/>
      <c r="S1348" s="424"/>
      <c r="T1348" s="424"/>
      <c r="U1348" s="424"/>
      <c r="V1348" s="424"/>
      <c r="W1348" s="424"/>
      <c r="Y1348" s="424"/>
      <c r="Z1348" s="424"/>
    </row>
    <row r="1349" customFormat="false" ht="15.75" hidden="false" customHeight="false" outlineLevel="0" collapsed="false">
      <c r="R1349" s="424"/>
      <c r="S1349" s="424"/>
      <c r="T1349" s="424"/>
      <c r="U1349" s="424"/>
      <c r="V1349" s="424"/>
      <c r="W1349" s="424"/>
      <c r="Y1349" s="424"/>
      <c r="Z1349" s="424"/>
    </row>
    <row r="1350" customFormat="false" ht="15.75" hidden="false" customHeight="false" outlineLevel="0" collapsed="false">
      <c r="R1350" s="424"/>
      <c r="S1350" s="424"/>
      <c r="T1350" s="424"/>
      <c r="U1350" s="424"/>
      <c r="V1350" s="424"/>
      <c r="W1350" s="424"/>
      <c r="Y1350" s="424"/>
      <c r="Z1350" s="424"/>
    </row>
    <row r="1351" customFormat="false" ht="15.75" hidden="false" customHeight="false" outlineLevel="0" collapsed="false">
      <c r="R1351" s="424"/>
      <c r="S1351" s="424"/>
      <c r="T1351" s="424"/>
      <c r="U1351" s="424"/>
      <c r="V1351" s="424"/>
      <c r="W1351" s="424"/>
      <c r="Y1351" s="424"/>
      <c r="Z1351" s="424"/>
    </row>
    <row r="1352" customFormat="false" ht="15.75" hidden="false" customHeight="false" outlineLevel="0" collapsed="false">
      <c r="R1352" s="424"/>
      <c r="S1352" s="424"/>
      <c r="T1352" s="424"/>
      <c r="U1352" s="424"/>
      <c r="V1352" s="424"/>
      <c r="W1352" s="424"/>
      <c r="Y1352" s="424"/>
      <c r="Z1352" s="424"/>
    </row>
    <row r="1353" customFormat="false" ht="15.75" hidden="false" customHeight="false" outlineLevel="0" collapsed="false">
      <c r="R1353" s="424"/>
      <c r="S1353" s="424"/>
      <c r="T1353" s="424"/>
      <c r="U1353" s="424"/>
      <c r="V1353" s="424"/>
      <c r="W1353" s="424"/>
      <c r="Y1353" s="424"/>
      <c r="Z1353" s="424"/>
    </row>
    <row r="1354" customFormat="false" ht="15.75" hidden="false" customHeight="false" outlineLevel="0" collapsed="false">
      <c r="R1354" s="424"/>
      <c r="S1354" s="424"/>
      <c r="T1354" s="424"/>
      <c r="U1354" s="424"/>
      <c r="V1354" s="424"/>
      <c r="W1354" s="424"/>
      <c r="Y1354" s="424"/>
      <c r="Z1354" s="424"/>
    </row>
    <row r="1355" customFormat="false" ht="15.75" hidden="false" customHeight="false" outlineLevel="0" collapsed="false">
      <c r="R1355" s="424"/>
      <c r="S1355" s="424"/>
      <c r="T1355" s="424"/>
      <c r="U1355" s="424"/>
      <c r="V1355" s="424"/>
      <c r="W1355" s="424"/>
      <c r="Y1355" s="424"/>
      <c r="Z1355" s="424"/>
    </row>
    <row r="1356" customFormat="false" ht="15.75" hidden="false" customHeight="false" outlineLevel="0" collapsed="false">
      <c r="R1356" s="424"/>
      <c r="S1356" s="424"/>
      <c r="T1356" s="424"/>
      <c r="U1356" s="424"/>
      <c r="V1356" s="424"/>
      <c r="W1356" s="424"/>
      <c r="Y1356" s="424"/>
      <c r="Z1356" s="424"/>
    </row>
    <row r="1357" customFormat="false" ht="15.75" hidden="false" customHeight="false" outlineLevel="0" collapsed="false">
      <c r="R1357" s="424"/>
      <c r="S1357" s="424"/>
      <c r="T1357" s="424"/>
      <c r="U1357" s="424"/>
      <c r="V1357" s="424"/>
      <c r="W1357" s="424"/>
      <c r="Y1357" s="424"/>
      <c r="Z1357" s="424"/>
    </row>
    <row r="1358" customFormat="false" ht="15.75" hidden="false" customHeight="false" outlineLevel="0" collapsed="false">
      <c r="R1358" s="424"/>
      <c r="S1358" s="424"/>
      <c r="T1358" s="424"/>
      <c r="U1358" s="424"/>
      <c r="V1358" s="424"/>
      <c r="W1358" s="424"/>
      <c r="Y1358" s="424"/>
      <c r="Z1358" s="424"/>
    </row>
    <row r="1359" customFormat="false" ht="15.75" hidden="false" customHeight="false" outlineLevel="0" collapsed="false">
      <c r="R1359" s="424"/>
      <c r="S1359" s="424"/>
      <c r="T1359" s="424"/>
      <c r="U1359" s="424"/>
      <c r="V1359" s="424"/>
      <c r="W1359" s="424"/>
      <c r="Y1359" s="424"/>
      <c r="Z1359" s="424"/>
    </row>
    <row r="1360" customFormat="false" ht="15.75" hidden="false" customHeight="false" outlineLevel="0" collapsed="false">
      <c r="R1360" s="424"/>
      <c r="S1360" s="424"/>
      <c r="T1360" s="424"/>
      <c r="U1360" s="424"/>
      <c r="V1360" s="424"/>
      <c r="W1360" s="424"/>
      <c r="Y1360" s="424"/>
      <c r="Z1360" s="424"/>
    </row>
    <row r="1361" customFormat="false" ht="15.75" hidden="false" customHeight="false" outlineLevel="0" collapsed="false">
      <c r="R1361" s="424"/>
      <c r="S1361" s="424"/>
      <c r="T1361" s="424"/>
      <c r="U1361" s="424"/>
      <c r="V1361" s="424"/>
      <c r="W1361" s="424"/>
      <c r="Y1361" s="424"/>
      <c r="Z1361" s="424"/>
    </row>
    <row r="1362" customFormat="false" ht="15.75" hidden="false" customHeight="false" outlineLevel="0" collapsed="false">
      <c r="R1362" s="424"/>
      <c r="S1362" s="424"/>
      <c r="T1362" s="424"/>
      <c r="U1362" s="424"/>
      <c r="V1362" s="424"/>
      <c r="W1362" s="424"/>
      <c r="Y1362" s="424"/>
      <c r="Z1362" s="424"/>
    </row>
    <row r="1363" customFormat="false" ht="15.75" hidden="false" customHeight="false" outlineLevel="0" collapsed="false">
      <c r="R1363" s="424"/>
      <c r="S1363" s="424"/>
      <c r="T1363" s="424"/>
      <c r="U1363" s="424"/>
      <c r="V1363" s="424"/>
      <c r="W1363" s="424"/>
      <c r="Y1363" s="424"/>
      <c r="Z1363" s="424"/>
    </row>
    <row r="1364" customFormat="false" ht="15.75" hidden="false" customHeight="false" outlineLevel="0" collapsed="false">
      <c r="R1364" s="424"/>
      <c r="S1364" s="424"/>
      <c r="T1364" s="424"/>
      <c r="U1364" s="424"/>
      <c r="V1364" s="424"/>
      <c r="W1364" s="424"/>
      <c r="Y1364" s="424"/>
      <c r="Z1364" s="424"/>
    </row>
    <row r="1365" customFormat="false" ht="15.75" hidden="false" customHeight="false" outlineLevel="0" collapsed="false">
      <c r="R1365" s="424"/>
      <c r="S1365" s="424"/>
      <c r="T1365" s="424"/>
      <c r="U1365" s="424"/>
      <c r="V1365" s="424"/>
      <c r="W1365" s="424"/>
      <c r="Y1365" s="424"/>
      <c r="Z1365" s="424"/>
    </row>
    <row r="1366" customFormat="false" ht="15.75" hidden="false" customHeight="false" outlineLevel="0" collapsed="false">
      <c r="R1366" s="424"/>
      <c r="S1366" s="424"/>
      <c r="T1366" s="424"/>
      <c r="U1366" s="424"/>
      <c r="V1366" s="424"/>
      <c r="W1366" s="424"/>
      <c r="Y1366" s="424"/>
      <c r="Z1366" s="424"/>
    </row>
    <row r="1367" customFormat="false" ht="15.75" hidden="false" customHeight="false" outlineLevel="0" collapsed="false">
      <c r="R1367" s="424"/>
      <c r="S1367" s="424"/>
      <c r="T1367" s="424"/>
      <c r="U1367" s="424"/>
      <c r="V1367" s="424"/>
      <c r="W1367" s="424"/>
      <c r="Y1367" s="424"/>
      <c r="Z1367" s="424"/>
    </row>
  </sheetData>
  <autoFilter ref="B1:I2630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AJ76"/>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Q77" activeCellId="0" sqref="Q77"/>
    </sheetView>
  </sheetViews>
  <sheetFormatPr defaultColWidth="10.5" defaultRowHeight="15.75" zeroHeight="false" outlineLevelRow="0" outlineLevelCol="0"/>
  <cols>
    <col collapsed="false" customWidth="true" hidden="false" outlineLevel="0" max="11" min="11" style="0" width="16.33"/>
    <col collapsed="false" customWidth="true" hidden="false" outlineLevel="0" max="13" min="13" style="0" width="14"/>
    <col collapsed="false" customWidth="true" hidden="false" outlineLevel="0" max="14" min="14" style="0" width="16.33"/>
    <col collapsed="false" customWidth="true" hidden="false" outlineLevel="0" max="28" min="28" style="0" width="12.83"/>
  </cols>
  <sheetData>
    <row r="1" customFormat="false" ht="21" hidden="false" customHeight="false" outlineLevel="0" collapsed="false">
      <c r="A1" s="563" t="s">
        <v>2000</v>
      </c>
      <c r="B1" s="564" t="s">
        <v>2001</v>
      </c>
      <c r="C1" s="564" t="s">
        <v>1804</v>
      </c>
      <c r="D1" s="564" t="s">
        <v>2002</v>
      </c>
      <c r="E1" s="564" t="s">
        <v>2003</v>
      </c>
      <c r="F1" s="564" t="s">
        <v>2004</v>
      </c>
      <c r="G1" s="564" t="s">
        <v>2005</v>
      </c>
      <c r="H1" s="564" t="s">
        <v>2006</v>
      </c>
      <c r="I1" s="564" t="s">
        <v>2007</v>
      </c>
      <c r="K1" s="116" t="n">
        <v>365.252932</v>
      </c>
      <c r="L1" s="504" t="s">
        <v>1758</v>
      </c>
      <c r="M1" s="504" t="s">
        <v>2008</v>
      </c>
      <c r="N1" s="505" t="s">
        <v>1760</v>
      </c>
      <c r="O1" s="505" t="s">
        <v>1761</v>
      </c>
      <c r="P1" s="505" t="s">
        <v>1762</v>
      </c>
      <c r="Q1" s="505" t="s">
        <v>1763</v>
      </c>
      <c r="R1" s="505" t="s">
        <v>501</v>
      </c>
      <c r="T1" s="0" t="s">
        <v>1763</v>
      </c>
      <c r="U1" s="0" t="s">
        <v>2009</v>
      </c>
      <c r="W1" s="115" t="s">
        <v>2010</v>
      </c>
      <c r="X1" s="115" t="s">
        <v>1802</v>
      </c>
      <c r="Y1" s="115" t="s">
        <v>1791</v>
      </c>
      <c r="Z1" s="115" t="s">
        <v>1792</v>
      </c>
      <c r="AA1" s="565" t="s">
        <v>500</v>
      </c>
      <c r="AB1" s="115" t="s">
        <v>2011</v>
      </c>
      <c r="AC1" s="565" t="s">
        <v>501</v>
      </c>
    </row>
    <row r="2" customFormat="false" ht="15.75" hidden="false" customHeight="false" outlineLevel="0" collapsed="false">
      <c r="A2" s="0" t="s">
        <v>2012</v>
      </c>
      <c r="B2" s="0" t="n">
        <v>438289</v>
      </c>
      <c r="C2" s="0" t="n">
        <v>1</v>
      </c>
      <c r="D2" s="142" t="n">
        <v>1.86264514923095E-009</v>
      </c>
      <c r="E2" s="0" t="n">
        <v>274.614197786245</v>
      </c>
      <c r="F2" s="0" t="n">
        <v>277.628493757662</v>
      </c>
      <c r="G2" s="142" t="n">
        <v>6.93889390390722E-018</v>
      </c>
      <c r="H2" s="142" t="n">
        <v>0.286549237759909</v>
      </c>
      <c r="I2" s="142" t="n">
        <v>-2.18671542761074</v>
      </c>
      <c r="L2" s="0" t="n">
        <v>1950</v>
      </c>
      <c r="M2" s="0" t="n">
        <f aca="false">(L2-INT(L2))*365.25</f>
        <v>0</v>
      </c>
      <c r="N2" s="0" t="n">
        <f aca="false">U2</f>
        <v>1.04515925049781E-012</v>
      </c>
      <c r="O2" s="0" t="n">
        <f aca="false">F2-273.15</f>
        <v>4.47849375766202</v>
      </c>
      <c r="P2" s="0" t="n">
        <f aca="false">100*EXP(17.625*(E2-273.15)/(243.04+(E2-273.15)))/EXP(17.625*(F2-273.15)/(F2-273.15+243.04))</f>
        <v>80.7870889356106</v>
      </c>
      <c r="Q2" s="506" t="n">
        <f aca="false">T2</f>
        <v>6.93889390390722E-015</v>
      </c>
      <c r="R2" s="0" t="n">
        <f aca="false">SQRT(H2^2+I2^2)</f>
        <v>2.20541035342895</v>
      </c>
      <c r="T2" s="0" t="n">
        <f aca="false">G2*1000</f>
        <v>6.93889390390722E-015</v>
      </c>
      <c r="U2" s="0" t="n">
        <f aca="false">D2*10000/1000000*277.78*2.02/10000</f>
        <v>1.04515925049781E-012</v>
      </c>
      <c r="AI2" s="142"/>
      <c r="AJ2" s="142"/>
    </row>
    <row r="3" customFormat="false" ht="15.75" hidden="false" customHeight="false" outlineLevel="0" collapsed="false">
      <c r="A3" s="0" t="n">
        <v>2.72000002861022</v>
      </c>
      <c r="B3" s="0" t="n">
        <v>438290</v>
      </c>
      <c r="C3" s="0" t="n">
        <v>2</v>
      </c>
      <c r="D3" s="142" t="n">
        <v>1.86264514923095E-009</v>
      </c>
      <c r="E3" s="0" t="n">
        <v>274.155673990666</v>
      </c>
      <c r="F3" s="0" t="n">
        <v>277.048872005107</v>
      </c>
      <c r="G3" s="142" t="n">
        <v>6.93889390390722E-018</v>
      </c>
      <c r="H3" s="142" t="n">
        <v>0.297872836976948</v>
      </c>
      <c r="I3" s="142" t="n">
        <v>-2.12424493093215</v>
      </c>
      <c r="L3" s="0" t="n">
        <f aca="false">L2+1/24/$K$1</f>
        <v>1950.0001140762</v>
      </c>
      <c r="M3" s="0" t="n">
        <f aca="false">(L3-INT(L3))*$K$1</f>
        <v>0.041666666653466</v>
      </c>
      <c r="N3" s="0" t="n">
        <f aca="false">U3-U2</f>
        <v>0</v>
      </c>
      <c r="O3" s="0" t="n">
        <f aca="false">F3-273.15</f>
        <v>3.89887200510702</v>
      </c>
      <c r="P3" s="0" t="n">
        <f aca="false">100*EXP(17.625*(E3-273.15)/(243.04+(E3-273.15)))/EXP(17.625*(F3-273.15)/(F3-273.15+243.04))</f>
        <v>81.4119604929522</v>
      </c>
      <c r="Q3" s="0" t="n">
        <f aca="false">T3-T2</f>
        <v>0</v>
      </c>
      <c r="R3" s="0" t="n">
        <f aca="false">SQRT(H3^2+I3^2)</f>
        <v>2.14502791441035</v>
      </c>
      <c r="T3" s="0" t="n">
        <f aca="false">G3*1000</f>
        <v>6.93889390390722E-015</v>
      </c>
      <c r="U3" s="0" t="n">
        <f aca="false">D3*10000/1000000*277.78*2.02/10000</f>
        <v>1.04515925049781E-012</v>
      </c>
      <c r="AI3" s="142"/>
      <c r="AJ3" s="142"/>
    </row>
    <row r="4" customFormat="false" ht="15.75" hidden="false" customHeight="false" outlineLevel="0" collapsed="false">
      <c r="A4" s="0" t="s">
        <v>2013</v>
      </c>
      <c r="B4" s="0" t="n">
        <v>438291</v>
      </c>
      <c r="C4" s="0" t="n">
        <v>3</v>
      </c>
      <c r="D4" s="142" t="n">
        <v>1.86264514923095E-009</v>
      </c>
      <c r="E4" s="0" t="n">
        <v>273.699884929455</v>
      </c>
      <c r="F4" s="0" t="n">
        <v>276.341964894913</v>
      </c>
      <c r="G4" s="142" t="n">
        <v>6.93889390390722E-018</v>
      </c>
      <c r="H4" s="142" t="n">
        <v>0.301647370049294</v>
      </c>
      <c r="I4" s="142" t="n">
        <v>-2.04023288367474</v>
      </c>
      <c r="L4" s="0" t="n">
        <f aca="false">L3+1/24/$K$1</f>
        <v>1950.0002281524</v>
      </c>
      <c r="M4" s="0" t="n">
        <f aca="false">(L4-INT(L4))*$K$1</f>
        <v>0.083333333306932</v>
      </c>
      <c r="N4" s="0" t="n">
        <f aca="false">U4-U3</f>
        <v>0</v>
      </c>
      <c r="O4" s="0" t="n">
        <f aca="false">F4-273.15</f>
        <v>3.19196489491304</v>
      </c>
      <c r="P4" s="0" t="n">
        <f aca="false">100*EXP(17.625*(E4-273.15)/(243.04+(E4-273.15)))/EXP(17.625*(F4-273.15)/(F4-273.15+243.04))</f>
        <v>82.8043061494093</v>
      </c>
      <c r="Q4" s="0" t="n">
        <f aca="false">T4-T3</f>
        <v>0</v>
      </c>
      <c r="R4" s="0" t="n">
        <f aca="false">SQRT(H4^2+I4^2)</f>
        <v>2.06241153882667</v>
      </c>
      <c r="T4" s="0" t="n">
        <f aca="false">G4*1000</f>
        <v>6.93889390390722E-015</v>
      </c>
      <c r="U4" s="0" t="n">
        <f aca="false">D4*10000/1000000*277.78*2.02/10000</f>
        <v>1.04515925049781E-012</v>
      </c>
      <c r="AI4" s="142"/>
      <c r="AJ4" s="142"/>
    </row>
    <row r="5" customFormat="false" ht="15.75" hidden="false" customHeight="false" outlineLevel="0" collapsed="false">
      <c r="A5" s="0" t="n">
        <v>44.7</v>
      </c>
      <c r="B5" s="0" t="n">
        <v>438292</v>
      </c>
      <c r="C5" s="0" t="n">
        <v>4</v>
      </c>
      <c r="D5" s="142" t="n">
        <v>1.86264514923095E-009</v>
      </c>
      <c r="E5" s="0" t="n">
        <v>273.339811571099</v>
      </c>
      <c r="F5" s="0" t="n">
        <v>275.783382044447</v>
      </c>
      <c r="G5" s="142" t="n">
        <v>6.93889390390722E-018</v>
      </c>
      <c r="H5" s="142" t="n">
        <v>0.452089473932816</v>
      </c>
      <c r="I5" s="142" t="n">
        <v>-1.9255241268425</v>
      </c>
      <c r="L5" s="0" t="n">
        <f aca="false">L4+1/24/$K$1</f>
        <v>1950.0003422286</v>
      </c>
      <c r="M5" s="0" t="n">
        <f aca="false">(L5-INT(L5))*$K$1</f>
        <v>0.124999999960398</v>
      </c>
      <c r="N5" s="0" t="n">
        <f aca="false">U5-U4</f>
        <v>0</v>
      </c>
      <c r="O5" s="0" t="n">
        <f aca="false">F5-273.15</f>
        <v>2.63338204444705</v>
      </c>
      <c r="P5" s="0" t="n">
        <f aca="false">100*EXP(17.625*(E5-273.15)/(243.04+(E5-273.15)))/EXP(17.625*(F5-273.15)/(F5-273.15+243.04))</f>
        <v>83.9315302535533</v>
      </c>
      <c r="Q5" s="0" t="n">
        <f aca="false">T5-T4</f>
        <v>0</v>
      </c>
      <c r="R5" s="0" t="n">
        <f aca="false">SQRT(H5^2+I5^2)</f>
        <v>1.97788474272224</v>
      </c>
      <c r="T5" s="0" t="n">
        <f aca="false">G5*1000</f>
        <v>6.93889390390722E-015</v>
      </c>
      <c r="U5" s="0" t="n">
        <f aca="false">D5*10000/1000000*277.78*2.02/10000</f>
        <v>1.04515925049781E-012</v>
      </c>
      <c r="AI5" s="142"/>
      <c r="AJ5" s="142"/>
    </row>
    <row r="6" customFormat="false" ht="15.75" hidden="false" customHeight="false" outlineLevel="0" collapsed="false">
      <c r="B6" s="0" t="n">
        <v>438293</v>
      </c>
      <c r="C6" s="0" t="n">
        <v>5</v>
      </c>
      <c r="D6" s="142" t="n">
        <v>1.86264514923095E-009</v>
      </c>
      <c r="E6" s="0" t="n">
        <v>272.939628775355</v>
      </c>
      <c r="F6" s="0" t="n">
        <v>275.230058919504</v>
      </c>
      <c r="G6" s="142" t="n">
        <v>6.93889390390722E-018</v>
      </c>
      <c r="H6" s="142" t="n">
        <v>0.585815788495947</v>
      </c>
      <c r="I6" s="142" t="n">
        <v>-1.87113171163097</v>
      </c>
      <c r="L6" s="0" t="n">
        <f aca="false">L5+1/24/$K$1</f>
        <v>1950.0004563048</v>
      </c>
      <c r="M6" s="0" t="n">
        <f aca="false">(L6-INT(L6))*$K$1</f>
        <v>0.166666666613864</v>
      </c>
      <c r="N6" s="0" t="n">
        <f aca="false">U6-U5</f>
        <v>0</v>
      </c>
      <c r="O6" s="0" t="n">
        <f aca="false">F6-273.15</f>
        <v>2.08005891950404</v>
      </c>
      <c r="P6" s="0" t="n">
        <f aca="false">100*EXP(17.625*(E6-273.15)/(243.04+(E6-273.15)))/EXP(17.625*(F6-273.15)/(F6-273.15+243.04))</f>
        <v>84.8035558228543</v>
      </c>
      <c r="Q6" s="0" t="n">
        <f aca="false">T6-T5</f>
        <v>0</v>
      </c>
      <c r="R6" s="0" t="n">
        <f aca="false">SQRT(H6^2+I6^2)</f>
        <v>1.96069222988264</v>
      </c>
      <c r="T6" s="0" t="n">
        <f aca="false">G6*1000</f>
        <v>6.93889390390722E-015</v>
      </c>
      <c r="U6" s="0" t="n">
        <f aca="false">D6*10000/1000000*277.78*2.02/10000</f>
        <v>1.04515925049781E-012</v>
      </c>
      <c r="AI6" s="142"/>
      <c r="AJ6" s="142"/>
    </row>
    <row r="7" customFormat="false" ht="15.75" hidden="false" customHeight="false" outlineLevel="0" collapsed="false">
      <c r="B7" s="0" t="n">
        <v>438294</v>
      </c>
      <c r="C7" s="0" t="n">
        <v>6</v>
      </c>
      <c r="D7" s="142" t="n">
        <v>1.86264514923095E-009</v>
      </c>
      <c r="E7" s="0" t="n">
        <v>272.659774291772</v>
      </c>
      <c r="F7" s="0" t="n">
        <v>274.842943121064</v>
      </c>
      <c r="G7" s="142" t="n">
        <v>6.93889390390722E-018</v>
      </c>
      <c r="H7" s="142" t="n">
        <v>0.510864346059353</v>
      </c>
      <c r="I7" s="142" t="n">
        <v>-1.8889034908585</v>
      </c>
      <c r="L7" s="0" t="n">
        <f aca="false">L6+1/24/$K$1</f>
        <v>1950.000570381</v>
      </c>
      <c r="M7" s="0" t="n">
        <f aca="false">(L7-INT(L7))*$K$1</f>
        <v>0.20833333326733</v>
      </c>
      <c r="N7" s="0" t="n">
        <f aca="false">U7-U6</f>
        <v>0</v>
      </c>
      <c r="O7" s="0" t="n">
        <f aca="false">F7-273.15</f>
        <v>1.69294312106405</v>
      </c>
      <c r="P7" s="0" t="n">
        <f aca="false">100*EXP(17.625*(E7-273.15)/(243.04+(E7-273.15)))/EXP(17.625*(F7-273.15)/(F7-273.15+243.04))</f>
        <v>85.4239527325616</v>
      </c>
      <c r="Q7" s="0" t="n">
        <f aca="false">T7-T6</f>
        <v>0</v>
      </c>
      <c r="R7" s="0" t="n">
        <f aca="false">SQRT(H7^2+I7^2)</f>
        <v>1.95676743070097</v>
      </c>
      <c r="T7" s="0" t="n">
        <f aca="false">G7*1000</f>
        <v>6.93889390390722E-015</v>
      </c>
      <c r="U7" s="0" t="n">
        <f aca="false">D7*10000/1000000*277.78*2.02/10000</f>
        <v>1.04515925049781E-012</v>
      </c>
      <c r="AI7" s="142"/>
      <c r="AJ7" s="142"/>
    </row>
    <row r="8" customFormat="false" ht="15.75" hidden="false" customHeight="false" outlineLevel="0" collapsed="false">
      <c r="B8" s="0" t="n">
        <v>438295</v>
      </c>
      <c r="C8" s="0" t="n">
        <v>7</v>
      </c>
      <c r="D8" s="142" t="n">
        <v>1.86264514923095E-009</v>
      </c>
      <c r="E8" s="0" t="n">
        <v>272.150202121338</v>
      </c>
      <c r="F8" s="0" t="n">
        <v>274.962864862972</v>
      </c>
      <c r="G8" s="142" t="n">
        <v>1.47035475982215E-006</v>
      </c>
      <c r="H8" s="142" t="n">
        <v>0.00399847634426242</v>
      </c>
      <c r="I8" s="142" t="n">
        <v>-1.87005463410203</v>
      </c>
      <c r="L8" s="0" t="n">
        <f aca="false">L7+1/24/$K$1</f>
        <v>1950.0006844572</v>
      </c>
      <c r="M8" s="0" t="n">
        <f aca="false">(L8-INT(L8))*$K$1</f>
        <v>0.249999999920796</v>
      </c>
      <c r="N8" s="0" t="n">
        <f aca="false">U8-U7</f>
        <v>0</v>
      </c>
      <c r="O8" s="0" t="n">
        <f aca="false">F8-273.15</f>
        <v>1.81286486297205</v>
      </c>
      <c r="P8" s="0" t="n">
        <f aca="false">100*EXP(17.625*(E8-273.15)/(243.04+(E8-273.15)))/EXP(17.625*(F8-273.15)/(F8-273.15+243.04))</f>
        <v>81.6035508223334</v>
      </c>
      <c r="Q8" s="0" t="n">
        <f aca="false">T8-T7</f>
        <v>0.00147035475981521</v>
      </c>
      <c r="R8" s="0" t="n">
        <f aca="false">SQRT(H8^2+I8^2)</f>
        <v>1.87005890878859</v>
      </c>
      <c r="T8" s="0" t="n">
        <f aca="false">G8*1000</f>
        <v>0.00147035475982215</v>
      </c>
      <c r="U8" s="0" t="n">
        <f aca="false">D8*10000/1000000*277.78*2.02/10000</f>
        <v>1.04515925049781E-012</v>
      </c>
      <c r="AI8" s="142"/>
      <c r="AJ8" s="142"/>
    </row>
    <row r="9" customFormat="false" ht="15.75" hidden="false" customHeight="false" outlineLevel="0" collapsed="false">
      <c r="B9" s="0" t="n">
        <v>438296</v>
      </c>
      <c r="C9" s="0" t="n">
        <v>8</v>
      </c>
      <c r="D9" s="0" t="n">
        <v>3931.1550516542</v>
      </c>
      <c r="E9" s="0" t="n">
        <v>272.259591496029</v>
      </c>
      <c r="F9" s="0" t="n">
        <v>274.931306509839</v>
      </c>
      <c r="G9" s="142" t="n">
        <v>1.47035475982215E-006</v>
      </c>
      <c r="H9" s="142" t="n">
        <v>-0.0380606064618831</v>
      </c>
      <c r="I9" s="142" t="n">
        <v>-1.76773226885262</v>
      </c>
      <c r="L9" s="0" t="n">
        <f aca="false">L8+1/24/$K$1</f>
        <v>1950.0007985334</v>
      </c>
      <c r="M9" s="0" t="n">
        <f aca="false">(L9-INT(L9))*$K$1</f>
        <v>0.291666666574262</v>
      </c>
      <c r="N9" s="0" t="n">
        <f aca="false">U9-U8</f>
        <v>2.20583242550093</v>
      </c>
      <c r="O9" s="0" t="n">
        <f aca="false">F9-273.15</f>
        <v>1.781306509839</v>
      </c>
      <c r="P9" s="0" t="n">
        <f aca="false">100*EXP(17.625*(E9-273.15)/(243.04+(E9-273.15)))/EXP(17.625*(F9-273.15)/(F9-273.15+243.04))</f>
        <v>82.4442856375651</v>
      </c>
      <c r="Q9" s="0" t="n">
        <f aca="false">T9-T8</f>
        <v>0</v>
      </c>
      <c r="R9" s="0" t="n">
        <f aca="false">SQRT(H9^2+I9^2)</f>
        <v>1.76814195813206</v>
      </c>
      <c r="T9" s="0" t="n">
        <f aca="false">G9*1000</f>
        <v>0.00147035475982215</v>
      </c>
      <c r="U9" s="0" t="n">
        <f aca="false">D9*10000/1000000*277.78*2.02/10000</f>
        <v>2.20583242550198</v>
      </c>
      <c r="AI9" s="142"/>
    </row>
    <row r="10" customFormat="false" ht="15.75" hidden="false" customHeight="false" outlineLevel="0" collapsed="false">
      <c r="B10" s="0" t="n">
        <v>438297</v>
      </c>
      <c r="C10" s="0" t="n">
        <v>9</v>
      </c>
      <c r="D10" s="0" t="n">
        <v>171496.639128379</v>
      </c>
      <c r="E10" s="0" t="n">
        <v>272.273265167865</v>
      </c>
      <c r="F10" s="0" t="n">
        <v>275.224799193982</v>
      </c>
      <c r="G10" s="142" t="n">
        <v>1.47035475982215E-006</v>
      </c>
      <c r="H10" s="142" t="n">
        <v>-0.1777183301387</v>
      </c>
      <c r="I10" s="142" t="n">
        <v>-1.78981235819592</v>
      </c>
      <c r="L10" s="0" t="n">
        <f aca="false">L9+1/24/$K$1</f>
        <v>1950.0009126096</v>
      </c>
      <c r="M10" s="0" t="n">
        <f aca="false">(L10-INT(L10))*$K$1</f>
        <v>0.333333333227728</v>
      </c>
      <c r="N10" s="0" t="n">
        <f aca="false">U10-U9</f>
        <v>94.0236071370019</v>
      </c>
      <c r="O10" s="0" t="n">
        <f aca="false">F10-273.15</f>
        <v>2.07479919398202</v>
      </c>
      <c r="P10" s="0" t="n">
        <f aca="false">100*EXP(17.625*(E10-273.15)/(243.04+(E10-273.15)))/EXP(17.625*(F10-273.15)/(F10-273.15+243.04))</f>
        <v>80.8157216895022</v>
      </c>
      <c r="Q10" s="0" t="n">
        <f aca="false">T10-T9</f>
        <v>0</v>
      </c>
      <c r="R10" s="0" t="n">
        <f aca="false">SQRT(H10^2+I10^2)</f>
        <v>1.7986139336773</v>
      </c>
      <c r="T10" s="0" t="n">
        <f aca="false">G10*1000</f>
        <v>0.00147035475982215</v>
      </c>
      <c r="U10" s="0" t="n">
        <f aca="false">D10*10000/1000000*277.78*2.02/10000</f>
        <v>96.2294395625039</v>
      </c>
      <c r="AI10" s="142"/>
    </row>
    <row r="11" customFormat="false" ht="15.75" hidden="false" customHeight="false" outlineLevel="0" collapsed="false">
      <c r="B11" s="0" t="n">
        <v>438298</v>
      </c>
      <c r="C11" s="0" t="n">
        <v>10</v>
      </c>
      <c r="D11" s="0" t="n">
        <v>690900.50032808</v>
      </c>
      <c r="E11" s="0" t="n">
        <v>272.403620839371</v>
      </c>
      <c r="F11" s="0" t="n">
        <v>275.874901268535</v>
      </c>
      <c r="G11" s="142" t="n">
        <v>2.94070951963737E-006</v>
      </c>
      <c r="H11" s="142" t="n">
        <v>-0.260218838719986</v>
      </c>
      <c r="I11" s="142" t="n">
        <v>-1.4257601534138</v>
      </c>
      <c r="L11" s="0" t="n">
        <f aca="false">L10+1/24/$K$1</f>
        <v>1950.0010266858</v>
      </c>
      <c r="M11" s="0" t="n">
        <f aca="false">(L11-INT(L11))*$K$1</f>
        <v>0.374999999881194</v>
      </c>
      <c r="N11" s="0" t="n">
        <f aca="false">U11-U10</f>
        <v>291.445609219387</v>
      </c>
      <c r="O11" s="0" t="n">
        <f aca="false">F11-273.15</f>
        <v>2.72490126853501</v>
      </c>
      <c r="P11" s="0" t="n">
        <f aca="false">100*EXP(17.625*(E11-273.15)/(243.04+(E11-273.15)))/EXP(17.625*(F11-273.15)/(F11-273.15+243.04))</f>
        <v>77.9027202110125</v>
      </c>
      <c r="Q11" s="0" t="n">
        <f aca="false">T11-T10</f>
        <v>0.00147035475981522</v>
      </c>
      <c r="R11" s="0" t="n">
        <f aca="false">SQRT(H11^2+I11^2)</f>
        <v>1.44931220207632</v>
      </c>
      <c r="T11" s="0" t="n">
        <f aca="false">G11*1000</f>
        <v>0.00294070951963737</v>
      </c>
      <c r="U11" s="0" t="n">
        <f aca="false">D11*10000/1000000*277.78*2.02/10000</f>
        <v>387.675048781891</v>
      </c>
      <c r="AI11" s="142"/>
    </row>
    <row r="12" customFormat="false" ht="15.75" hidden="false" customHeight="false" outlineLevel="0" collapsed="false">
      <c r="B12" s="0" t="n">
        <v>438299</v>
      </c>
      <c r="C12" s="0" t="n">
        <v>11</v>
      </c>
      <c r="D12" s="0" t="n">
        <v>1495313.10277264</v>
      </c>
      <c r="E12" s="0" t="n">
        <v>272.705353197893</v>
      </c>
      <c r="F12" s="0" t="n">
        <v>276.645977030101</v>
      </c>
      <c r="G12" s="142" t="n">
        <v>2.94070951963737E-006</v>
      </c>
      <c r="H12" s="142" t="n">
        <v>-0.333552624125574</v>
      </c>
      <c r="I12" s="142" t="n">
        <v>-0.734814918598047</v>
      </c>
      <c r="L12" s="0" t="n">
        <f aca="false">L11+1/24/$K$1</f>
        <v>1950.001140762</v>
      </c>
      <c r="M12" s="0" t="n">
        <f aca="false">(L12-INT(L12))*$K$1</f>
        <v>0.41666666653466</v>
      </c>
      <c r="N12" s="0" t="n">
        <f aca="false">U12-U11</f>
        <v>451.368460068241</v>
      </c>
      <c r="O12" s="0" t="n">
        <f aca="false">F12-273.15</f>
        <v>3.49597703010102</v>
      </c>
      <c r="P12" s="0" t="n">
        <f aca="false">100*EXP(17.625*(E12-273.15)/(243.04+(E12-273.15)))/EXP(17.625*(F12-273.15)/(F12-273.15+243.04))</f>
        <v>75.4097328617368</v>
      </c>
      <c r="Q12" s="0" t="n">
        <f aca="false">T12-T11</f>
        <v>0</v>
      </c>
      <c r="R12" s="0" t="n">
        <f aca="false">SQRT(H12^2+I12^2)</f>
        <v>0.806976032887787</v>
      </c>
      <c r="T12" s="0" t="n">
        <f aca="false">G12*1000</f>
        <v>0.00294070951963737</v>
      </c>
      <c r="U12" s="0" t="n">
        <f aca="false">D12*10000/1000000*277.78*2.02/10000</f>
        <v>839.043508850132</v>
      </c>
      <c r="AI12" s="142"/>
    </row>
    <row r="13" customFormat="false" ht="15.75" hidden="false" customHeight="false" outlineLevel="0" collapsed="false">
      <c r="B13" s="0" t="n">
        <v>438300</v>
      </c>
      <c r="C13" s="0" t="n">
        <v>12</v>
      </c>
      <c r="D13" s="0" t="n">
        <v>2275155.98614438</v>
      </c>
      <c r="E13" s="0" t="n">
        <v>272.954214025314</v>
      </c>
      <c r="F13" s="0" t="n">
        <v>277.273988257461</v>
      </c>
      <c r="G13" s="142" t="n">
        <v>2.94070951963737E-006</v>
      </c>
      <c r="H13" s="142" t="n">
        <v>0.0455183401400731</v>
      </c>
      <c r="I13" s="142" t="n">
        <v>-0.165040905788169</v>
      </c>
      <c r="L13" s="0" t="n">
        <f aca="false">L12+1/24/$K$1</f>
        <v>1950.0012548382</v>
      </c>
      <c r="M13" s="0" t="n">
        <f aca="false">(L13-INT(L13))*$K$1</f>
        <v>0.458333333188126</v>
      </c>
      <c r="N13" s="0" t="n">
        <f aca="false">U13-U12</f>
        <v>437.582007408864</v>
      </c>
      <c r="O13" s="0" t="n">
        <f aca="false">F13-273.15</f>
        <v>4.12398825746101</v>
      </c>
      <c r="P13" s="0" t="n">
        <f aca="false">100*EXP(17.625*(E13-273.15)/(243.04+(E13-273.15)))/EXP(17.625*(F13-273.15)/(F13-273.15+243.04))</f>
        <v>73.4704550011007</v>
      </c>
      <c r="Q13" s="0" t="n">
        <f aca="false">T13-T12</f>
        <v>0</v>
      </c>
      <c r="R13" s="0" t="n">
        <f aca="false">SQRT(H13^2+I13^2)</f>
        <v>0.171202861753204</v>
      </c>
      <c r="T13" s="0" t="n">
        <f aca="false">G13*1000</f>
        <v>0.00294070951963737</v>
      </c>
      <c r="U13" s="0" t="n">
        <f aca="false">D13*10000/1000000*277.78*2.02/10000</f>
        <v>1276.625516259</v>
      </c>
      <c r="AI13" s="142"/>
    </row>
    <row r="14" customFormat="false" ht="15.75" hidden="false" customHeight="false" outlineLevel="0" collapsed="false">
      <c r="B14" s="0" t="n">
        <v>438301</v>
      </c>
      <c r="C14" s="0" t="n">
        <v>13</v>
      </c>
      <c r="D14" s="0" t="n">
        <v>3262858.69287229</v>
      </c>
      <c r="E14" s="0" t="n">
        <v>273.392683102199</v>
      </c>
      <c r="F14" s="0" t="n">
        <v>278.102920999771</v>
      </c>
      <c r="G14" s="142" t="n">
        <v>2.94070951963737E-006</v>
      </c>
      <c r="H14" s="142" t="n">
        <v>0.551305771834493</v>
      </c>
      <c r="I14" s="142" t="n">
        <v>-0.182812685015698</v>
      </c>
      <c r="L14" s="0" t="n">
        <f aca="false">L13+1/24/$K$1</f>
        <v>1950.0013689144</v>
      </c>
      <c r="M14" s="0" t="n">
        <f aca="false">(L14-INT(L14))*$K$1</f>
        <v>0.499999999841592</v>
      </c>
      <c r="N14" s="0" t="n">
        <f aca="false">U14-U13</f>
        <v>554.215396907255</v>
      </c>
      <c r="O14" s="0" t="n">
        <f aca="false">F14-273.15</f>
        <v>4.95292099977104</v>
      </c>
      <c r="P14" s="0" t="n">
        <f aca="false">100*EXP(17.625*(E14-273.15)/(243.04+(E14-273.15)))/EXP(17.625*(F14-273.15)/(F14-273.15+243.04))</f>
        <v>71.5749244077215</v>
      </c>
      <c r="Q14" s="0" t="n">
        <f aca="false">T14-T13</f>
        <v>0</v>
      </c>
      <c r="R14" s="0" t="n">
        <f aca="false">SQRT(H14^2+I14^2)</f>
        <v>0.580825732781077</v>
      </c>
      <c r="T14" s="0" t="n">
        <f aca="false">G14*1000</f>
        <v>0.00294070951963737</v>
      </c>
      <c r="U14" s="0" t="n">
        <f aca="false">D14*10000/1000000*277.78*2.02/10000</f>
        <v>1830.84091316625</v>
      </c>
      <c r="AI14" s="142"/>
    </row>
    <row r="15" customFormat="false" ht="15.75" hidden="false" customHeight="false" outlineLevel="0" collapsed="false">
      <c r="B15" s="0" t="n">
        <v>438302</v>
      </c>
      <c r="C15" s="0" t="n">
        <v>14</v>
      </c>
      <c r="D15" s="0" t="n">
        <v>4208301.48279492</v>
      </c>
      <c r="E15" s="0" t="n">
        <v>273.649748132722</v>
      </c>
      <c r="F15" s="0" t="n">
        <v>278.471101786331</v>
      </c>
      <c r="G15" s="142" t="n">
        <v>2.94070951963737E-006</v>
      </c>
      <c r="H15" s="142" t="n">
        <v>0.768071813989245</v>
      </c>
      <c r="I15" s="142" t="n">
        <v>-0.602334382538283</v>
      </c>
      <c r="L15" s="0" t="n">
        <f aca="false">L14+1/24/$K$1</f>
        <v>1950.0014829906</v>
      </c>
      <c r="M15" s="0" t="n">
        <f aca="false">(L15-INT(L15))*$K$1</f>
        <v>0.541666666495058</v>
      </c>
      <c r="N15" s="0" t="n">
        <f aca="false">U15-U14</f>
        <v>530.502698333111</v>
      </c>
      <c r="O15" s="0" t="n">
        <f aca="false">F15-273.15</f>
        <v>5.32110178633104</v>
      </c>
      <c r="P15" s="0" t="n">
        <f aca="false">100*EXP(17.625*(E15-273.15)/(243.04+(E15-273.15)))/EXP(17.625*(F15-273.15)/(F15-273.15+243.04))</f>
        <v>71.0741616838071</v>
      </c>
      <c r="Q15" s="0" t="n">
        <f aca="false">T15-T14</f>
        <v>0</v>
      </c>
      <c r="R15" s="0" t="n">
        <f aca="false">SQRT(H15^2+I15^2)</f>
        <v>0.976084535187657</v>
      </c>
      <c r="T15" s="0" t="n">
        <f aca="false">G15*1000</f>
        <v>0.00294070951963737</v>
      </c>
      <c r="U15" s="0" t="n">
        <f aca="false">D15*10000/1000000*277.78*2.02/10000</f>
        <v>2361.34361149936</v>
      </c>
      <c r="AI15" s="142"/>
    </row>
    <row r="16" customFormat="false" ht="15.75" hidden="false" customHeight="false" outlineLevel="0" collapsed="false">
      <c r="B16" s="0" t="n">
        <v>438303</v>
      </c>
      <c r="C16" s="0" t="n">
        <v>15</v>
      </c>
      <c r="D16" s="0" t="n">
        <v>4774387.81023301</v>
      </c>
      <c r="E16" s="0" t="n">
        <v>273.657040757702</v>
      </c>
      <c r="F16" s="0" t="n">
        <v>278.443751213615</v>
      </c>
      <c r="G16" s="142" t="n">
        <v>2.94070951963737E-006</v>
      </c>
      <c r="H16" s="142" t="n">
        <v>0.536746858555443</v>
      </c>
      <c r="I16" s="142" t="n">
        <v>-1.0412434755818</v>
      </c>
      <c r="L16" s="0" t="n">
        <f aca="false">L15+1/24/$K$1</f>
        <v>1950.00159706681</v>
      </c>
      <c r="M16" s="0" t="n">
        <f aca="false">(L16-INT(L16))*$K$1</f>
        <v>0.583333333148524</v>
      </c>
      <c r="N16" s="0" t="n">
        <f aca="false">U16-U15</f>
        <v>317.63986927222</v>
      </c>
      <c r="O16" s="0" t="n">
        <f aca="false">F16-273.15</f>
        <v>5.293751213615</v>
      </c>
      <c r="P16" s="0" t="n">
        <f aca="false">100*EXP(17.625*(E16-273.15)/(243.04+(E16-273.15)))/EXP(17.625*(F16-273.15)/(F16-273.15+243.04))</f>
        <v>71.2468135636755</v>
      </c>
      <c r="Q16" s="0" t="n">
        <f aca="false">T16-T15</f>
        <v>0</v>
      </c>
      <c r="R16" s="0" t="n">
        <f aca="false">SQRT(H16^2+I16^2)</f>
        <v>1.17144575871476</v>
      </c>
      <c r="T16" s="0" t="n">
        <f aca="false">G16*1000</f>
        <v>0.00294070951963737</v>
      </c>
      <c r="U16" s="0" t="n">
        <f aca="false">D16*10000/1000000*277.78*2.02/10000</f>
        <v>2678.98348077158</v>
      </c>
      <c r="AI16" s="142"/>
    </row>
    <row r="17" customFormat="false" ht="15.75" hidden="false" customHeight="false" outlineLevel="0" collapsed="false">
      <c r="B17" s="0" t="n">
        <v>438304</v>
      </c>
      <c r="C17" s="0" t="n">
        <v>16</v>
      </c>
      <c r="D17" s="0" t="n">
        <v>5024998.94477591</v>
      </c>
      <c r="E17" s="0" t="n">
        <v>273.544005070521</v>
      </c>
      <c r="F17" s="0" t="n">
        <v>278.179712992397</v>
      </c>
      <c r="G17" s="142" t="n">
        <v>2.94070951963737E-006</v>
      </c>
      <c r="H17" s="142" t="n">
        <v>0.00777300941660907</v>
      </c>
      <c r="I17" s="142" t="n">
        <v>-1.23619450832016</v>
      </c>
      <c r="L17" s="0" t="n">
        <f aca="false">L16+1/24/$K$1</f>
        <v>1950.00171114301</v>
      </c>
      <c r="M17" s="0" t="n">
        <f aca="false">(L17-INT(L17))*$K$1</f>
        <v>0.62499999980199</v>
      </c>
      <c r="N17" s="0" t="n">
        <f aca="false">U17-U16</f>
        <v>140.62181712572</v>
      </c>
      <c r="O17" s="0" t="n">
        <f aca="false">F17-273.15</f>
        <v>5.02971299239704</v>
      </c>
      <c r="P17" s="0" t="n">
        <f aca="false">100*EXP(17.625*(E17-273.15)/(243.04+(E17-273.15)))/EXP(17.625*(F17-273.15)/(F17-273.15+243.04))</f>
        <v>71.9767259633244</v>
      </c>
      <c r="Q17" s="0" t="n">
        <f aca="false">T17-T16</f>
        <v>0</v>
      </c>
      <c r="R17" s="0" t="n">
        <f aca="false">SQRT(H17^2+I17^2)</f>
        <v>1.23621894584912</v>
      </c>
      <c r="T17" s="0" t="n">
        <f aca="false">G17*1000</f>
        <v>0.00294070951963737</v>
      </c>
      <c r="U17" s="0" t="n">
        <f aca="false">D17*10000/1000000*277.78*2.02/10000</f>
        <v>2819.6052978973</v>
      </c>
      <c r="AI17" s="142"/>
    </row>
    <row r="18" customFormat="false" ht="15.75" hidden="false" customHeight="false" outlineLevel="0" collapsed="false">
      <c r="B18" s="0" t="n">
        <v>438305</v>
      </c>
      <c r="C18" s="0" t="n">
        <v>17</v>
      </c>
      <c r="D18" s="0" t="n">
        <v>5043671.93127126</v>
      </c>
      <c r="E18" s="0" t="n">
        <v>273.719939648149</v>
      </c>
      <c r="F18" s="0" t="n">
        <v>277.859921680642</v>
      </c>
      <c r="G18" s="142" t="n">
        <v>2.94070951963737E-006</v>
      </c>
      <c r="H18" s="142" t="n">
        <v>-0.198747871541773</v>
      </c>
      <c r="I18" s="142" t="n">
        <v>-1.15595223241404</v>
      </c>
      <c r="L18" s="0" t="n">
        <f aca="false">L17+1/24/$K$1</f>
        <v>1950.00182521921</v>
      </c>
      <c r="M18" s="0" t="n">
        <f aca="false">(L18-INT(L18))*$K$1</f>
        <v>0.666666666455456</v>
      </c>
      <c r="N18" s="0" t="n">
        <f aca="false">U18-U17</f>
        <v>10.4777040211302</v>
      </c>
      <c r="O18" s="0" t="n">
        <f aca="false">F18-273.15</f>
        <v>4.70992168064203</v>
      </c>
      <c r="P18" s="0" t="n">
        <f aca="false">100*EXP(17.625*(E18-273.15)/(243.04+(E18-273.15)))/EXP(17.625*(F18-273.15)/(F18-273.15+243.04))</f>
        <v>74.5402859660826</v>
      </c>
      <c r="Q18" s="0" t="n">
        <f aca="false">T18-T17</f>
        <v>0</v>
      </c>
      <c r="R18" s="0" t="n">
        <f aca="false">SQRT(H18^2+I18^2)</f>
        <v>1.17291358593265</v>
      </c>
      <c r="T18" s="0" t="n">
        <f aca="false">G18*1000</f>
        <v>0.00294070951963737</v>
      </c>
      <c r="U18" s="0" t="n">
        <f aca="false">D18*10000/1000000*277.78*2.02/10000</f>
        <v>2830.08300191843</v>
      </c>
      <c r="AI18" s="142"/>
    </row>
    <row r="19" customFormat="false" ht="15.75" hidden="false" customHeight="false" outlineLevel="0" collapsed="false">
      <c r="B19" s="0" t="n">
        <v>438306</v>
      </c>
      <c r="C19" s="0" t="n">
        <v>18</v>
      </c>
      <c r="D19" s="0" t="n">
        <v>5043671.93127126</v>
      </c>
      <c r="E19" s="0" t="n">
        <v>273.970623631815</v>
      </c>
      <c r="F19" s="0" t="n">
        <v>277.525403137425</v>
      </c>
      <c r="G19" s="142" t="n">
        <v>2.94070951963737E-006</v>
      </c>
      <c r="H19" s="142" t="n">
        <v>-0.130806276239538</v>
      </c>
      <c r="I19" s="142" t="n">
        <v>-1.13333360430627</v>
      </c>
      <c r="L19" s="0" t="n">
        <f aca="false">L18+1/24/$K$1</f>
        <v>1950.00193929541</v>
      </c>
      <c r="M19" s="0" t="n">
        <f aca="false">(L19-INT(L19))*$K$1</f>
        <v>0.708333333108922</v>
      </c>
      <c r="N19" s="0" t="n">
        <f aca="false">U19-U18</f>
        <v>0</v>
      </c>
      <c r="O19" s="0" t="n">
        <f aca="false">F19-273.15</f>
        <v>4.375403137425</v>
      </c>
      <c r="P19" s="0" t="n">
        <f aca="false">100*EXP(17.625*(E19-273.15)/(243.04+(E19-273.15)))/EXP(17.625*(F19-273.15)/(F19-273.15+243.04))</f>
        <v>77.695115685959</v>
      </c>
      <c r="Q19" s="0" t="n">
        <f aca="false">T19-T18</f>
        <v>0</v>
      </c>
      <c r="R19" s="0" t="n">
        <f aca="false">SQRT(H19^2+I19^2)</f>
        <v>1.14085728316626</v>
      </c>
      <c r="T19" s="0" t="n">
        <f aca="false">G19*1000</f>
        <v>0.00294070951963737</v>
      </c>
      <c r="U19" s="0" t="n">
        <f aca="false">D19*10000/1000000*277.78*2.02/10000</f>
        <v>2830.08300191843</v>
      </c>
      <c r="AI19" s="142"/>
    </row>
    <row r="20" customFormat="false" ht="15.75" hidden="false" customHeight="false" outlineLevel="0" collapsed="false">
      <c r="B20" s="0" t="n">
        <v>438307</v>
      </c>
      <c r="C20" s="0" t="n">
        <v>19</v>
      </c>
      <c r="D20" s="0" t="n">
        <v>5043671.93127126</v>
      </c>
      <c r="E20" s="0" t="n">
        <v>274.239539177929</v>
      </c>
      <c r="F20" s="0" t="n">
        <v>277.468598101785</v>
      </c>
      <c r="G20" s="142" t="n">
        <v>2.94070951963737E-006</v>
      </c>
      <c r="H20" s="142" t="n">
        <v>-0.203061623624455</v>
      </c>
      <c r="I20" s="142" t="n">
        <v>-1.43599238993874</v>
      </c>
      <c r="L20" s="0" t="n">
        <f aca="false">L19+1/24/$K$1</f>
        <v>1950.00205337161</v>
      </c>
      <c r="M20" s="0" t="n">
        <f aca="false">(L20-INT(L20))*$K$1</f>
        <v>0.749999999762388</v>
      </c>
      <c r="N20" s="0" t="n">
        <f aca="false">U20-U19</f>
        <v>0</v>
      </c>
      <c r="O20" s="0" t="n">
        <f aca="false">F20-273.15</f>
        <v>4.31859810178503</v>
      </c>
      <c r="P20" s="0" t="n">
        <f aca="false">100*EXP(17.625*(E20-273.15)/(243.04+(E20-273.15)))/EXP(17.625*(F20-273.15)/(F20-273.15+243.04))</f>
        <v>79.5286581128828</v>
      </c>
      <c r="Q20" s="0" t="n">
        <f aca="false">T20-T19</f>
        <v>0</v>
      </c>
      <c r="R20" s="0" t="n">
        <f aca="false">SQRT(H20^2+I20^2)</f>
        <v>1.45027865148425</v>
      </c>
      <c r="T20" s="0" t="n">
        <f aca="false">G20*1000</f>
        <v>0.00294070951963737</v>
      </c>
      <c r="U20" s="0" t="n">
        <f aca="false">D20*10000/1000000*277.78*2.02/10000</f>
        <v>2830.08300191843</v>
      </c>
      <c r="AI20" s="142"/>
    </row>
    <row r="21" customFormat="false" ht="15.75" hidden="false" customHeight="false" outlineLevel="0" collapsed="false">
      <c r="B21" s="0" t="n">
        <v>438308</v>
      </c>
      <c r="C21" s="0" t="n">
        <v>20</v>
      </c>
      <c r="D21" s="0" t="n">
        <v>5043671.93127126</v>
      </c>
      <c r="E21" s="0" t="n">
        <v>274.398153771231</v>
      </c>
      <c r="F21" s="0" t="n">
        <v>277.130923723255</v>
      </c>
      <c r="G21" s="142" t="n">
        <v>2.94070951963737E-006</v>
      </c>
      <c r="H21" s="142" t="n">
        <v>-0.495318327226135</v>
      </c>
      <c r="I21" s="142" t="n">
        <v>-1.09886712338016</v>
      </c>
      <c r="L21" s="0" t="n">
        <f aca="false">L20+1/24/$K$1</f>
        <v>1950.00216744781</v>
      </c>
      <c r="M21" s="0" t="n">
        <f aca="false">(L21-INT(L21))*$K$1</f>
        <v>0.791666666415853</v>
      </c>
      <c r="N21" s="0" t="n">
        <f aca="false">U21-U20</f>
        <v>0</v>
      </c>
      <c r="O21" s="0" t="n">
        <f aca="false">F21-273.15</f>
        <v>3.98092372325505</v>
      </c>
      <c r="P21" s="0" t="n">
        <f aca="false">100*EXP(17.625*(E21-273.15)/(243.04+(E21-273.15)))/EXP(17.625*(F21-273.15)/(F21-273.15+243.04))</f>
        <v>82.3668177573165</v>
      </c>
      <c r="Q21" s="0" t="n">
        <f aca="false">T21-T20</f>
        <v>0</v>
      </c>
      <c r="R21" s="0" t="n">
        <f aca="false">SQRT(H21^2+I21^2)</f>
        <v>1.2053419432393</v>
      </c>
      <c r="T21" s="0" t="n">
        <f aca="false">G21*1000</f>
        <v>0.00294070951963737</v>
      </c>
      <c r="U21" s="0" t="n">
        <f aca="false">D21*10000/1000000*277.78*2.02/10000</f>
        <v>2830.08300191843</v>
      </c>
      <c r="AI21" s="142"/>
    </row>
    <row r="22" customFormat="false" ht="15.75" hidden="false" customHeight="false" outlineLevel="0" collapsed="false">
      <c r="B22" s="0" t="n">
        <v>438309</v>
      </c>
      <c r="C22" s="0" t="n">
        <v>21</v>
      </c>
      <c r="D22" s="0" t="n">
        <v>5043671.93127126</v>
      </c>
      <c r="E22" s="0" t="n">
        <v>274.118299287647</v>
      </c>
      <c r="F22" s="0" t="n">
        <v>277.333949128415</v>
      </c>
      <c r="G22" s="142" t="n">
        <v>2.94070951963737E-006</v>
      </c>
      <c r="H22" s="142" t="n">
        <v>-0.410121723593173</v>
      </c>
      <c r="I22" s="142" t="n">
        <v>-0.263054960921815</v>
      </c>
      <c r="L22" s="0" t="n">
        <f aca="false">L21+1/24/$K$1</f>
        <v>1950.00228152401</v>
      </c>
      <c r="M22" s="0" t="n">
        <f aca="false">(L22-INT(L22))*$K$1</f>
        <v>0.83333333306932</v>
      </c>
      <c r="N22" s="0" t="n">
        <f aca="false">U22-U21</f>
        <v>0</v>
      </c>
      <c r="O22" s="0" t="n">
        <f aca="false">F22-273.15</f>
        <v>4.18394912841501</v>
      </c>
      <c r="P22" s="0" t="n">
        <f aca="false">100*EXP(17.625*(E22-273.15)/(243.04+(E22-273.15)))/EXP(17.625*(F22-273.15)/(F22-273.15+243.04))</f>
        <v>79.5854251522469</v>
      </c>
      <c r="Q22" s="0" t="n">
        <f aca="false">T22-T21</f>
        <v>0</v>
      </c>
      <c r="R22" s="0" t="n">
        <f aca="false">SQRT(H22^2+I22^2)</f>
        <v>0.487234790043376</v>
      </c>
      <c r="T22" s="0" t="n">
        <f aca="false">G22*1000</f>
        <v>0.00294070951963737</v>
      </c>
      <c r="U22" s="0" t="n">
        <f aca="false">D22*10000/1000000*277.78*2.02/10000</f>
        <v>2830.08300191843</v>
      </c>
      <c r="AI22" s="142"/>
    </row>
    <row r="23" customFormat="false" ht="15.75" hidden="false" customHeight="false" outlineLevel="0" collapsed="false">
      <c r="B23" s="0" t="n">
        <v>438310</v>
      </c>
      <c r="C23" s="0" t="n">
        <v>22</v>
      </c>
      <c r="D23" s="0" t="n">
        <v>5043671.93127126</v>
      </c>
      <c r="E23" s="0" t="n">
        <v>273.900432116388</v>
      </c>
      <c r="F23" s="0" t="n">
        <v>277.297131049759</v>
      </c>
      <c r="G23" s="142" t="n">
        <v>2.94070951963737E-006</v>
      </c>
      <c r="H23" s="142" t="n">
        <v>0.148509171114097</v>
      </c>
      <c r="I23" s="142" t="n">
        <v>0.578681127945706</v>
      </c>
      <c r="L23" s="0" t="n">
        <f aca="false">L22+1/24/$K$1</f>
        <v>1950.00239560021</v>
      </c>
      <c r="M23" s="0" t="n">
        <f aca="false">(L23-INT(L23))*$K$1</f>
        <v>0.874999999722786</v>
      </c>
      <c r="N23" s="0" t="n">
        <f aca="false">U23-U22</f>
        <v>0</v>
      </c>
      <c r="O23" s="0" t="n">
        <f aca="false">F23-273.15</f>
        <v>4.14713104975903</v>
      </c>
      <c r="P23" s="0" t="n">
        <f aca="false">100*EXP(17.625*(E23-273.15)/(243.04+(E23-273.15)))/EXP(17.625*(F23-273.15)/(F23-273.15+243.04))</f>
        <v>78.5490604287855</v>
      </c>
      <c r="Q23" s="0" t="n">
        <f aca="false">T23-T22</f>
        <v>0</v>
      </c>
      <c r="R23" s="0" t="n">
        <f aca="false">SQRT(H23^2+I23^2)</f>
        <v>0.597433529144047</v>
      </c>
      <c r="T23" s="0" t="n">
        <f aca="false">G23*1000</f>
        <v>0.00294070951963737</v>
      </c>
      <c r="U23" s="0" t="n">
        <f aca="false">D23*10000/1000000*277.78*2.02/10000</f>
        <v>2830.08300191843</v>
      </c>
      <c r="AI23" s="142"/>
    </row>
    <row r="24" customFormat="false" ht="15.75" hidden="false" customHeight="false" outlineLevel="0" collapsed="false">
      <c r="B24" s="0" t="n">
        <v>438311</v>
      </c>
      <c r="C24" s="0" t="n">
        <v>23</v>
      </c>
      <c r="D24" s="0" t="n">
        <v>5043671.93127126</v>
      </c>
      <c r="E24" s="0" t="n">
        <v>274.109183506423</v>
      </c>
      <c r="F24" s="0" t="n">
        <v>276.021121638054</v>
      </c>
      <c r="G24" s="142" t="n">
        <v>2.94070951963737E-006</v>
      </c>
      <c r="H24" s="142" t="n">
        <v>0.768071813989245</v>
      </c>
      <c r="I24" s="142" t="n">
        <v>0.794635172498411</v>
      </c>
      <c r="L24" s="0" t="n">
        <f aca="false">L23+1/24/$K$1</f>
        <v>1950.00250967641</v>
      </c>
      <c r="M24" s="0" t="n">
        <f aca="false">(L24-INT(L24))*$K$1</f>
        <v>0.916666666376251</v>
      </c>
      <c r="N24" s="0" t="n">
        <f aca="false">U24-U23</f>
        <v>0</v>
      </c>
      <c r="O24" s="0" t="n">
        <f aca="false">F24-273.15</f>
        <v>2.87112163805403</v>
      </c>
      <c r="P24" s="0" t="n">
        <f aca="false">100*EXP(17.625*(E24-273.15)/(243.04+(E24-273.15)))/EXP(17.625*(F24-273.15)/(F24-273.15+243.04))</f>
        <v>87.2411386861018</v>
      </c>
      <c r="Q24" s="0" t="n">
        <f aca="false">T24-T23</f>
        <v>0</v>
      </c>
      <c r="R24" s="0" t="n">
        <f aca="false">SQRT(H24^2+I24^2)</f>
        <v>1.10516033624823</v>
      </c>
      <c r="T24" s="0" t="n">
        <f aca="false">G24*1000</f>
        <v>0.00294070951963737</v>
      </c>
      <c r="U24" s="0" t="n">
        <f aca="false">D24*10000/1000000*277.78*2.02/10000</f>
        <v>2830.08300191843</v>
      </c>
      <c r="AI24" s="142"/>
    </row>
    <row r="25" customFormat="false" ht="15.75" hidden="false" customHeight="false" outlineLevel="0" collapsed="false">
      <c r="B25" s="0" t="n">
        <v>438312</v>
      </c>
      <c r="C25" s="0" t="n">
        <v>24</v>
      </c>
      <c r="D25" s="0" t="n">
        <v>5043671.93127126</v>
      </c>
      <c r="E25" s="0" t="n">
        <v>273.957861538101</v>
      </c>
      <c r="F25" s="0" t="n">
        <v>276.855314105887</v>
      </c>
      <c r="G25" s="142" t="n">
        <v>2.94070951963737E-006</v>
      </c>
      <c r="H25" s="142" t="n">
        <v>0.731944140296787</v>
      </c>
      <c r="I25" s="142" t="n">
        <v>-0.131651502390993</v>
      </c>
      <c r="L25" s="0" t="n">
        <f aca="false">L24+1/24/$K$1</f>
        <v>1950.00262375261</v>
      </c>
      <c r="M25" s="0" t="n">
        <f aca="false">(L25-INT(L25))*$K$1</f>
        <v>0.958333333029717</v>
      </c>
      <c r="N25" s="0" t="n">
        <f aca="false">U25-U24</f>
        <v>0</v>
      </c>
      <c r="O25" s="0" t="n">
        <f aca="false">F25-273.15</f>
        <v>3.705314105887</v>
      </c>
      <c r="P25" s="0" t="n">
        <f aca="false">100*EXP(17.625*(E25-273.15)/(243.04+(E25-273.15)))/EXP(17.625*(F25-273.15)/(F25-273.15+243.04))</f>
        <v>81.3605919135149</v>
      </c>
      <c r="Q25" s="0" t="n">
        <f aca="false">T25-T24</f>
        <v>0</v>
      </c>
      <c r="R25" s="0" t="n">
        <f aca="false">SQRT(H25^2+I25^2)</f>
        <v>0.743689681652642</v>
      </c>
      <c r="T25" s="0" t="n">
        <f aca="false">G25*1000</f>
        <v>0.00294070951963737</v>
      </c>
      <c r="U25" s="0" t="n">
        <f aca="false">D25*10000/1000000*277.78*2.02/10000</f>
        <v>2830.08300191843</v>
      </c>
      <c r="W25" s="0" t="n">
        <f aca="false">MIN(O2:O25)</f>
        <v>1.69294312106405</v>
      </c>
      <c r="X25" s="0" t="n">
        <f aca="false">MAX(O2:O25)</f>
        <v>5.32110178633104</v>
      </c>
      <c r="Y25" s="0" t="n">
        <f aca="false">MIN(P2:P25)</f>
        <v>71.0741616838071</v>
      </c>
      <c r="Z25" s="0" t="n">
        <f aca="false">MAX(P2:P25)</f>
        <v>87.2411386861018</v>
      </c>
      <c r="AA25" s="0" t="n">
        <f aca="false">MAX(N2:N25)</f>
        <v>554.215396907255</v>
      </c>
      <c r="AB25" s="0" t="n">
        <f aca="false">T25</f>
        <v>0.00294070951963737</v>
      </c>
      <c r="AC25" s="0" t="n">
        <f aca="false">AVERAGE(R2:R25)</f>
        <v>1.33499937003044</v>
      </c>
      <c r="AI25" s="142"/>
    </row>
    <row r="26" customFormat="false" ht="15.75" hidden="false" customHeight="false" outlineLevel="0" collapsed="false">
      <c r="B26" s="0" t="n">
        <v>438313</v>
      </c>
      <c r="C26" s="0" t="n">
        <v>1</v>
      </c>
      <c r="D26" s="142" t="n">
        <v>1.86264514923095E-009</v>
      </c>
      <c r="E26" s="0" t="n">
        <v>273.747286991821</v>
      </c>
      <c r="F26" s="0" t="n">
        <v>275.727628953911</v>
      </c>
      <c r="G26" s="142" t="n">
        <v>6.93889390390722E-018</v>
      </c>
      <c r="H26" s="142" t="n">
        <v>0.26390203932583</v>
      </c>
      <c r="I26" s="142" t="n">
        <v>-1.04878301828439</v>
      </c>
      <c r="L26" s="0" t="n">
        <f aca="false">L25+1/24/$K$1</f>
        <v>1950.00273782881</v>
      </c>
      <c r="M26" s="0" t="n">
        <f aca="false">(L26-INT(L26))*$K$1</f>
        <v>0.999999999683183</v>
      </c>
      <c r="N26" s="0" t="n">
        <f aca="false">U26</f>
        <v>1.04515925049781E-012</v>
      </c>
      <c r="O26" s="0" t="n">
        <f aca="false">F26-273.15</f>
        <v>2.57762895391102</v>
      </c>
      <c r="P26" s="0" t="n">
        <f aca="false">100*EXP(17.625*(E26-273.15)/(243.04+(E26-273.15)))/EXP(17.625*(F26-273.15)/(F26-273.15+243.04))</f>
        <v>86.783232112301</v>
      </c>
      <c r="Q26" s="506" t="n">
        <f aca="false">T26</f>
        <v>6.93889390390722E-015</v>
      </c>
      <c r="R26" s="0" t="n">
        <f aca="false">SQRT(H26^2+I26^2)</f>
        <v>1.08147589238135</v>
      </c>
      <c r="T26" s="0" t="n">
        <f aca="false">G26*1000</f>
        <v>6.93889390390722E-015</v>
      </c>
      <c r="U26" s="0" t="n">
        <f aca="false">D26*10000/1000000*277.78*2.02/10000</f>
        <v>1.04515925049781E-012</v>
      </c>
      <c r="AI26" s="142"/>
      <c r="AJ26" s="142"/>
    </row>
    <row r="27" customFormat="false" ht="15.75" hidden="false" customHeight="false" outlineLevel="0" collapsed="false">
      <c r="B27" s="0" t="n">
        <v>438314</v>
      </c>
      <c r="C27" s="0" t="n">
        <v>2</v>
      </c>
      <c r="D27" s="142" t="n">
        <v>1.86264514923095E-009</v>
      </c>
      <c r="E27" s="0" t="n">
        <v>273.490221961298</v>
      </c>
      <c r="F27" s="0" t="n">
        <v>275.053332141955</v>
      </c>
      <c r="G27" s="142" t="n">
        <v>1.47035475982215E-006</v>
      </c>
      <c r="H27" s="142" t="n">
        <v>0.205666386209628</v>
      </c>
      <c r="I27" s="142" t="n">
        <v>-1.1602605425298</v>
      </c>
      <c r="L27" s="0" t="n">
        <f aca="false">L26+1/24/$K$1</f>
        <v>1950.00285190501</v>
      </c>
      <c r="M27" s="0" t="n">
        <f aca="false">(L27-INT(L27))*$K$1</f>
        <v>1.04166666633665</v>
      </c>
      <c r="N27" s="0" t="n">
        <f aca="false">U27-U26</f>
        <v>0</v>
      </c>
      <c r="O27" s="0" t="n">
        <f aca="false">F27-273.15</f>
        <v>1.90333214195505</v>
      </c>
      <c r="P27" s="0" t="n">
        <f aca="false">100*EXP(17.625*(E27-273.15)/(243.04+(E27-273.15)))/EXP(17.625*(F27-273.15)/(F27-273.15+243.04))</f>
        <v>89.3760873149585</v>
      </c>
      <c r="Q27" s="0" t="n">
        <f aca="false">T27-T26</f>
        <v>0.00147035475981521</v>
      </c>
      <c r="R27" s="0" t="n">
        <f aca="false">SQRT(H27^2+I27^2)</f>
        <v>1.17834765199752</v>
      </c>
      <c r="T27" s="0" t="n">
        <f aca="false">G27*1000</f>
        <v>0.00147035475982215</v>
      </c>
      <c r="U27" s="0" t="n">
        <f aca="false">D27*10000/1000000*277.78*2.02/10000</f>
        <v>1.04515925049781E-012</v>
      </c>
      <c r="AI27" s="142"/>
      <c r="AJ27" s="142"/>
    </row>
    <row r="28" customFormat="false" ht="15.75" hidden="false" customHeight="false" outlineLevel="0" collapsed="false">
      <c r="B28" s="0" t="n">
        <v>438315</v>
      </c>
      <c r="C28" s="0" t="n">
        <v>3</v>
      </c>
      <c r="D28" s="142" t="n">
        <v>1.86264514923095E-009</v>
      </c>
      <c r="E28" s="0" t="n">
        <v>273.274177946284</v>
      </c>
      <c r="F28" s="0" t="n">
        <v>274.574697119428</v>
      </c>
      <c r="G28" s="142" t="n">
        <v>1.47035475982215E-006</v>
      </c>
      <c r="H28" s="142" t="n">
        <v>0.115077592473314</v>
      </c>
      <c r="I28" s="142" t="n">
        <v>-1.2281164268531</v>
      </c>
      <c r="L28" s="0" t="n">
        <f aca="false">L27+1/24/$K$1</f>
        <v>1950.00296598121</v>
      </c>
      <c r="M28" s="0" t="n">
        <f aca="false">(L28-INT(L28))*$K$1</f>
        <v>1.08333333299012</v>
      </c>
      <c r="N28" s="0" t="n">
        <f aca="false">U28-U27</f>
        <v>0</v>
      </c>
      <c r="O28" s="0" t="n">
        <f aca="false">F28-273.15</f>
        <v>1.424697119428</v>
      </c>
      <c r="P28" s="0" t="n">
        <f aca="false">100*EXP(17.625*(E28-273.15)/(243.04+(E28-273.15)))/EXP(17.625*(F28-273.15)/(F28-273.15+243.04))</f>
        <v>91.0542468867084</v>
      </c>
      <c r="Q28" s="0" t="n">
        <f aca="false">T28-T27</f>
        <v>0</v>
      </c>
      <c r="R28" s="0" t="n">
        <f aca="false">SQRT(H28^2+I28^2)</f>
        <v>1.23349617356353</v>
      </c>
      <c r="T28" s="0" t="n">
        <f aca="false">G28*1000</f>
        <v>0.00147035475982215</v>
      </c>
      <c r="U28" s="0" t="n">
        <f aca="false">D28*10000/1000000*277.78*2.02/10000</f>
        <v>1.04515925049781E-012</v>
      </c>
      <c r="AI28" s="142"/>
      <c r="AJ28" s="142"/>
    </row>
    <row r="29" customFormat="false" ht="15.75" hidden="false" customHeight="false" outlineLevel="0" collapsed="false">
      <c r="B29" s="0" t="n">
        <v>438316</v>
      </c>
      <c r="C29" s="0" t="n">
        <v>4</v>
      </c>
      <c r="D29" s="142" t="n">
        <v>1.86264514923095E-009</v>
      </c>
      <c r="E29" s="0" t="n">
        <v>272.938717197233</v>
      </c>
      <c r="F29" s="0" t="n">
        <v>273.948789782277</v>
      </c>
      <c r="G29" s="142" t="n">
        <v>1.47035475982215E-006</v>
      </c>
      <c r="H29" s="142" t="n">
        <v>-0.287719008247082</v>
      </c>
      <c r="I29" s="142" t="n">
        <v>-1.31428262916839</v>
      </c>
      <c r="L29" s="0" t="n">
        <f aca="false">L28+1/24/$K$1</f>
        <v>1950.00308005741</v>
      </c>
      <c r="M29" s="0" t="n">
        <f aca="false">(L29-INT(L29))*$K$1</f>
        <v>1.12499999964358</v>
      </c>
      <c r="N29" s="0" t="n">
        <f aca="false">U29-U28</f>
        <v>0</v>
      </c>
      <c r="O29" s="0" t="n">
        <f aca="false">F29-273.15</f>
        <v>0.798789782277026</v>
      </c>
      <c r="P29" s="0" t="n">
        <f aca="false">100*EXP(17.625*(E29-273.15)/(243.04+(E29-273.15)))/EXP(17.625*(F29-273.15)/(F29-273.15+243.04))</f>
        <v>92.9533020338544</v>
      </c>
      <c r="Q29" s="0" t="n">
        <f aca="false">T29-T28</f>
        <v>0</v>
      </c>
      <c r="R29" s="0" t="n">
        <f aca="false">SQRT(H29^2+I29^2)</f>
        <v>1.3454073944499</v>
      </c>
      <c r="T29" s="0" t="n">
        <f aca="false">G29*1000</f>
        <v>0.00147035475982215</v>
      </c>
      <c r="U29" s="0" t="n">
        <f aca="false">D29*10000/1000000*277.78*2.02/10000</f>
        <v>1.04515925049781E-012</v>
      </c>
      <c r="AI29" s="142"/>
      <c r="AJ29" s="142"/>
    </row>
    <row r="30" customFormat="false" ht="15.75" hidden="false" customHeight="false" outlineLevel="0" collapsed="false">
      <c r="B30" s="0" t="n">
        <v>438317</v>
      </c>
      <c r="C30" s="0" t="n">
        <v>5</v>
      </c>
      <c r="D30" s="142" t="n">
        <v>1.86264514923095E-009</v>
      </c>
      <c r="E30" s="0" t="n">
        <v>272.4820165579</v>
      </c>
      <c r="F30" s="0" t="n">
        <v>273.289220201784</v>
      </c>
      <c r="G30" s="142" t="n">
        <v>1.47035475982215E-006</v>
      </c>
      <c r="H30" s="142" t="n">
        <v>-0.399337343386469</v>
      </c>
      <c r="I30" s="142" t="n">
        <v>-1.61640287603639</v>
      </c>
      <c r="L30" s="0" t="n">
        <f aca="false">L29+1/24/$K$1</f>
        <v>1950.00319413361</v>
      </c>
      <c r="M30" s="0" t="n">
        <f aca="false">(L30-INT(L30))*$K$1</f>
        <v>1.16666666629705</v>
      </c>
      <c r="N30" s="0" t="n">
        <f aca="false">U30-U29</f>
        <v>0</v>
      </c>
      <c r="O30" s="0" t="n">
        <f aca="false">F30-273.15</f>
        <v>0.139220201784042</v>
      </c>
      <c r="P30" s="0" t="n">
        <f aca="false">100*EXP(17.625*(E30-273.15)/(243.04+(E30-273.15)))/EXP(17.625*(F30-273.15)/(F30-273.15+243.04))</f>
        <v>94.302237620091</v>
      </c>
      <c r="Q30" s="0" t="n">
        <f aca="false">T30-T29</f>
        <v>0</v>
      </c>
      <c r="R30" s="0" t="n">
        <f aca="false">SQRT(H30^2+I30^2)</f>
        <v>1.66500107251667</v>
      </c>
      <c r="T30" s="0" t="n">
        <f aca="false">G30*1000</f>
        <v>0.00147035475982215</v>
      </c>
      <c r="U30" s="0" t="n">
        <f aca="false">D30*10000/1000000*277.78*2.02/10000</f>
        <v>1.04515925049781E-012</v>
      </c>
      <c r="AI30" s="142"/>
      <c r="AJ30" s="142"/>
    </row>
    <row r="31" customFormat="false" ht="15.75" hidden="false" customHeight="false" outlineLevel="0" collapsed="false">
      <c r="B31" s="0" t="n">
        <v>438318</v>
      </c>
      <c r="C31" s="0" t="n">
        <v>6</v>
      </c>
      <c r="D31" s="142" t="n">
        <v>1.86264514923095E-009</v>
      </c>
      <c r="E31" s="0" t="n">
        <v>272.166610527542</v>
      </c>
      <c r="F31" s="0" t="n">
        <v>272.911571909284</v>
      </c>
      <c r="G31" s="142" t="n">
        <v>1.47035475982215E-006</v>
      </c>
      <c r="H31" s="142" t="n">
        <v>-0.276934628040378</v>
      </c>
      <c r="I31" s="142" t="n">
        <v>-1.43168407982298</v>
      </c>
      <c r="L31" s="0" t="n">
        <f aca="false">L30+1/24/$K$1</f>
        <v>1950.00330820981</v>
      </c>
      <c r="M31" s="0" t="n">
        <f aca="false">(L31-INT(L31))*$K$1</f>
        <v>1.20833333295051</v>
      </c>
      <c r="N31" s="0" t="n">
        <f aca="false">U31-U30</f>
        <v>0</v>
      </c>
      <c r="O31" s="0" t="n">
        <f aca="false">F31-273.15</f>
        <v>-0.238428090715956</v>
      </c>
      <c r="P31" s="0" t="n">
        <f aca="false">100*EXP(17.625*(E31-273.15)/(243.04+(E31-273.15)))/EXP(17.625*(F31-273.15)/(F31-273.15+243.04))</f>
        <v>94.7151191324936</v>
      </c>
      <c r="Q31" s="0" t="n">
        <f aca="false">T31-T30</f>
        <v>0</v>
      </c>
      <c r="R31" s="0" t="n">
        <f aca="false">SQRT(H31^2+I31^2)</f>
        <v>1.45822223704977</v>
      </c>
      <c r="T31" s="0" t="n">
        <f aca="false">G31*1000</f>
        <v>0.00147035475982215</v>
      </c>
      <c r="U31" s="0" t="n">
        <f aca="false">D31*10000/1000000*277.78*2.02/10000</f>
        <v>1.04515925049781E-012</v>
      </c>
      <c r="AI31" s="142"/>
      <c r="AJ31" s="142"/>
    </row>
    <row r="32" customFormat="false" ht="15.75" hidden="false" customHeight="false" outlineLevel="0" collapsed="false">
      <c r="B32" s="0" t="n">
        <v>438319</v>
      </c>
      <c r="C32" s="0" t="n">
        <v>7</v>
      </c>
      <c r="D32" s="142" t="n">
        <v>1.86264514923095E-009</v>
      </c>
      <c r="E32" s="0" t="n">
        <v>272.523949151531</v>
      </c>
      <c r="F32" s="0" t="n">
        <v>273.254506013337</v>
      </c>
      <c r="G32" s="142" t="n">
        <v>4.41106427945259E-006</v>
      </c>
      <c r="H32" s="142" t="n">
        <v>-0.517965525660214</v>
      </c>
      <c r="I32" s="142" t="n">
        <v>-0.567329362847695</v>
      </c>
      <c r="L32" s="0" t="n">
        <f aca="false">L31+1/24/$K$1</f>
        <v>1950.00342228601</v>
      </c>
      <c r="M32" s="0" t="n">
        <f aca="false">(L32-INT(L32))*$K$1</f>
        <v>1.24999999960398</v>
      </c>
      <c r="N32" s="0" t="n">
        <f aca="false">U32-U31</f>
        <v>0</v>
      </c>
      <c r="O32" s="0" t="n">
        <f aca="false">F32-273.15</f>
        <v>0.104506013337016</v>
      </c>
      <c r="P32" s="0" t="n">
        <f aca="false">100*EXP(17.625*(E32-273.15)/(243.04+(E32-273.15)))/EXP(17.625*(F32-273.15)/(F32-273.15+243.04))</f>
        <v>94.8291634863932</v>
      </c>
      <c r="Q32" s="0" t="n">
        <f aca="false">T32-T31</f>
        <v>0.00294070951963044</v>
      </c>
      <c r="R32" s="0" t="n">
        <f aca="false">SQRT(H32^2+I32^2)</f>
        <v>0.768212790652195</v>
      </c>
      <c r="T32" s="0" t="n">
        <f aca="false">G32*1000</f>
        <v>0.00441106427945259</v>
      </c>
      <c r="U32" s="0" t="n">
        <f aca="false">D32*10000/1000000*277.78*2.02/10000</f>
        <v>1.04515925049781E-012</v>
      </c>
      <c r="AI32" s="142"/>
      <c r="AJ32" s="142"/>
    </row>
    <row r="33" customFormat="false" ht="15.75" hidden="false" customHeight="false" outlineLevel="0" collapsed="false">
      <c r="B33" s="0" t="n">
        <v>438320</v>
      </c>
      <c r="C33" s="0" t="n">
        <v>8</v>
      </c>
      <c r="D33" s="0" t="n">
        <v>5405.33819602429</v>
      </c>
      <c r="E33" s="0" t="n">
        <v>272.801068900747</v>
      </c>
      <c r="F33" s="0" t="n">
        <v>273.505920893301</v>
      </c>
      <c r="G33" s="142" t="n">
        <v>4.41106427945259E-006</v>
      </c>
      <c r="H33" s="142" t="n">
        <v>-0.098453135619426</v>
      </c>
      <c r="I33" s="142" t="n">
        <v>0.399886258141473</v>
      </c>
      <c r="L33" s="0" t="n">
        <f aca="false">L32+1/24/$K$1</f>
        <v>1950.00353636221</v>
      </c>
      <c r="M33" s="0" t="n">
        <f aca="false">(L33-INT(L33))*$K$1</f>
        <v>1.29166666625745</v>
      </c>
      <c r="N33" s="0" t="n">
        <f aca="false">U33-U32</f>
        <v>3.03301958506404</v>
      </c>
      <c r="O33" s="0" t="n">
        <f aca="false">F33-273.15</f>
        <v>0.355920893301004</v>
      </c>
      <c r="P33" s="0" t="n">
        <f aca="false">100*EXP(17.625*(E33-273.15)/(243.04+(E33-273.15)))/EXP(17.625*(F33-273.15)/(F33-273.15+243.04))</f>
        <v>95.0170584776208</v>
      </c>
      <c r="Q33" s="0" t="n">
        <f aca="false">T33-T32</f>
        <v>0</v>
      </c>
      <c r="R33" s="0" t="n">
        <f aca="false">SQRT(H33^2+I33^2)</f>
        <v>0.411827681638432</v>
      </c>
      <c r="T33" s="0" t="n">
        <f aca="false">G33*1000</f>
        <v>0.00441106427945259</v>
      </c>
      <c r="U33" s="0" t="n">
        <f aca="false">D33*10000/1000000*277.78*2.02/10000</f>
        <v>3.03301958506509</v>
      </c>
      <c r="AI33" s="142"/>
    </row>
    <row r="34" customFormat="false" ht="15.75" hidden="false" customHeight="false" outlineLevel="0" collapsed="false">
      <c r="B34" s="0" t="n">
        <v>438321</v>
      </c>
      <c r="C34" s="0" t="n">
        <v>9</v>
      </c>
      <c r="D34" s="0" t="n">
        <v>236852.091862116</v>
      </c>
      <c r="E34" s="0" t="n">
        <v>272.789218385156</v>
      </c>
      <c r="F34" s="0" t="n">
        <v>273.367064139513</v>
      </c>
      <c r="G34" s="142" t="n">
        <v>4.41106427945259E-006</v>
      </c>
      <c r="H34" s="142" t="n">
        <v>0.346402547907116</v>
      </c>
      <c r="I34" s="142" t="n">
        <v>-0.373993946402756</v>
      </c>
      <c r="L34" s="0" t="n">
        <f aca="false">L33+1/24/$K$1</f>
        <v>1950.00365043841</v>
      </c>
      <c r="M34" s="0" t="n">
        <f aca="false">(L34-INT(L34))*$K$1</f>
        <v>1.33333333291091</v>
      </c>
      <c r="N34" s="0" t="n">
        <f aca="false">U34-U33</f>
        <v>129.868384051401</v>
      </c>
      <c r="O34" s="0" t="n">
        <f aca="false">F34-273.15</f>
        <v>0.217064139513013</v>
      </c>
      <c r="P34" s="0" t="n">
        <f aca="false">100*EXP(17.625*(E34-273.15)/(243.04+(E34-273.15)))/EXP(17.625*(F34-273.15)/(F34-273.15+243.04))</f>
        <v>95.8937283577728</v>
      </c>
      <c r="Q34" s="0" t="n">
        <f aca="false">T34-T33</f>
        <v>0</v>
      </c>
      <c r="R34" s="0" t="n">
        <f aca="false">SQRT(H34^2+I34^2)</f>
        <v>0.509770729978144</v>
      </c>
      <c r="T34" s="0" t="n">
        <f aca="false">G34*1000</f>
        <v>0.00441106427945259</v>
      </c>
      <c r="U34" s="0" t="n">
        <f aca="false">D34*10000/1000000*277.78*2.02/10000</f>
        <v>132.901403636466</v>
      </c>
      <c r="AI34" s="142"/>
    </row>
    <row r="35" customFormat="false" ht="15.75" hidden="false" customHeight="false" outlineLevel="0" collapsed="false">
      <c r="B35" s="0" t="n">
        <v>438322</v>
      </c>
      <c r="C35" s="0" t="n">
        <v>10</v>
      </c>
      <c r="D35" s="0" t="n">
        <v>834387.659713428</v>
      </c>
      <c r="E35" s="0" t="n">
        <v>273.557678742358</v>
      </c>
      <c r="F35" s="0" t="n">
        <v>274.76404723823</v>
      </c>
      <c r="G35" s="142" t="n">
        <v>4.41106427945259E-006</v>
      </c>
      <c r="H35" s="142" t="n">
        <v>0.418118676281698</v>
      </c>
      <c r="I35" s="142" t="n">
        <v>-0.216740627177345</v>
      </c>
      <c r="L35" s="0" t="n">
        <f aca="false">L34+1/24/$K$1</f>
        <v>1950.00376451461</v>
      </c>
      <c r="M35" s="0" t="n">
        <f aca="false">(L35-INT(L35))*$K$1</f>
        <v>1.37499999956438</v>
      </c>
      <c r="N35" s="0" t="n">
        <f aca="false">U35-U34</f>
        <v>335.28652867623</v>
      </c>
      <c r="O35" s="0" t="n">
        <f aca="false">F35-273.15</f>
        <v>1.61404723823</v>
      </c>
      <c r="P35" s="0" t="n">
        <f aca="false">100*EXP(17.625*(E35-273.15)/(243.04+(E35-273.15)))/EXP(17.625*(F35-273.15)/(F35-273.15+243.04))</f>
        <v>91.6895424059268</v>
      </c>
      <c r="Q35" s="0" t="n">
        <f aca="false">T35-T34</f>
        <v>0</v>
      </c>
      <c r="R35" s="0" t="n">
        <f aca="false">SQRT(H35^2+I35^2)</f>
        <v>0.470956183657024</v>
      </c>
      <c r="T35" s="0" t="n">
        <f aca="false">G35*1000</f>
        <v>0.00441106427945259</v>
      </c>
      <c r="U35" s="0" t="n">
        <f aca="false">D35*10000/1000000*277.78*2.02/10000</f>
        <v>468.187932312696</v>
      </c>
      <c r="AI35" s="142"/>
    </row>
    <row r="36" customFormat="false" ht="15.75" hidden="false" customHeight="false" outlineLevel="0" collapsed="false">
      <c r="B36" s="0" t="n">
        <v>438323</v>
      </c>
      <c r="C36" s="0" t="n">
        <v>11</v>
      </c>
      <c r="D36" s="0" t="n">
        <v>1827987.09901881</v>
      </c>
      <c r="E36" s="0" t="n">
        <v>274.196695006175</v>
      </c>
      <c r="F36" s="0" t="n">
        <v>276.542886409864</v>
      </c>
      <c r="G36" s="142" t="n">
        <v>4.41106427945259E-006</v>
      </c>
      <c r="H36" s="142" t="n">
        <v>0.639198470519132</v>
      </c>
      <c r="I36" s="142" t="n">
        <v>-0.618490545472401</v>
      </c>
      <c r="L36" s="0" t="n">
        <f aca="false">L35+1/24/$K$1</f>
        <v>1950.00387859081</v>
      </c>
      <c r="M36" s="0" t="n">
        <f aca="false">(L36-INT(L36))*$K$1</f>
        <v>1.41666666621784</v>
      </c>
      <c r="N36" s="0" t="n">
        <f aca="false">U36-U35</f>
        <v>557.524145545503</v>
      </c>
      <c r="O36" s="0" t="n">
        <f aca="false">F36-273.15</f>
        <v>3.39288640986405</v>
      </c>
      <c r="P36" s="0" t="n">
        <f aca="false">100*EXP(17.625*(E36-273.15)/(243.04+(E36-273.15)))/EXP(17.625*(F36-273.15)/(F36-273.15+243.04))</f>
        <v>84.613091417302</v>
      </c>
      <c r="Q36" s="0" t="n">
        <f aca="false">T36-T35</f>
        <v>0</v>
      </c>
      <c r="R36" s="0" t="n">
        <f aca="false">SQRT(H36^2+I36^2)</f>
        <v>0.889440970246337</v>
      </c>
      <c r="T36" s="0" t="n">
        <f aca="false">G36*1000</f>
        <v>0.00441106427945259</v>
      </c>
      <c r="U36" s="0" t="n">
        <f aca="false">D36*10000/1000000*277.78*2.02/10000</f>
        <v>1025.7120778582</v>
      </c>
      <c r="AI36" s="142"/>
    </row>
    <row r="37" customFormat="false" ht="15.75" hidden="false" customHeight="false" outlineLevel="0" collapsed="false">
      <c r="B37" s="0" t="n">
        <v>438324</v>
      </c>
      <c r="C37" s="0" t="n">
        <v>12</v>
      </c>
      <c r="D37" s="0" t="n">
        <v>3040257.03807242</v>
      </c>
      <c r="E37" s="0" t="n">
        <v>274.479284224126</v>
      </c>
      <c r="F37" s="0" t="n">
        <v>277.702129914974</v>
      </c>
      <c r="G37" s="142" t="n">
        <v>4.41106427945259E-006</v>
      </c>
      <c r="H37" s="142" t="n">
        <v>0.706600846811032</v>
      </c>
      <c r="I37" s="142" t="n">
        <v>0.16723751189018</v>
      </c>
      <c r="L37" s="0" t="n">
        <f aca="false">L36+1/24/$K$1</f>
        <v>1950.00399266701</v>
      </c>
      <c r="M37" s="0" t="n">
        <f aca="false">(L37-INT(L37))*$K$1</f>
        <v>1.45833333287131</v>
      </c>
      <c r="N37" s="0" t="n">
        <f aca="false">U37-U36</f>
        <v>680.22357421403</v>
      </c>
      <c r="O37" s="0" t="n">
        <f aca="false">F37-273.15</f>
        <v>4.55212991497405</v>
      </c>
      <c r="P37" s="0" t="n">
        <f aca="false">100*EXP(17.625*(E37-273.15)/(243.04+(E37-273.15)))/EXP(17.625*(F37-273.15)/(F37-273.15+243.04))</f>
        <v>79.5987090454062</v>
      </c>
      <c r="Q37" s="0" t="n">
        <f aca="false">T37-T36</f>
        <v>0</v>
      </c>
      <c r="R37" s="0" t="n">
        <f aca="false">SQRT(H37^2+I37^2)</f>
        <v>0.726121988440844</v>
      </c>
      <c r="T37" s="0" t="n">
        <f aca="false">G37*1000</f>
        <v>0.00441106427945259</v>
      </c>
      <c r="U37" s="0" t="n">
        <f aca="false">D37*10000/1000000*277.78*2.02/10000</f>
        <v>1705.93565207223</v>
      </c>
      <c r="AI37" s="142"/>
    </row>
    <row r="38" customFormat="false" ht="15.75" hidden="false" customHeight="false" outlineLevel="0" collapsed="false">
      <c r="B38" s="0" t="n">
        <v>438325</v>
      </c>
      <c r="C38" s="0" t="n">
        <v>13</v>
      </c>
      <c r="D38" s="0" t="n">
        <v>4320339.40176704</v>
      </c>
      <c r="E38" s="0" t="n">
        <v>274.728145051547</v>
      </c>
      <c r="F38" s="0" t="n">
        <v>278.963412095216</v>
      </c>
      <c r="G38" s="142" t="n">
        <v>4.41106427945259E-006</v>
      </c>
      <c r="H38" s="142" t="n">
        <v>1.0171909967641</v>
      </c>
      <c r="I38" s="142" t="n">
        <v>0.372959319917943</v>
      </c>
      <c r="L38" s="0" t="n">
        <f aca="false">L37+1/24/$K$1</f>
        <v>1950.00410674321</v>
      </c>
      <c r="M38" s="0" t="n">
        <f aca="false">(L38-INT(L38))*$K$1</f>
        <v>1.49999999952478</v>
      </c>
      <c r="N38" s="0" t="n">
        <f aca="false">U38-U37</f>
        <v>718.274183553925</v>
      </c>
      <c r="O38" s="0" t="n">
        <f aca="false">F38-273.15</f>
        <v>5.81341209521599</v>
      </c>
      <c r="P38" s="0" t="n">
        <f aca="false">100*EXP(17.625*(E38-273.15)/(243.04+(E38-273.15)))/EXP(17.625*(F38-273.15)/(F38-273.15+243.04))</f>
        <v>74.2281399011202</v>
      </c>
      <c r="Q38" s="0" t="n">
        <f aca="false">T38-T37</f>
        <v>0</v>
      </c>
      <c r="R38" s="0" t="n">
        <f aca="false">SQRT(H38^2+I38^2)</f>
        <v>1.0834095154703</v>
      </c>
      <c r="T38" s="0" t="n">
        <f aca="false">G38*1000</f>
        <v>0.00441106427945259</v>
      </c>
      <c r="U38" s="0" t="n">
        <f aca="false">D38*10000/1000000*277.78*2.02/10000</f>
        <v>2424.20983562615</v>
      </c>
      <c r="AI38" s="142"/>
    </row>
    <row r="39" customFormat="false" ht="15.75" hidden="false" customHeight="false" outlineLevel="0" collapsed="false">
      <c r="B39" s="0" t="n">
        <v>438326</v>
      </c>
      <c r="C39" s="0" t="n">
        <v>14</v>
      </c>
      <c r="D39" s="0" t="n">
        <v>5469219.46561274</v>
      </c>
      <c r="E39" s="0" t="n">
        <v>275.037170035048</v>
      </c>
      <c r="F39" s="0" t="n">
        <v>279.434683502012</v>
      </c>
      <c r="G39" s="142" t="n">
        <v>4.41106427945259E-006</v>
      </c>
      <c r="H39" s="142" t="n">
        <v>1.34072240296523</v>
      </c>
      <c r="I39" s="142" t="n">
        <v>-1.09025050314863</v>
      </c>
      <c r="L39" s="0" t="n">
        <f aca="false">L38+1/24/$K$1</f>
        <v>1950.00422081941</v>
      </c>
      <c r="M39" s="0" t="n">
        <f aca="false">(L39-INT(L39))*$K$1</f>
        <v>1.54166666617824</v>
      </c>
      <c r="N39" s="0" t="n">
        <f aca="false">U39-U38</f>
        <v>644.654526352819</v>
      </c>
      <c r="O39" s="0" t="n">
        <f aca="false">F39-273.15</f>
        <v>6.284683502012</v>
      </c>
      <c r="P39" s="0" t="n">
        <f aca="false">100*EXP(17.625*(E39-273.15)/(243.04+(E39-273.15)))/EXP(17.625*(F39-273.15)/(F39-273.15+243.04))</f>
        <v>73.4570570263328</v>
      </c>
      <c r="Q39" s="0" t="n">
        <f aca="false">T39-T38</f>
        <v>0</v>
      </c>
      <c r="R39" s="0" t="n">
        <f aca="false">SQRT(H39^2+I39^2)</f>
        <v>1.72805749945675</v>
      </c>
      <c r="T39" s="0" t="n">
        <f aca="false">G39*1000</f>
        <v>0.00441106427945259</v>
      </c>
      <c r="U39" s="0" t="n">
        <f aca="false">D39*10000/1000000*277.78*2.02/10000</f>
        <v>3068.86436197897</v>
      </c>
      <c r="AI39" s="142"/>
    </row>
    <row r="40" customFormat="false" ht="15.75" hidden="false" customHeight="false" outlineLevel="0" collapsed="false">
      <c r="B40" s="0" t="n">
        <v>438327</v>
      </c>
      <c r="C40" s="0" t="n">
        <v>15</v>
      </c>
      <c r="D40" s="0" t="n">
        <v>6299184.57589306</v>
      </c>
      <c r="E40" s="0" t="n">
        <v>275.074544738068</v>
      </c>
      <c r="F40" s="0" t="n">
        <v>279.126463586407</v>
      </c>
      <c r="G40" s="142" t="n">
        <v>4.41106427945259E-006</v>
      </c>
      <c r="H40" s="142" t="n">
        <v>1.29381034906606</v>
      </c>
      <c r="I40" s="142" t="n">
        <v>-1.28035468700674</v>
      </c>
      <c r="L40" s="0" t="n">
        <f aca="false">L39+1/24/$K$1</f>
        <v>1950.00433489561</v>
      </c>
      <c r="M40" s="0" t="n">
        <f aca="false">(L40-INT(L40))*$K$1</f>
        <v>1.58333333283171</v>
      </c>
      <c r="N40" s="0" t="n">
        <f aca="false">U40-U39</f>
        <v>465.706370834008</v>
      </c>
      <c r="O40" s="0" t="n">
        <f aca="false">F40-273.15</f>
        <v>5.97646358640702</v>
      </c>
      <c r="P40" s="0" t="n">
        <f aca="false">100*EXP(17.625*(E40-273.15)/(243.04+(E40-273.15)))/EXP(17.625*(F40-273.15)/(F40-273.15+243.04))</f>
        <v>75.2363710037047</v>
      </c>
      <c r="Q40" s="0" t="n">
        <f aca="false">T40-T39</f>
        <v>0</v>
      </c>
      <c r="R40" s="0" t="n">
        <f aca="false">SQRT(H40^2+I40^2)</f>
        <v>1.82023442003786</v>
      </c>
      <c r="T40" s="0" t="n">
        <f aca="false">G40*1000</f>
        <v>0.00441106427945259</v>
      </c>
      <c r="U40" s="0" t="n">
        <f aca="false">D40*10000/1000000*277.78*2.02/10000</f>
        <v>3534.57073281298</v>
      </c>
      <c r="AI40" s="142"/>
    </row>
    <row r="41" customFormat="false" ht="15.75" hidden="false" customHeight="false" outlineLevel="0" collapsed="false">
      <c r="B41" s="0" t="n">
        <v>438328</v>
      </c>
      <c r="C41" s="0" t="n">
        <v>16</v>
      </c>
      <c r="D41" s="0" t="n">
        <v>6679032.43275906</v>
      </c>
      <c r="E41" s="0" t="n">
        <v>275.276003503123</v>
      </c>
      <c r="F41" s="0" t="n">
        <v>278.364855330781</v>
      </c>
      <c r="G41" s="142" t="n">
        <v>4.41106427945259E-006</v>
      </c>
      <c r="H41" s="142" t="n">
        <v>1.04037741420852</v>
      </c>
      <c r="I41" s="142" t="n">
        <v>-0.593179223542283</v>
      </c>
      <c r="L41" s="0" t="n">
        <f aca="false">L40+1/24/$K$1</f>
        <v>1950.00444897181</v>
      </c>
      <c r="M41" s="0" t="n">
        <f aca="false">(L41-INT(L41))*$K$1</f>
        <v>1.62499999948517</v>
      </c>
      <c r="N41" s="0" t="n">
        <f aca="false">U41-U40</f>
        <v>213.138558114079</v>
      </c>
      <c r="O41" s="0" t="n">
        <f aca="false">F41-273.15</f>
        <v>5.21485533078101</v>
      </c>
      <c r="P41" s="0" t="n">
        <f aca="false">100*EXP(17.625*(E41-273.15)/(243.04+(E41-273.15)))/EXP(17.625*(F41-273.15)/(F41-273.15+243.04))</f>
        <v>80.461353152731</v>
      </c>
      <c r="Q41" s="0" t="n">
        <f aca="false">T41-T40</f>
        <v>0</v>
      </c>
      <c r="R41" s="0" t="n">
        <f aca="false">SQRT(H41^2+I41^2)</f>
        <v>1.19760041551322</v>
      </c>
      <c r="T41" s="0" t="n">
        <f aca="false">G41*1000</f>
        <v>0.00441106427945259</v>
      </c>
      <c r="U41" s="0" t="n">
        <f aca="false">D41*10000/1000000*277.78*2.02/10000</f>
        <v>3747.70929092706</v>
      </c>
      <c r="AI41" s="142"/>
    </row>
    <row r="42" customFormat="false" ht="15.75" hidden="false" customHeight="false" outlineLevel="0" collapsed="false">
      <c r="B42" s="0" t="n">
        <v>438329</v>
      </c>
      <c r="C42" s="0" t="n">
        <v>17</v>
      </c>
      <c r="D42" s="0" t="n">
        <v>6710973.06755375</v>
      </c>
      <c r="E42" s="0" t="n">
        <v>275.198519362717</v>
      </c>
      <c r="F42" s="0" t="n">
        <v>277.385494438533</v>
      </c>
      <c r="G42" s="142" t="n">
        <v>4.41106427945259E-006</v>
      </c>
      <c r="H42" s="142" t="n">
        <v>1.37631085764735</v>
      </c>
      <c r="I42" s="142" t="n">
        <v>-0.483317315590284</v>
      </c>
      <c r="L42" s="0" t="n">
        <f aca="false">L41+1/24/$K$1</f>
        <v>1950.00456304801</v>
      </c>
      <c r="M42" s="0" t="n">
        <f aca="false">(L42-INT(L42))*$K$1</f>
        <v>1.66666666613864</v>
      </c>
      <c r="N42" s="0" t="n">
        <f aca="false">U42-U41</f>
        <v>17.9223884572039</v>
      </c>
      <c r="O42" s="0" t="n">
        <f aca="false">F42-273.15</f>
        <v>4.23549443853301</v>
      </c>
      <c r="P42" s="0" t="n">
        <f aca="false">100*EXP(17.625*(E42-273.15)/(243.04+(E42-273.15)))/EXP(17.625*(F42-273.15)/(F42-273.15+243.04))</f>
        <v>85.6776970552178</v>
      </c>
      <c r="Q42" s="0" t="n">
        <f aca="false">T42-T41</f>
        <v>0</v>
      </c>
      <c r="R42" s="0" t="n">
        <f aca="false">SQRT(H42^2+I42^2)</f>
        <v>1.4587073745023</v>
      </c>
      <c r="T42" s="0" t="n">
        <f aca="false">G42*1000</f>
        <v>0.00441106427945259</v>
      </c>
      <c r="U42" s="0" t="n">
        <f aca="false">D42*10000/1000000*277.78*2.02/10000</f>
        <v>3765.63167938426</v>
      </c>
      <c r="AI42" s="142"/>
    </row>
    <row r="43" customFormat="false" ht="15.75" hidden="false" customHeight="false" outlineLevel="0" collapsed="false">
      <c r="B43" s="0" t="n">
        <v>438330</v>
      </c>
      <c r="C43" s="0" t="n">
        <v>18</v>
      </c>
      <c r="D43" s="0" t="n">
        <v>6710973.06755375</v>
      </c>
      <c r="E43" s="0" t="n">
        <v>274.913195410399</v>
      </c>
      <c r="F43" s="0" t="n">
        <v>276.307250706466</v>
      </c>
      <c r="G43" s="142" t="n">
        <v>4.41106427945259E-006</v>
      </c>
      <c r="H43" s="142" t="n">
        <v>1.35635975426495</v>
      </c>
      <c r="I43" s="142" t="n">
        <v>-0.88506723388534</v>
      </c>
      <c r="L43" s="0" t="n">
        <f aca="false">L42+1/24/$K$1</f>
        <v>1950.00467712421</v>
      </c>
      <c r="M43" s="0" t="n">
        <f aca="false">(L43-INT(L43))*$K$1</f>
        <v>1.70833333279211</v>
      </c>
      <c r="N43" s="0" t="n">
        <f aca="false">U43-U42</f>
        <v>0</v>
      </c>
      <c r="O43" s="0" t="n">
        <f aca="false">F43-273.15</f>
        <v>3.15725070646602</v>
      </c>
      <c r="P43" s="0" t="n">
        <f aca="false">100*EXP(17.625*(E43-273.15)/(243.04+(E43-273.15)))/EXP(17.625*(F43-273.15)/(F43-273.15+243.04))</f>
        <v>90.5670126759476</v>
      </c>
      <c r="Q43" s="0" t="n">
        <f aca="false">T43-T42</f>
        <v>0</v>
      </c>
      <c r="R43" s="0" t="n">
        <f aca="false">SQRT(H43^2+I43^2)</f>
        <v>1.61958506769083</v>
      </c>
      <c r="T43" s="0" t="n">
        <f aca="false">G43*1000</f>
        <v>0.00441106427945259</v>
      </c>
      <c r="U43" s="0" t="n">
        <f aca="false">D43*10000/1000000*277.78*2.02/10000</f>
        <v>3765.63167938426</v>
      </c>
      <c r="AI43" s="142"/>
    </row>
    <row r="44" customFormat="false" ht="15.75" hidden="false" customHeight="false" outlineLevel="0" collapsed="false">
      <c r="B44" s="0" t="n">
        <v>438331</v>
      </c>
      <c r="C44" s="0" t="n">
        <v>19</v>
      </c>
      <c r="D44" s="0" t="n">
        <v>6710973.06755375</v>
      </c>
      <c r="E44" s="0" t="n">
        <v>274.453760036698</v>
      </c>
      <c r="F44" s="0" t="n">
        <v>275.625590278779</v>
      </c>
      <c r="G44" s="142" t="n">
        <v>4.41106427945259E-006</v>
      </c>
      <c r="H44" s="142" t="n">
        <v>1.44802698602193</v>
      </c>
      <c r="I44" s="142" t="n">
        <v>-0.187120995131463</v>
      </c>
      <c r="L44" s="0" t="n">
        <f aca="false">L43+1/24/$K$1</f>
        <v>1950.00479120042</v>
      </c>
      <c r="M44" s="0" t="n">
        <f aca="false">(L44-INT(L44))*$K$1</f>
        <v>1.74999999944557</v>
      </c>
      <c r="N44" s="0" t="n">
        <f aca="false">U44-U43</f>
        <v>0</v>
      </c>
      <c r="O44" s="0" t="n">
        <f aca="false">F44-273.15</f>
        <v>2.47559027877901</v>
      </c>
      <c r="P44" s="0" t="n">
        <f aca="false">100*EXP(17.625*(E44-273.15)/(243.04+(E44-273.15)))/EXP(17.625*(F44-273.15)/(F44-273.15+243.04))</f>
        <v>91.9730910972298</v>
      </c>
      <c r="Q44" s="0" t="n">
        <f aca="false">T44-T43</f>
        <v>0</v>
      </c>
      <c r="R44" s="0" t="n">
        <f aca="false">SQRT(H44^2+I44^2)</f>
        <v>1.46006726525415</v>
      </c>
      <c r="T44" s="0" t="n">
        <f aca="false">G44*1000</f>
        <v>0.00441106427945259</v>
      </c>
      <c r="U44" s="0" t="n">
        <f aca="false">D44*10000/1000000*277.78*2.02/10000</f>
        <v>3765.63167938426</v>
      </c>
      <c r="AI44" s="142"/>
    </row>
    <row r="45" customFormat="false" ht="15.75" hidden="false" customHeight="false" outlineLevel="0" collapsed="false">
      <c r="B45" s="0" t="n">
        <v>438332</v>
      </c>
      <c r="C45" s="0" t="n">
        <v>20</v>
      </c>
      <c r="D45" s="0" t="n">
        <v>6710973.06755375</v>
      </c>
      <c r="E45" s="0" t="n">
        <v>274.074543537771</v>
      </c>
      <c r="F45" s="0" t="n">
        <v>275.011254337777</v>
      </c>
      <c r="G45" s="142" t="n">
        <v>4.41106427945259E-006</v>
      </c>
      <c r="H45" s="142" t="n">
        <v>1.51812545736551</v>
      </c>
      <c r="I45" s="142" t="n">
        <v>0.36972808733112</v>
      </c>
      <c r="L45" s="0" t="n">
        <f aca="false">L44+1/24/$K$1</f>
        <v>1950.00490527662</v>
      </c>
      <c r="M45" s="0" t="n">
        <f aca="false">(L45-INT(L45))*$K$1</f>
        <v>1.79166666609904</v>
      </c>
      <c r="N45" s="0" t="n">
        <f aca="false">U45-U44</f>
        <v>0</v>
      </c>
      <c r="O45" s="0" t="n">
        <f aca="false">F45-273.15</f>
        <v>1.86125433777704</v>
      </c>
      <c r="P45" s="0" t="n">
        <f aca="false">100*EXP(17.625*(E45-273.15)/(243.04+(E45-273.15)))/EXP(17.625*(F45-273.15)/(F45-273.15+243.04))</f>
        <v>93.5047895614529</v>
      </c>
      <c r="Q45" s="0" t="n">
        <f aca="false">T45-T44</f>
        <v>0</v>
      </c>
      <c r="R45" s="0" t="n">
        <f aca="false">SQRT(H45^2+I45^2)</f>
        <v>1.56249920411588</v>
      </c>
      <c r="T45" s="0" t="n">
        <f aca="false">G45*1000</f>
        <v>0.00441106427945259</v>
      </c>
      <c r="U45" s="0" t="n">
        <f aca="false">D45*10000/1000000*277.78*2.02/10000</f>
        <v>3765.63167938426</v>
      </c>
      <c r="AI45" s="142"/>
    </row>
    <row r="46" customFormat="false" ht="15.75" hidden="false" customHeight="false" outlineLevel="0" collapsed="false">
      <c r="B46" s="0" t="n">
        <v>438333</v>
      </c>
      <c r="C46" s="0" t="n">
        <v>21</v>
      </c>
      <c r="D46" s="0" t="n">
        <v>6710973.06755375</v>
      </c>
      <c r="E46" s="0" t="n">
        <v>273.75822592929</v>
      </c>
      <c r="F46" s="0" t="n">
        <v>274.469502608983</v>
      </c>
      <c r="G46" s="142" t="n">
        <v>4.41106427945259E-006</v>
      </c>
      <c r="H46" s="142" t="n">
        <v>1.7262639953549</v>
      </c>
      <c r="I46" s="142" t="n">
        <v>0.250711020383121</v>
      </c>
      <c r="L46" s="0" t="n">
        <f aca="false">L45+1/24/$K$1</f>
        <v>1950.00501935282</v>
      </c>
      <c r="M46" s="0" t="n">
        <f aca="false">(L46-INT(L46))*$K$1</f>
        <v>1.8333333327525</v>
      </c>
      <c r="N46" s="0" t="n">
        <f aca="false">U46-U45</f>
        <v>0</v>
      </c>
      <c r="O46" s="0" t="n">
        <f aca="false">F46-273.15</f>
        <v>1.31950260898304</v>
      </c>
      <c r="P46" s="0" t="n">
        <f aca="false">100*EXP(17.625*(E46-273.15)/(243.04+(E46-273.15)))/EXP(17.625*(F46-273.15)/(F46-273.15+243.04))</f>
        <v>95.0112933242123</v>
      </c>
      <c r="Q46" s="0" t="n">
        <f aca="false">T46-T45</f>
        <v>0</v>
      </c>
      <c r="R46" s="0" t="n">
        <f aca="false">SQRT(H46^2+I46^2)</f>
        <v>1.74437478696529</v>
      </c>
      <c r="T46" s="0" t="n">
        <f aca="false">G46*1000</f>
        <v>0.00441106427945259</v>
      </c>
      <c r="U46" s="0" t="n">
        <f aca="false">D46*10000/1000000*277.78*2.02/10000</f>
        <v>3765.63167938426</v>
      </c>
      <c r="AI46" s="142"/>
    </row>
    <row r="47" customFormat="false" ht="15.75" hidden="false" customHeight="false" outlineLevel="0" collapsed="false">
      <c r="B47" s="0" t="n">
        <v>438334</v>
      </c>
      <c r="C47" s="0" t="n">
        <v>22</v>
      </c>
      <c r="D47" s="0" t="n">
        <v>6710973.06755375</v>
      </c>
      <c r="E47" s="0" t="n">
        <v>273.687122835741</v>
      </c>
      <c r="F47" s="0" t="n">
        <v>274.376931439791</v>
      </c>
      <c r="G47" s="142" t="n">
        <v>4.41106427945259E-006</v>
      </c>
      <c r="H47" s="142" t="n">
        <v>1.80876450393618</v>
      </c>
      <c r="I47" s="142" t="n">
        <v>-0.112802645634523</v>
      </c>
      <c r="L47" s="0" t="n">
        <f aca="false">L46+1/24/$K$1</f>
        <v>1950.00513342902</v>
      </c>
      <c r="M47" s="0" t="n">
        <f aca="false">(L47-INT(L47))*$K$1</f>
        <v>1.87499999940597</v>
      </c>
      <c r="N47" s="0" t="n">
        <f aca="false">U47-U46</f>
        <v>0</v>
      </c>
      <c r="O47" s="0" t="n">
        <f aca="false">F47-273.15</f>
        <v>1.22693143979103</v>
      </c>
      <c r="P47" s="0" t="n">
        <f aca="false">100*EXP(17.625*(E47-273.15)/(243.04+(E47-273.15)))/EXP(17.625*(F47-273.15)/(F47-273.15+243.04))</f>
        <v>95.1549894218163</v>
      </c>
      <c r="Q47" s="0" t="n">
        <f aca="false">T47-T46</f>
        <v>0</v>
      </c>
      <c r="R47" s="0" t="n">
        <f aca="false">SQRT(H47^2+I47^2)</f>
        <v>1.81227852924479</v>
      </c>
      <c r="T47" s="0" t="n">
        <f aca="false">G47*1000</f>
        <v>0.00441106427945259</v>
      </c>
      <c r="U47" s="0" t="n">
        <f aca="false">D47*10000/1000000*277.78*2.02/10000</f>
        <v>3765.63167938426</v>
      </c>
      <c r="AI47" s="142"/>
    </row>
    <row r="48" customFormat="false" ht="15.75" hidden="false" customHeight="false" outlineLevel="0" collapsed="false">
      <c r="B48" s="0" t="n">
        <v>438335</v>
      </c>
      <c r="C48" s="0" t="n">
        <v>23</v>
      </c>
      <c r="D48" s="0" t="n">
        <v>6710973.06755375</v>
      </c>
      <c r="E48" s="0" t="n">
        <v>273.759137507413</v>
      </c>
      <c r="F48" s="0" t="n">
        <v>274.41690535376</v>
      </c>
      <c r="G48" s="142" t="n">
        <v>4.41106427945259E-006</v>
      </c>
      <c r="H48" s="142" t="n">
        <v>1.79959778076048</v>
      </c>
      <c r="I48" s="142" t="n">
        <v>0.131693953435122</v>
      </c>
      <c r="L48" s="0" t="n">
        <f aca="false">L47+1/24/$K$1</f>
        <v>1950.00524750522</v>
      </c>
      <c r="M48" s="0" t="n">
        <f aca="false">(L48-INT(L48))*$K$1</f>
        <v>1.91666666605943</v>
      </c>
      <c r="N48" s="0" t="n">
        <f aca="false">U48-U47</f>
        <v>0</v>
      </c>
      <c r="O48" s="0" t="n">
        <f aca="false">F48-273.15</f>
        <v>1.26690535376002</v>
      </c>
      <c r="P48" s="0" t="n">
        <f aca="false">100*EXP(17.625*(E48-273.15)/(243.04+(E48-273.15)))/EXP(17.625*(F48-273.15)/(F48-273.15+243.04))</f>
        <v>95.3768193610117</v>
      </c>
      <c r="Q48" s="0" t="n">
        <f aca="false">T48-T47</f>
        <v>0</v>
      </c>
      <c r="R48" s="0" t="n">
        <f aca="false">SQRT(H48^2+I48^2)</f>
        <v>1.80441000603782</v>
      </c>
      <c r="T48" s="0" t="n">
        <f aca="false">G48*1000</f>
        <v>0.00441106427945259</v>
      </c>
      <c r="U48" s="0" t="n">
        <f aca="false">D48*10000/1000000*277.78*2.02/10000</f>
        <v>3765.63167938426</v>
      </c>
      <c r="AI48" s="142"/>
    </row>
    <row r="49" customFormat="false" ht="15.75" hidden="false" customHeight="false" outlineLevel="0" collapsed="false">
      <c r="B49" s="0" t="n">
        <v>438336</v>
      </c>
      <c r="C49" s="0" t="n">
        <v>24</v>
      </c>
      <c r="D49" s="0" t="n">
        <v>6710973.06755375</v>
      </c>
      <c r="E49" s="0" t="n">
        <v>274.042638303486</v>
      </c>
      <c r="F49" s="0" t="n">
        <v>274.72617721447</v>
      </c>
      <c r="G49" s="142" t="n">
        <v>4.41106427945259E-006</v>
      </c>
      <c r="H49" s="142" t="n">
        <v>1.76886229717138</v>
      </c>
      <c r="I49" s="142" t="n">
        <v>0.0261403555988877</v>
      </c>
      <c r="L49" s="0" t="n">
        <f aca="false">L48+1/24/$K$1</f>
        <v>1950.00536158142</v>
      </c>
      <c r="M49" s="0" t="n">
        <f aca="false">(L49-INT(L49))*$K$1</f>
        <v>1.9583333327129</v>
      </c>
      <c r="N49" s="0" t="n">
        <f aca="false">U49-U48</f>
        <v>0</v>
      </c>
      <c r="O49" s="0" t="n">
        <f aca="false">F49-273.15</f>
        <v>1.57617721447002</v>
      </c>
      <c r="P49" s="0" t="n">
        <f aca="false">100*EXP(17.625*(E49-273.15)/(243.04+(E49-273.15)))/EXP(17.625*(F49-273.15)/(F49-273.15+243.04))</f>
        <v>95.2114589244584</v>
      </c>
      <c r="Q49" s="0" t="n">
        <f aca="false">T49-T48</f>
        <v>0</v>
      </c>
      <c r="R49" s="0" t="n">
        <f aca="false">SQRT(H49^2+I49^2)</f>
        <v>1.76905543851663</v>
      </c>
      <c r="T49" s="0" t="n">
        <f aca="false">G49*1000</f>
        <v>0.00441106427945259</v>
      </c>
      <c r="U49" s="0" t="n">
        <f aca="false">D49*10000/1000000*277.78*2.02/10000</f>
        <v>3765.63167938426</v>
      </c>
      <c r="W49" s="0" t="n">
        <f aca="false">MIN(O26:O49)</f>
        <v>-0.238428090715956</v>
      </c>
      <c r="X49" s="0" t="n">
        <f aca="false">MAX(O26:O49)</f>
        <v>6.284683502012</v>
      </c>
      <c r="Y49" s="0" t="n">
        <f aca="false">MIN(P26:P49)</f>
        <v>73.4570570263328</v>
      </c>
      <c r="Z49" s="0" t="n">
        <f aca="false">MAX(P26:P49)</f>
        <v>95.8937283577728</v>
      </c>
      <c r="AA49" s="0" t="n">
        <f aca="false">MAX(N26:N49)</f>
        <v>718.274183553925</v>
      </c>
      <c r="AB49" s="0" t="n">
        <f aca="false">T49</f>
        <v>0.00441106427945259</v>
      </c>
      <c r="AC49" s="0" t="n">
        <f aca="false">AVERAGE(R26:R49)</f>
        <v>1.28327334539073</v>
      </c>
      <c r="AI49" s="142"/>
    </row>
    <row r="50" customFormat="false" ht="15.75" hidden="false" customHeight="false" outlineLevel="0" collapsed="false">
      <c r="B50" s="0" t="n">
        <v>438337</v>
      </c>
      <c r="C50" s="0" t="n">
        <v>1</v>
      </c>
      <c r="D50" s="142" t="n">
        <v>1.86264514923095E-009</v>
      </c>
      <c r="E50" s="0" t="n">
        <v>274.359867490089</v>
      </c>
      <c r="F50" s="0" t="n">
        <v>275.09225411082</v>
      </c>
      <c r="G50" s="142" t="n">
        <v>6.93889390390722E-018</v>
      </c>
      <c r="H50" s="142" t="n">
        <v>1.79258793362613</v>
      </c>
      <c r="I50" s="142" t="n">
        <v>-0.233435328875933</v>
      </c>
      <c r="L50" s="0" t="n">
        <f aca="false">L49+1/24/$K$1</f>
        <v>1950.00547565762</v>
      </c>
      <c r="M50" s="0" t="n">
        <f aca="false">(L50-INT(L50))*$K$1</f>
        <v>1.99999999936637</v>
      </c>
      <c r="N50" s="0" t="n">
        <f aca="false">U50</f>
        <v>1.04515925049781E-012</v>
      </c>
      <c r="O50" s="0" t="n">
        <f aca="false">F50-273.15</f>
        <v>1.94225411082004</v>
      </c>
      <c r="P50" s="0" t="n">
        <f aca="false">100*EXP(17.625*(E50-273.15)/(243.04+(E50-273.15)))/EXP(17.625*(F50-273.15)/(F50-273.15+243.04))</f>
        <v>94.8920919216868</v>
      </c>
      <c r="Q50" s="506" t="n">
        <f aca="false">T50</f>
        <v>6.93889390390722E-015</v>
      </c>
      <c r="R50" s="0" t="n">
        <f aca="false">SQRT(H50^2+I50^2)</f>
        <v>1.80772330641318</v>
      </c>
      <c r="T50" s="0" t="n">
        <f aca="false">G50*1000</f>
        <v>6.93889390390722E-015</v>
      </c>
      <c r="U50" s="0" t="n">
        <f aca="false">D50*10000/1000000*277.78*2.02/10000</f>
        <v>1.04515925049781E-012</v>
      </c>
      <c r="AI50" s="142"/>
      <c r="AJ50" s="142"/>
    </row>
    <row r="51" customFormat="false" ht="15.75" hidden="false" customHeight="false" outlineLevel="0" collapsed="false">
      <c r="B51" s="0" t="n">
        <v>438338</v>
      </c>
      <c r="C51" s="0" t="n">
        <v>2</v>
      </c>
      <c r="D51" s="142" t="n">
        <v>1.86264514923095E-009</v>
      </c>
      <c r="E51" s="0" t="n">
        <v>274.78192816077</v>
      </c>
      <c r="F51" s="0" t="n">
        <v>275.597187760959</v>
      </c>
      <c r="G51" s="142" t="n">
        <v>2.94070951963737E-006</v>
      </c>
      <c r="H51" s="142" t="n">
        <v>1.74729353675797</v>
      </c>
      <c r="I51" s="142" t="n">
        <v>-0.191967844011698</v>
      </c>
      <c r="L51" s="0" t="n">
        <f aca="false">L50+1/24/$K$1</f>
        <v>1950.00558973382</v>
      </c>
      <c r="M51" s="0" t="n">
        <f aca="false">(L51-INT(L51))*$K$1</f>
        <v>2.04166666601983</v>
      </c>
      <c r="N51" s="0" t="n">
        <v>0</v>
      </c>
      <c r="O51" s="0" t="n">
        <v>2.44718776095903</v>
      </c>
      <c r="P51" s="0" t="n">
        <v>94.3515976121317</v>
      </c>
      <c r="Q51" s="0" t="n">
        <v>0.00294070951963043</v>
      </c>
      <c r="R51" s="0" t="n">
        <v>1.75780725812891</v>
      </c>
      <c r="T51" s="0" t="n">
        <v>0.00294070951963737</v>
      </c>
      <c r="U51" s="0" t="n">
        <v>1.04515925049781E-012</v>
      </c>
      <c r="AI51" s="142"/>
      <c r="AJ51" s="142"/>
    </row>
    <row r="52" customFormat="false" ht="15.75" hidden="false" customHeight="false" outlineLevel="0" collapsed="false">
      <c r="B52" s="0" t="n">
        <v>438339</v>
      </c>
      <c r="C52" s="0" t="n">
        <v>3</v>
      </c>
      <c r="D52" s="142" t="n">
        <v>1.86264514923095E-009</v>
      </c>
      <c r="E52" s="0" t="n">
        <v>274.961509050887</v>
      </c>
      <c r="F52" s="0" t="n">
        <v>275.748667856</v>
      </c>
      <c r="G52" s="142" t="n">
        <v>1.02924833187065E-005</v>
      </c>
      <c r="H52" s="142" t="n">
        <v>1.7753329252954</v>
      </c>
      <c r="I52" s="142" t="n">
        <v>0.325567908644532</v>
      </c>
      <c r="L52" s="0" t="n">
        <f aca="false">L51+1/24/$K$1</f>
        <v>1950.00570381002</v>
      </c>
      <c r="M52" s="0" t="n">
        <f aca="false">(L52-INT(L52))*$K$1</f>
        <v>2.0833333326733</v>
      </c>
      <c r="N52" s="0" t="n">
        <v>0</v>
      </c>
      <c r="O52" s="0" t="n">
        <v>2.59866785600002</v>
      </c>
      <c r="P52" s="0" t="n">
        <v>94.5480375816604</v>
      </c>
      <c r="Q52" s="0" t="n">
        <v>0.00735177379906913</v>
      </c>
      <c r="R52" s="0" t="n">
        <v>1.80493807616137</v>
      </c>
      <c r="T52" s="0" t="n">
        <v>0.0102924833187065</v>
      </c>
      <c r="U52" s="0" t="n">
        <v>1.04515925049781E-012</v>
      </c>
      <c r="AI52" s="142"/>
      <c r="AJ52" s="142"/>
    </row>
    <row r="53" customFormat="false" ht="15.75" hidden="false" customHeight="false" outlineLevel="0" collapsed="false">
      <c r="B53" s="0" t="n">
        <v>438340</v>
      </c>
      <c r="C53" s="0" t="n">
        <v>4</v>
      </c>
      <c r="D53" s="142" t="n">
        <v>1.86264514923095E-009</v>
      </c>
      <c r="E53" s="0" t="n">
        <v>275.878556642044</v>
      </c>
      <c r="F53" s="0" t="n">
        <v>276.649132865414</v>
      </c>
      <c r="G53" s="142" t="n">
        <v>8.08695117898161E-005</v>
      </c>
      <c r="H53" s="142" t="n">
        <v>1.67018521828004</v>
      </c>
      <c r="I53" s="142" t="n">
        <v>0.614224686400765</v>
      </c>
      <c r="L53" s="0" t="n">
        <f aca="false">L52+1/24/$K$1</f>
        <v>1950.00581788622</v>
      </c>
      <c r="M53" s="0" t="n">
        <f aca="false">(L53-INT(L53))*$K$1</f>
        <v>2.12499999932676</v>
      </c>
      <c r="N53" s="0" t="n">
        <v>0</v>
      </c>
      <c r="O53" s="0" t="n">
        <v>3.49913286541403</v>
      </c>
      <c r="P53" s="0" t="n">
        <v>94.6980631237283</v>
      </c>
      <c r="Q53" s="0" t="n">
        <v>0.0705770284711096</v>
      </c>
      <c r="R53" s="0" t="n">
        <v>1.77954787200156</v>
      </c>
      <c r="T53" s="0" t="n">
        <v>0.0808695117898161</v>
      </c>
      <c r="U53" s="0" t="n">
        <v>1.04515925049781E-012</v>
      </c>
      <c r="AI53" s="142"/>
      <c r="AJ53" s="142"/>
    </row>
    <row r="54" customFormat="false" ht="15.75" hidden="false" customHeight="false" outlineLevel="0" collapsed="false">
      <c r="B54" s="0" t="n">
        <v>438341</v>
      </c>
      <c r="C54" s="0" t="n">
        <v>5</v>
      </c>
      <c r="D54" s="142" t="n">
        <v>1.86264514923095E-009</v>
      </c>
      <c r="E54" s="0" t="n">
        <v>277.071812404294</v>
      </c>
      <c r="F54" s="0" t="n">
        <v>277.929350057536</v>
      </c>
      <c r="G54" s="142" t="n">
        <v>0.000110276606986113</v>
      </c>
      <c r="H54" s="142" t="n">
        <v>1.7844996484711</v>
      </c>
      <c r="I54" s="142" t="n">
        <v>0.955658263075115</v>
      </c>
      <c r="L54" s="0" t="n">
        <f aca="false">L53+1/24/$K$1</f>
        <v>1950.00593196242</v>
      </c>
      <c r="M54" s="0" t="n">
        <f aca="false">(L54-INT(L54))*$K$1</f>
        <v>2.16666666598023</v>
      </c>
      <c r="N54" s="0" t="n">
        <v>0</v>
      </c>
      <c r="O54" s="0" t="n">
        <v>4.77935005753602</v>
      </c>
      <c r="P54" s="0" t="n">
        <v>94.1745819242981</v>
      </c>
      <c r="Q54" s="0" t="n">
        <v>0.0294070951962969</v>
      </c>
      <c r="R54" s="0" t="n">
        <v>2.02428301163084</v>
      </c>
      <c r="T54" s="0" t="n">
        <v>0.110276606986113</v>
      </c>
      <c r="U54" s="0" t="n">
        <v>1.04515925049781E-012</v>
      </c>
      <c r="AI54" s="142"/>
      <c r="AJ54" s="142"/>
    </row>
    <row r="55" customFormat="false" ht="15.75" hidden="false" customHeight="false" outlineLevel="0" collapsed="false">
      <c r="B55" s="0" t="n">
        <v>438342</v>
      </c>
      <c r="C55" s="0" t="n">
        <v>6</v>
      </c>
      <c r="D55" s="142" t="n">
        <v>1.86264514923095E-009</v>
      </c>
      <c r="E55" s="0" t="n">
        <v>278.286946041483</v>
      </c>
      <c r="F55" s="0" t="n">
        <v>279.281099516761</v>
      </c>
      <c r="G55" s="142" t="n">
        <v>0.000120569090304813</v>
      </c>
      <c r="H55" s="142" t="n">
        <v>1.9592066078197</v>
      </c>
      <c r="I55" s="142" t="n">
        <v>1.02566830245629</v>
      </c>
      <c r="L55" s="0" t="n">
        <f aca="false">L54+1/24/$K$1</f>
        <v>1950.00604603862</v>
      </c>
      <c r="M55" s="0" t="n">
        <f aca="false">(L55-INT(L55))*$K$1</f>
        <v>2.2083333326337</v>
      </c>
      <c r="N55" s="0" t="n">
        <v>0</v>
      </c>
      <c r="O55" s="0" t="n">
        <v>6.13109951676103</v>
      </c>
      <c r="P55" s="0" t="n">
        <v>93.3452293852251</v>
      </c>
      <c r="Q55" s="0" t="n">
        <v>0.0102924833187</v>
      </c>
      <c r="R55" s="0" t="n">
        <v>2.21144432414383</v>
      </c>
      <c r="T55" s="0" t="n">
        <v>0.120569090304813</v>
      </c>
      <c r="U55" s="0" t="n">
        <v>1.04515925049781E-012</v>
      </c>
      <c r="AI55" s="142"/>
      <c r="AJ55" s="142"/>
    </row>
    <row r="56" customFormat="false" ht="15.75" hidden="false" customHeight="false" outlineLevel="0" collapsed="false">
      <c r="B56" s="0" t="n">
        <v>438343</v>
      </c>
      <c r="C56" s="0" t="n">
        <v>7</v>
      </c>
      <c r="D56" s="142" t="n">
        <v>1.86264514923095E-009</v>
      </c>
      <c r="E56" s="0" t="n">
        <v>279.255953585617</v>
      </c>
      <c r="F56" s="0" t="n">
        <v>280.235213726502</v>
      </c>
      <c r="G56" s="142" t="n">
        <v>0.000139683702182404</v>
      </c>
      <c r="H56" s="142" t="n">
        <v>2.34474820020938</v>
      </c>
      <c r="I56" s="142" t="n">
        <v>0.829640192188999</v>
      </c>
      <c r="L56" s="0" t="n">
        <f aca="false">L55+1/24/$K$1</f>
        <v>1950.00616011482</v>
      </c>
      <c r="M56" s="0" t="n">
        <f aca="false">(L56-INT(L56))*$K$1</f>
        <v>2.24999999928716</v>
      </c>
      <c r="N56" s="0" t="n">
        <v>0</v>
      </c>
      <c r="O56" s="0" t="n">
        <v>7.08521372650205</v>
      </c>
      <c r="P56" s="0" t="n">
        <v>93.4903298687383</v>
      </c>
      <c r="Q56" s="0" t="n">
        <v>0.019114611877591</v>
      </c>
      <c r="R56" s="0" t="n">
        <v>2.48719660881092</v>
      </c>
      <c r="T56" s="0" t="n">
        <v>0.139683702182404</v>
      </c>
      <c r="U56" s="0" t="n">
        <v>1.04515925049781E-012</v>
      </c>
      <c r="AI56" s="142"/>
      <c r="AJ56" s="142"/>
    </row>
    <row r="57" customFormat="false" ht="15.75" hidden="false" customHeight="false" outlineLevel="0" collapsed="false">
      <c r="B57" s="0" t="n">
        <v>438344</v>
      </c>
      <c r="C57" s="0" t="n">
        <v>8</v>
      </c>
      <c r="D57" s="0" t="n">
        <v>1965.57752582803</v>
      </c>
      <c r="E57" s="0" t="n">
        <v>280.04720339588</v>
      </c>
      <c r="F57" s="0" t="n">
        <v>280.92634166013</v>
      </c>
      <c r="G57" s="142" t="n">
        <v>0.000182323990217031</v>
      </c>
      <c r="H57" s="142" t="n">
        <v>2.29244395620686</v>
      </c>
      <c r="I57" s="142" t="n">
        <v>0.386961327794179</v>
      </c>
      <c r="L57" s="0" t="n">
        <f aca="false">L56+1/24/$K$1</f>
        <v>1950.00627419102</v>
      </c>
      <c r="M57" s="0" t="n">
        <f aca="false">(L57-INT(L57))*$K$1</f>
        <v>2.29166666594063</v>
      </c>
      <c r="N57" s="0" t="n">
        <v>1.10291621275047</v>
      </c>
      <c r="O57" s="0" t="n">
        <v>7.77634166013002</v>
      </c>
      <c r="P57" s="0" t="n">
        <v>94.1696046597722</v>
      </c>
      <c r="Q57" s="0" t="n">
        <v>0.042640288034627</v>
      </c>
      <c r="R57" s="0" t="n">
        <v>2.32487383777219</v>
      </c>
      <c r="T57" s="0" t="n">
        <v>0.182323990217031</v>
      </c>
      <c r="U57" s="0" t="n">
        <v>1.10291621275151</v>
      </c>
      <c r="AI57" s="142"/>
    </row>
    <row r="58" customFormat="false" ht="15.75" hidden="false" customHeight="false" outlineLevel="0" collapsed="false">
      <c r="B58" s="0" t="n">
        <v>438345</v>
      </c>
      <c r="C58" s="0" t="n">
        <v>9</v>
      </c>
      <c r="D58" s="0" t="n">
        <v>85011.2279920056</v>
      </c>
      <c r="E58" s="0" t="n">
        <v>280.946019424588</v>
      </c>
      <c r="F58" s="0" t="n">
        <v>281.638508495846</v>
      </c>
      <c r="G58" s="142" t="n">
        <v>0.000217612504452589</v>
      </c>
      <c r="H58" s="142" t="n">
        <v>2.05087383957669</v>
      </c>
      <c r="I58" s="142" t="n">
        <v>-0.0508706877204057</v>
      </c>
      <c r="L58" s="0" t="n">
        <f aca="false">L57+1/24/$K$1</f>
        <v>1950.00638826722</v>
      </c>
      <c r="M58" s="0" t="n">
        <f aca="false">(L58-INT(L58))*$K$1</f>
        <v>2.33333333259409</v>
      </c>
      <c r="N58" s="0" t="n">
        <v>46.5982099887195</v>
      </c>
      <c r="O58" s="0" t="n">
        <v>8.48850849584602</v>
      </c>
      <c r="P58" s="0" t="n">
        <v>95.4072440879696</v>
      </c>
      <c r="Q58" s="0" t="n">
        <v>0.035288514235558</v>
      </c>
      <c r="R58" s="0" t="n">
        <v>2.05150465091581</v>
      </c>
      <c r="T58" s="0" t="n">
        <v>0.217612504452589</v>
      </c>
      <c r="U58" s="0" t="n">
        <v>47.701126201471</v>
      </c>
      <c r="AI58" s="142"/>
    </row>
    <row r="59" customFormat="false" ht="15.75" hidden="false" customHeight="false" outlineLevel="0" collapsed="false">
      <c r="B59" s="0" t="n">
        <v>438346</v>
      </c>
      <c r="C59" s="0" t="n">
        <v>10</v>
      </c>
      <c r="D59" s="0" t="n">
        <v>334148.179390536</v>
      </c>
      <c r="E59" s="0" t="n">
        <v>282.008007937209</v>
      </c>
      <c r="F59" s="0" t="n">
        <v>282.68308998457</v>
      </c>
      <c r="G59" s="142" t="n">
        <v>0.000273485985325547</v>
      </c>
      <c r="H59" s="142" t="n">
        <v>1.72141102426188</v>
      </c>
      <c r="I59" s="142" t="n">
        <v>-0.435387365552402</v>
      </c>
      <c r="L59" s="0" t="n">
        <f aca="false">L58+1/24/$K$1</f>
        <v>1950.00650234342</v>
      </c>
      <c r="M59" s="0" t="n">
        <f aca="false">(L59-INT(L59))*$K$1</f>
        <v>2.37499999924756</v>
      </c>
      <c r="N59" s="0" t="n">
        <v>139.794629966157</v>
      </c>
      <c r="O59" s="0" t="n">
        <v>9.53308998457004</v>
      </c>
      <c r="P59" s="0" t="n">
        <v>95.5565605367633</v>
      </c>
      <c r="Q59" s="0" t="n">
        <v>0.055873480872958</v>
      </c>
      <c r="R59" s="0" t="n">
        <v>1.77561765944502</v>
      </c>
      <c r="T59" s="0" t="n">
        <v>0.273485985325547</v>
      </c>
      <c r="U59" s="0" t="n">
        <v>187.495756167628</v>
      </c>
      <c r="AI59" s="142"/>
    </row>
    <row r="60" customFormat="false" ht="15.75" hidden="false" customHeight="false" outlineLevel="0" collapsed="false">
      <c r="B60" s="0" t="n">
        <v>438347</v>
      </c>
      <c r="C60" s="0" t="n">
        <v>11</v>
      </c>
      <c r="D60" s="0" t="n">
        <v>676158.668884379</v>
      </c>
      <c r="E60" s="0" t="n">
        <v>282.694426263393</v>
      </c>
      <c r="F60" s="0" t="n">
        <v>283.596178335237</v>
      </c>
      <c r="G60" s="142" t="n">
        <v>0.000289659887683514</v>
      </c>
      <c r="H60" s="142" t="n">
        <v>1.57204735839903</v>
      </c>
      <c r="I60" s="142" t="n">
        <v>-0.790284411338517</v>
      </c>
      <c r="L60" s="0" t="n">
        <f aca="false">L59+1/24/$K$1</f>
        <v>1950.00661641962</v>
      </c>
      <c r="M60" s="0" t="n">
        <f aca="false">(L60-INT(L60))*$K$1</f>
        <v>2.41666666590103</v>
      </c>
      <c r="N60" s="0" t="n">
        <v>191.907421018631</v>
      </c>
      <c r="O60" s="0" t="n">
        <v>10.4461783352371</v>
      </c>
      <c r="P60" s="0" t="n">
        <v>94.1453821874316</v>
      </c>
      <c r="Q60" s="0" t="n">
        <v>0.016173902357967</v>
      </c>
      <c r="R60" s="0" t="n">
        <v>1.75951196297554</v>
      </c>
      <c r="T60" s="0" t="n">
        <v>0.289659887683514</v>
      </c>
      <c r="U60" s="0" t="n">
        <v>379.40317718626</v>
      </c>
      <c r="AI60" s="142"/>
    </row>
    <row r="61" customFormat="false" ht="15.75" hidden="false" customHeight="false" outlineLevel="0" collapsed="false">
      <c r="B61" s="0" t="n">
        <v>438348</v>
      </c>
      <c r="C61" s="0" t="n">
        <v>12</v>
      </c>
      <c r="D61" s="0" t="n">
        <v>1179346.51549601</v>
      </c>
      <c r="E61" s="0" t="n">
        <v>282.737270435147</v>
      </c>
      <c r="F61" s="0" t="n">
        <v>284.404072175459</v>
      </c>
      <c r="G61" s="142" t="n">
        <v>0.000324948401919066</v>
      </c>
      <c r="H61" s="142" t="n">
        <v>2.36847383666412</v>
      </c>
      <c r="I61" s="142" t="n">
        <v>-1.79842897842745</v>
      </c>
      <c r="L61" s="0" t="n">
        <f aca="false">L60+1/24/$K$1</f>
        <v>1950.00673049582</v>
      </c>
      <c r="M61" s="0" t="n">
        <f aca="false">(L61-INT(L61))*$K$1</f>
        <v>2.45833333255449</v>
      </c>
      <c r="N61" s="0" t="n">
        <v>282.346550464193</v>
      </c>
      <c r="O61" s="0" t="n">
        <v>11.254072175459</v>
      </c>
      <c r="P61" s="0" t="n">
        <v>89.4812557451347</v>
      </c>
      <c r="Q61" s="0" t="n">
        <v>0.035288514235552</v>
      </c>
      <c r="R61" s="0" t="n">
        <v>2.97388888585469</v>
      </c>
      <c r="T61" s="0" t="n">
        <v>0.324948401919066</v>
      </c>
      <c r="U61" s="0" t="n">
        <v>661.749727650453</v>
      </c>
      <c r="AI61" s="142"/>
    </row>
    <row r="62" customFormat="false" ht="15.75" hidden="false" customHeight="false" outlineLevel="0" collapsed="false">
      <c r="B62" s="0" t="n">
        <v>438349</v>
      </c>
      <c r="C62" s="0" t="n">
        <v>13</v>
      </c>
      <c r="D62" s="0" t="n">
        <v>1789658.33726519</v>
      </c>
      <c r="E62" s="0" t="n">
        <v>282.55404323254</v>
      </c>
      <c r="F62" s="0" t="n">
        <v>284.710188200856</v>
      </c>
      <c r="G62" s="142" t="n">
        <v>0.000383762592311653</v>
      </c>
      <c r="H62" s="142" t="n">
        <v>2.49734718013424</v>
      </c>
      <c r="I62" s="142" t="n">
        <v>-2.11185853934933</v>
      </c>
      <c r="L62" s="0" t="n">
        <f aca="false">L61+1/24/$K$1</f>
        <v>1950.00684457202</v>
      </c>
      <c r="M62" s="0" t="n">
        <f aca="false">(L62-INT(L62))*$K$1</f>
        <v>2.49999999920796</v>
      </c>
      <c r="N62" s="0" t="n">
        <v>342.455484059106</v>
      </c>
      <c r="O62" s="0" t="n">
        <v>11.560188200856</v>
      </c>
      <c r="P62" s="0" t="n">
        <v>86.6146342898114</v>
      </c>
      <c r="Q62" s="0" t="n">
        <v>0.058814190392587</v>
      </c>
      <c r="R62" s="0" t="n">
        <v>3.27057937196869</v>
      </c>
      <c r="T62" s="0" t="n">
        <v>0.383762592311653</v>
      </c>
      <c r="U62" s="0" t="n">
        <v>1004.20521170956</v>
      </c>
      <c r="AI62" s="142"/>
    </row>
    <row r="63" customFormat="false" ht="15.75" hidden="false" customHeight="false" outlineLevel="0" collapsed="false">
      <c r="B63" s="0" t="n">
        <v>438350</v>
      </c>
      <c r="C63" s="0" t="n">
        <v>14</v>
      </c>
      <c r="D63" s="0" t="n">
        <v>2285966.66253643</v>
      </c>
      <c r="E63" s="0" t="n">
        <v>282.337087639404</v>
      </c>
      <c r="F63" s="0" t="n">
        <v>284.616565086559</v>
      </c>
      <c r="G63" s="142" t="n">
        <v>0.000413169687507951</v>
      </c>
      <c r="H63" s="142" t="n">
        <v>2.20185516247055</v>
      </c>
      <c r="I63" s="142" t="n">
        <v>-2.07631498089427</v>
      </c>
      <c r="L63" s="0" t="n">
        <f aca="false">L62+1/24/$K$1</f>
        <v>1950.00695864822</v>
      </c>
      <c r="M63" s="0" t="n">
        <f aca="false">(L63-INT(L63))*$K$1</f>
        <v>2.54166666586142</v>
      </c>
      <c r="N63" s="0" t="n">
        <v>278.486343719567</v>
      </c>
      <c r="O63" s="0" t="n">
        <v>11.466565086559</v>
      </c>
      <c r="P63" s="0" t="n">
        <v>85.8895692210445</v>
      </c>
      <c r="Q63" s="0" t="n">
        <v>0.029407095196298</v>
      </c>
      <c r="R63" s="0" t="n">
        <v>3.0264252933757</v>
      </c>
      <c r="T63" s="0" t="n">
        <v>0.413169687507951</v>
      </c>
      <c r="U63" s="0" t="n">
        <v>1282.69155542913</v>
      </c>
      <c r="AI63" s="142"/>
    </row>
    <row r="64" customFormat="false" ht="15.75" hidden="false" customHeight="false" outlineLevel="0" collapsed="false">
      <c r="B64" s="0" t="n">
        <v>438351</v>
      </c>
      <c r="C64" s="0" t="n">
        <v>15</v>
      </c>
      <c r="D64" s="0" t="n">
        <v>2666797.30816535</v>
      </c>
      <c r="E64" s="0" t="n">
        <v>282.099165749451</v>
      </c>
      <c r="F64" s="0" t="n">
        <v>284.368306041908</v>
      </c>
      <c r="G64" s="142" t="n">
        <v>0.000426402880346281</v>
      </c>
      <c r="H64" s="142" t="n">
        <v>2.07513869504177</v>
      </c>
      <c r="I64" s="142" t="n">
        <v>-1.98368631340533</v>
      </c>
      <c r="L64" s="0" t="n">
        <f aca="false">L63+1/24/$K$1</f>
        <v>1950.00707272442</v>
      </c>
      <c r="M64" s="0" t="n">
        <f aca="false">(L64-INT(L64))*$K$1</f>
        <v>2.58333333251489</v>
      </c>
      <c r="N64" s="0" t="n">
        <v>213.690016220459</v>
      </c>
      <c r="O64" s="0" t="n">
        <v>11.218306041908</v>
      </c>
      <c r="P64" s="0" t="n">
        <v>85.9238322910897</v>
      </c>
      <c r="Q64" s="0" t="n">
        <v>0.01323319283833</v>
      </c>
      <c r="R64" s="0" t="n">
        <v>2.8707511201167</v>
      </c>
      <c r="T64" s="0" t="n">
        <v>0.426402880346281</v>
      </c>
      <c r="U64" s="0" t="n">
        <v>1496.38157164959</v>
      </c>
      <c r="AI64" s="142"/>
    </row>
    <row r="65" customFormat="false" ht="15.75" hidden="false" customHeight="false" outlineLevel="0" collapsed="false">
      <c r="B65" s="0" t="n">
        <v>438352</v>
      </c>
      <c r="C65" s="0" t="n">
        <v>16</v>
      </c>
      <c r="D65" s="0" t="n">
        <v>2790628.69229243</v>
      </c>
      <c r="E65" s="0" t="n">
        <v>281.629703016404</v>
      </c>
      <c r="F65" s="0" t="n">
        <v>283.647723645356</v>
      </c>
      <c r="G65" s="142" t="n">
        <v>0.000451398911263133</v>
      </c>
      <c r="H65" s="142" t="n">
        <v>1.73812681358227</v>
      </c>
      <c r="I65" s="142" t="n">
        <v>-1.94814275495027</v>
      </c>
      <c r="L65" s="0" t="n">
        <f aca="false">L64+1/24/$K$1</f>
        <v>1950.00718680062</v>
      </c>
      <c r="M65" s="0" t="n">
        <f aca="false">(L65-INT(L65))*$K$1</f>
        <v>2.62499999916836</v>
      </c>
      <c r="N65" s="0" t="n">
        <v>69.4837214032968</v>
      </c>
      <c r="O65" s="0" t="n">
        <v>10.497723645356</v>
      </c>
      <c r="P65" s="0" t="n">
        <v>87.3230495023911</v>
      </c>
      <c r="Q65" s="0" t="n">
        <v>0.024996030916852</v>
      </c>
      <c r="R65" s="0" t="n">
        <v>2.61081309437479</v>
      </c>
      <c r="T65" s="0" t="n">
        <v>0.451398911263133</v>
      </c>
      <c r="U65" s="0" t="n">
        <v>1565.86529305288</v>
      </c>
      <c r="AI65" s="142"/>
    </row>
    <row r="66" customFormat="false" ht="15.75" hidden="false" customHeight="false" outlineLevel="0" collapsed="false">
      <c r="B66" s="0" t="n">
        <v>438353</v>
      </c>
      <c r="C66" s="0" t="n">
        <v>17</v>
      </c>
      <c r="D66" s="0" t="n">
        <v>2799965.18554011</v>
      </c>
      <c r="E66" s="0" t="n">
        <v>281.317943298536</v>
      </c>
      <c r="F66" s="0" t="n">
        <v>283.064946057487</v>
      </c>
      <c r="G66" s="142" t="n">
        <v>0.0004778652969398</v>
      </c>
      <c r="H66" s="142" t="n">
        <v>1.51758623835517</v>
      </c>
      <c r="I66" s="142" t="n">
        <v>-1.80273728854321</v>
      </c>
      <c r="L66" s="0" t="n">
        <f aca="false">L65+1/24/$K$1</f>
        <v>1950.00730087682</v>
      </c>
      <c r="M66" s="0" t="n">
        <f aca="false">(L66-INT(L66))*$K$1</f>
        <v>2.66666666582182</v>
      </c>
      <c r="N66" s="0" t="n">
        <v>5.23885201056805</v>
      </c>
      <c r="O66" s="0" t="n">
        <v>9.91494605748704</v>
      </c>
      <c r="P66" s="0" t="n">
        <v>88.8903066372281</v>
      </c>
      <c r="Q66" s="0" t="n">
        <v>0.026466385676667</v>
      </c>
      <c r="R66" s="0" t="n">
        <v>2.35646551478037</v>
      </c>
      <c r="T66" s="0" t="n">
        <v>0.4778652969398</v>
      </c>
      <c r="U66" s="0" t="n">
        <v>1571.10414506345</v>
      </c>
      <c r="AI66" s="142"/>
    </row>
    <row r="67" customFormat="false" ht="15.75" hidden="false" customHeight="false" outlineLevel="0" collapsed="false">
      <c r="B67" s="0" t="n">
        <v>438354</v>
      </c>
      <c r="C67" s="0" t="n">
        <v>18</v>
      </c>
      <c r="D67" s="0" t="n">
        <v>2799965.18554011</v>
      </c>
      <c r="E67" s="0" t="n">
        <v>281.135627674051</v>
      </c>
      <c r="F67" s="0" t="n">
        <v>282.611557717467</v>
      </c>
      <c r="G67" s="142" t="n">
        <v>0.000495509554057575</v>
      </c>
      <c r="H67" s="142" t="n">
        <v>1.49170372585908</v>
      </c>
      <c r="I67" s="142" t="n">
        <v>-1.46022663433992</v>
      </c>
      <c r="L67" s="0" t="n">
        <f aca="false">L66+1/24/$K$1</f>
        <v>1950.00741495302</v>
      </c>
      <c r="M67" s="0" t="n">
        <f aca="false">(L67-INT(L67))*$K$1</f>
        <v>2.70833333247529</v>
      </c>
      <c r="N67" s="0" t="n">
        <v>0</v>
      </c>
      <c r="O67" s="0" t="n">
        <v>9.46155771746703</v>
      </c>
      <c r="P67" s="0" t="n">
        <v>90.5068306279807</v>
      </c>
      <c r="Q67" s="0" t="n">
        <v>0.017644257117775</v>
      </c>
      <c r="R67" s="0" t="n">
        <v>2.08744864113529</v>
      </c>
      <c r="T67" s="0" t="n">
        <v>0.495509554057575</v>
      </c>
      <c r="U67" s="0" t="n">
        <v>1571.10414506345</v>
      </c>
      <c r="AI67" s="142"/>
    </row>
    <row r="68" customFormat="false" ht="15.75" hidden="false" customHeight="false" outlineLevel="0" collapsed="false">
      <c r="B68" s="0" t="n">
        <v>438355</v>
      </c>
      <c r="C68" s="0" t="n">
        <v>19</v>
      </c>
      <c r="D68" s="0" t="n">
        <v>2799965.18554011</v>
      </c>
      <c r="E68" s="0" t="n">
        <v>281.018945674381</v>
      </c>
      <c r="F68" s="0" t="n">
        <v>282.563168242662</v>
      </c>
      <c r="G68" s="142" t="n">
        <v>0.000533738777812757</v>
      </c>
      <c r="H68" s="142" t="n">
        <v>1.85783343387669</v>
      </c>
      <c r="I68" s="142" t="n">
        <v>-1.27550783812651</v>
      </c>
      <c r="L68" s="0" t="n">
        <f aca="false">L67+1/24/$K$1</f>
        <v>1950.00752902922</v>
      </c>
      <c r="M68" s="0" t="n">
        <f aca="false">(L68-INT(L68))*$K$1</f>
        <v>2.74999999912875</v>
      </c>
      <c r="N68" s="0" t="n">
        <v>0</v>
      </c>
      <c r="O68" s="0" t="n">
        <v>9.41316824266204</v>
      </c>
      <c r="P68" s="0" t="n">
        <v>90.0839039049379</v>
      </c>
      <c r="Q68" s="0" t="n">
        <v>0.0382292237551821</v>
      </c>
      <c r="R68" s="0" t="n">
        <v>2.2535450546089</v>
      </c>
      <c r="T68" s="0" t="n">
        <v>0.533738777812757</v>
      </c>
      <c r="U68" s="0" t="n">
        <v>1571.10414506345</v>
      </c>
      <c r="AI68" s="142"/>
    </row>
    <row r="69" customFormat="false" ht="15.75" hidden="false" customHeight="false" outlineLevel="0" collapsed="false">
      <c r="B69" s="0" t="n">
        <v>438356</v>
      </c>
      <c r="C69" s="0" t="n">
        <v>20</v>
      </c>
      <c r="D69" s="0" t="n">
        <v>2799965.18554011</v>
      </c>
      <c r="E69" s="0" t="n">
        <v>280.993421486954</v>
      </c>
      <c r="F69" s="0" t="n">
        <v>282.445350390963</v>
      </c>
      <c r="G69" s="142" t="n">
        <v>0.000539620196852018</v>
      </c>
      <c r="H69" s="142" t="n">
        <v>1.94734378959233</v>
      </c>
      <c r="I69" s="142" t="n">
        <v>-1.17372401164157</v>
      </c>
      <c r="L69" s="0" t="n">
        <f aca="false">L68+1/24/$K$1</f>
        <v>1950.00764310542</v>
      </c>
      <c r="M69" s="0" t="n">
        <f aca="false">(L69-INT(L69))*$K$1</f>
        <v>2.79166666578222</v>
      </c>
      <c r="N69" s="0" t="n">
        <v>0</v>
      </c>
      <c r="O69" s="0" t="n">
        <v>9.29535039096299</v>
      </c>
      <c r="P69" s="0" t="n">
        <v>90.6428500603934</v>
      </c>
      <c r="Q69" s="0" t="n">
        <v>0.00588141903926098</v>
      </c>
      <c r="R69" s="0" t="n">
        <v>2.27371411799456</v>
      </c>
      <c r="T69" s="0" t="n">
        <v>0.539620196852018</v>
      </c>
      <c r="U69" s="0" t="n">
        <v>1571.10414506345</v>
      </c>
      <c r="AI69" s="142"/>
    </row>
    <row r="70" customFormat="false" ht="15.75" hidden="false" customHeight="false" outlineLevel="0" collapsed="false">
      <c r="B70" s="0" t="n">
        <v>438357</v>
      </c>
      <c r="C70" s="0" t="n">
        <v>21</v>
      </c>
      <c r="D70" s="0" t="n">
        <v>2799965.18554011</v>
      </c>
      <c r="E70" s="0" t="n">
        <v>281.002537268178</v>
      </c>
      <c r="F70" s="0" t="n">
        <v>282.44219455565</v>
      </c>
      <c r="G70" s="142" t="n">
        <v>0.000545501615891279</v>
      </c>
      <c r="H70" s="142" t="n">
        <v>2.00773631874987</v>
      </c>
      <c r="I70" s="142" t="n">
        <v>-1.18449478693098</v>
      </c>
      <c r="L70" s="0" t="n">
        <f aca="false">L69+1/24/$K$1</f>
        <v>1950.00775718162</v>
      </c>
      <c r="M70" s="0" t="n">
        <f aca="false">(L70-INT(L70))*$K$1</f>
        <v>2.83333333243569</v>
      </c>
      <c r="N70" s="0" t="n">
        <v>0</v>
      </c>
      <c r="O70" s="0" t="n">
        <v>9.29219455565004</v>
      </c>
      <c r="P70" s="0" t="n">
        <v>90.7183567219852</v>
      </c>
      <c r="Q70" s="0" t="n">
        <v>0.00588141903926109</v>
      </c>
      <c r="R70" s="0" t="n">
        <v>2.33110124745665</v>
      </c>
      <c r="T70" s="0" t="n">
        <v>0.545501615891279</v>
      </c>
      <c r="U70" s="0" t="n">
        <v>1571.10414506345</v>
      </c>
      <c r="AI70" s="142"/>
    </row>
    <row r="71" customFormat="false" ht="15.75" hidden="false" customHeight="false" outlineLevel="0" collapsed="false">
      <c r="B71" s="0" t="n">
        <v>438358</v>
      </c>
      <c r="C71" s="0" t="n">
        <v>22</v>
      </c>
      <c r="D71" s="0" t="n">
        <v>2799965.18554011</v>
      </c>
      <c r="E71" s="0" t="n">
        <v>281.036265658708</v>
      </c>
      <c r="F71" s="0" t="n">
        <v>282.490584030455</v>
      </c>
      <c r="G71" s="142" t="n">
        <v>0.000561675518249239</v>
      </c>
      <c r="H71" s="142" t="n">
        <v>1.93332409532362</v>
      </c>
      <c r="I71" s="142" t="n">
        <v>-1.33959395109851</v>
      </c>
      <c r="L71" s="0" t="n">
        <f aca="false">L70+1/24/$K$1</f>
        <v>1950.00787125783</v>
      </c>
      <c r="M71" s="0" t="n">
        <f aca="false">(L71-INT(L71))*$K$1</f>
        <v>2.87499999908915</v>
      </c>
      <c r="N71" s="0" t="n">
        <v>0</v>
      </c>
      <c r="O71" s="0" t="n">
        <v>9.34058403045503</v>
      </c>
      <c r="P71" s="0" t="n">
        <v>90.6313169702272</v>
      </c>
      <c r="Q71" s="0" t="n">
        <v>0.0161739023579599</v>
      </c>
      <c r="R71" s="0" t="n">
        <v>2.3520744060039</v>
      </c>
      <c r="T71" s="0" t="n">
        <v>0.561675518249239</v>
      </c>
      <c r="U71" s="0" t="n">
        <v>1571.10414506345</v>
      </c>
      <c r="AI71" s="142"/>
    </row>
    <row r="72" customFormat="false" ht="15.75" hidden="false" customHeight="false" outlineLevel="0" collapsed="false">
      <c r="B72" s="0" t="n">
        <v>438359</v>
      </c>
      <c r="C72" s="0" t="n">
        <v>23</v>
      </c>
      <c r="D72" s="0" t="n">
        <v>2799965.18554011</v>
      </c>
      <c r="E72" s="0" t="n">
        <v>280.964250987036</v>
      </c>
      <c r="F72" s="0" t="n">
        <v>282.411688147621</v>
      </c>
      <c r="G72" s="142" t="n">
        <v>0.000571968001567939</v>
      </c>
      <c r="H72" s="142" t="n">
        <v>1.90959845886887</v>
      </c>
      <c r="I72" s="142" t="n">
        <v>-1.4166049944178</v>
      </c>
      <c r="L72" s="0" t="n">
        <f aca="false">L71+1/24/$K$1</f>
        <v>1950.00798533403</v>
      </c>
      <c r="M72" s="0" t="n">
        <f aca="false">(L72-INT(L72))*$K$1</f>
        <v>2.91666666574262</v>
      </c>
      <c r="N72" s="0" t="n">
        <v>0</v>
      </c>
      <c r="O72" s="0" t="n">
        <v>9.26168814762104</v>
      </c>
      <c r="P72" s="0" t="n">
        <v>90.6681856741304</v>
      </c>
      <c r="Q72" s="0" t="n">
        <v>0.0102924833187</v>
      </c>
      <c r="R72" s="0" t="n">
        <v>2.37767449082582</v>
      </c>
      <c r="T72" s="0" t="n">
        <v>0.571968001567939</v>
      </c>
      <c r="U72" s="0" t="n">
        <v>1571.10414506345</v>
      </c>
      <c r="AI72" s="142"/>
    </row>
    <row r="73" customFormat="false" ht="15.75" hidden="false" customHeight="false" outlineLevel="0" collapsed="false">
      <c r="B73" s="0" t="n">
        <v>438360</v>
      </c>
      <c r="C73" s="0" t="n">
        <v>24</v>
      </c>
      <c r="D73" s="0" t="n">
        <v>2799965.18554011</v>
      </c>
      <c r="E73" s="0" t="n">
        <v>280.831160581163</v>
      </c>
      <c r="F73" s="0" t="n">
        <v>282.325428649055</v>
      </c>
      <c r="G73" s="142" t="n">
        <v>0.000576379065847385</v>
      </c>
      <c r="H73" s="142" t="n">
        <v>1.93871628542697</v>
      </c>
      <c r="I73" s="142" t="n">
        <v>-1.24588820608063</v>
      </c>
      <c r="L73" s="0" t="n">
        <f aca="false">L72+1/24/$K$1</f>
        <v>1950.00809941023</v>
      </c>
      <c r="M73" s="0" t="n">
        <f aca="false">(L73-INT(L73))*$K$1</f>
        <v>2.95833333239608</v>
      </c>
      <c r="N73" s="0" t="n">
        <v>0</v>
      </c>
      <c r="O73" s="0" t="n">
        <v>9.17542864905505</v>
      </c>
      <c r="P73" s="0" t="n">
        <v>90.3732836049633</v>
      </c>
      <c r="Q73" s="0" t="n">
        <v>0.00441106427944593</v>
      </c>
      <c r="R73" s="0" t="n">
        <v>2.30452994283662</v>
      </c>
      <c r="T73" s="0" t="n">
        <v>0.576379065847385</v>
      </c>
      <c r="U73" s="0" t="n">
        <v>1571.10414506345</v>
      </c>
      <c r="W73" s="0" t="n">
        <f aca="false">MIN(O50:O73)</f>
        <v>1.94225411082004</v>
      </c>
      <c r="X73" s="0" t="n">
        <f aca="false">MAX(O50:O73)</f>
        <v>11.560188200856</v>
      </c>
      <c r="Y73" s="0" t="n">
        <f aca="false">MIN(P50:P73)</f>
        <v>85.8895692210445</v>
      </c>
      <c r="Z73" s="0" t="n">
        <f aca="false">MAX(P50:P73)</f>
        <v>95.5565605367633</v>
      </c>
      <c r="AA73" s="0" t="n">
        <f aca="false">MAX(N50:N73)</f>
        <v>342.455484059106</v>
      </c>
      <c r="AB73" s="0" t="n">
        <f aca="false">T73</f>
        <v>0.576379065847385</v>
      </c>
      <c r="AC73" s="0" t="n">
        <f aca="false">AVERAGE(R50:R73)</f>
        <v>2.28639415623883</v>
      </c>
      <c r="AI73" s="142"/>
    </row>
    <row r="74" customFormat="false" ht="15.75" hidden="false" customHeight="false" outlineLevel="0" collapsed="false">
      <c r="B74" s="0" t="n">
        <v>438361</v>
      </c>
      <c r="C74" s="0" t="n">
        <v>1</v>
      </c>
      <c r="D74" s="142" t="n">
        <v>1.86264514923095E-009</v>
      </c>
      <c r="E74" s="0" t="n">
        <v>280.806547971857</v>
      </c>
      <c r="F74" s="0" t="n">
        <v>282.348571441353</v>
      </c>
      <c r="G74" s="142" t="n">
        <v>4.41106427945259E-006</v>
      </c>
      <c r="H74" s="142" t="n">
        <v>1.90582392579652</v>
      </c>
      <c r="I74" s="142" t="n">
        <v>-1.19311140716251</v>
      </c>
      <c r="L74" s="0" t="n">
        <f aca="false">L73+1/24/$K$1</f>
        <v>1950.00821348643</v>
      </c>
      <c r="M74" s="0" t="n">
        <f aca="false">(L74-INT(L74))*$K$1</f>
        <v>2.99999999904955</v>
      </c>
      <c r="N74" s="0" t="n">
        <v>1.04515925049781E-012</v>
      </c>
      <c r="O74" s="0" t="n">
        <v>9.19857144135301</v>
      </c>
      <c r="P74" s="0" t="n">
        <v>90.0813430778057</v>
      </c>
      <c r="Q74" s="506" t="n">
        <v>0.00441106427945259</v>
      </c>
      <c r="R74" s="0" t="n">
        <v>2.24848385941277</v>
      </c>
      <c r="T74" s="0" t="n">
        <v>0.00441106427945259</v>
      </c>
      <c r="U74" s="0" t="n">
        <v>1.04515925049781E-012</v>
      </c>
      <c r="AI74" s="142"/>
      <c r="AJ74" s="142"/>
    </row>
    <row r="75" customFormat="false" ht="15.75" hidden="false" customHeight="false" outlineLevel="0" collapsed="false">
      <c r="D75" s="142"/>
      <c r="G75" s="142"/>
      <c r="H75" s="142"/>
      <c r="I75" s="142"/>
      <c r="AI75" s="142"/>
      <c r="AJ75" s="142"/>
    </row>
    <row r="76" customFormat="false" ht="15.75" hidden="false" customHeight="false" outlineLevel="0" collapsed="false">
      <c r="D76" s="142"/>
      <c r="G76" s="142"/>
      <c r="H76" s="142"/>
      <c r="I76" s="142"/>
      <c r="AI76" s="142"/>
      <c r="AJ76" s="142"/>
    </row>
  </sheetData>
  <autoFilter ref="B1:AC7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W44"/>
  <sheetViews>
    <sheetView showFormulas="false" showGridLines="true" showRowColHeaders="true" showZeros="true" rightToLeft="false" tabSelected="false" showOutlineSymbols="true" defaultGridColor="true" view="normal" topLeftCell="A1" colorId="64" zoomScale="76" zoomScaleNormal="76" zoomScalePageLayoutView="100" workbookViewId="0">
      <selection pane="topLeft" activeCell="J56" activeCellId="0" sqref="J56"/>
    </sheetView>
  </sheetViews>
  <sheetFormatPr defaultColWidth="10.5" defaultRowHeight="15.75" zeroHeight="false" outlineLevelRow="0" outlineLevelCol="0"/>
  <sheetData>
    <row r="1" customFormat="false" ht="24" hidden="false" customHeight="false" outlineLevel="0" collapsed="false">
      <c r="A1" s="553" t="s">
        <v>2014</v>
      </c>
      <c r="B1" s="554"/>
      <c r="C1" s="554"/>
      <c r="D1" s="555"/>
      <c r="E1" s="420" t="s">
        <v>2015</v>
      </c>
      <c r="O1" s="558" t="s">
        <v>0</v>
      </c>
    </row>
    <row r="2" customFormat="false" ht="15.75" hidden="false" customHeight="false" outlineLevel="0" collapsed="false">
      <c r="A2" s="0" t="s">
        <v>1978</v>
      </c>
      <c r="E2" s="0" t="s">
        <v>2016</v>
      </c>
    </row>
    <row r="3" customFormat="false" ht="15.75" hidden="false" customHeight="false" outlineLevel="0" collapsed="false">
      <c r="E3" s="0" t="s">
        <v>2017</v>
      </c>
    </row>
    <row r="4" customFormat="false" ht="15.75" hidden="false" customHeight="false" outlineLevel="0" collapsed="false">
      <c r="E4" s="0" t="s">
        <v>2018</v>
      </c>
    </row>
    <row r="5" customFormat="false" ht="15.75" hidden="false" customHeight="false" outlineLevel="0" collapsed="false">
      <c r="E5" s="0" t="s">
        <v>2019</v>
      </c>
    </row>
    <row r="6" customFormat="false" ht="21" hidden="false" customHeight="false" outlineLevel="0" collapsed="false">
      <c r="E6" s="0" t="s">
        <v>2020</v>
      </c>
      <c r="O6" s="561" t="s">
        <v>1805</v>
      </c>
      <c r="P6" s="561" t="n">
        <v>44.42</v>
      </c>
    </row>
    <row r="7" customFormat="false" ht="15.75" hidden="false" customHeight="false" outlineLevel="0" collapsed="false">
      <c r="E7" s="0" t="s">
        <v>2021</v>
      </c>
    </row>
    <row r="8" customFormat="false" ht="15.75" hidden="false" customHeight="false" outlineLevel="0" collapsed="false">
      <c r="A8" s="106"/>
      <c r="B8" s="106"/>
      <c r="C8" s="106"/>
      <c r="E8" s="0" t="s">
        <v>2022</v>
      </c>
    </row>
    <row r="9" customFormat="false" ht="15.75" hidden="false" customHeight="false" outlineLevel="0" collapsed="false">
      <c r="A9" s="0" t="s">
        <v>2023</v>
      </c>
      <c r="B9" s="0" t="s">
        <v>2024</v>
      </c>
      <c r="C9" s="0" t="s">
        <v>2025</v>
      </c>
      <c r="D9" s="0" t="s">
        <v>2026</v>
      </c>
      <c r="E9" s="0" t="s">
        <v>2027</v>
      </c>
      <c r="F9" s="0" t="s">
        <v>2028</v>
      </c>
      <c r="G9" s="0" t="s">
        <v>2029</v>
      </c>
      <c r="H9" s="0" t="s">
        <v>2030</v>
      </c>
      <c r="I9" s="0" t="s">
        <v>2031</v>
      </c>
      <c r="J9" s="0" t="s">
        <v>2032</v>
      </c>
      <c r="K9" s="0" t="s">
        <v>2033</v>
      </c>
    </row>
    <row r="10" customFormat="false" ht="15.75" hidden="false" customHeight="false" outlineLevel="0" collapsed="false">
      <c r="A10" s="0" t="n">
        <v>33122004</v>
      </c>
      <c r="B10" s="0" t="n">
        <v>1996</v>
      </c>
      <c r="C10" s="0" t="n">
        <v>3</v>
      </c>
      <c r="D10" s="0" t="n">
        <v>1</v>
      </c>
      <c r="E10" s="0" t="n">
        <v>0</v>
      </c>
      <c r="F10" s="0" t="n">
        <v>97</v>
      </c>
      <c r="G10" s="0" t="n">
        <v>48</v>
      </c>
      <c r="H10" s="0" t="n">
        <v>1040</v>
      </c>
      <c r="I10" s="0" t="n">
        <v>0.1</v>
      </c>
      <c r="J10" s="0" t="n">
        <v>12.8</v>
      </c>
      <c r="K10" s="0" t="n">
        <v>1</v>
      </c>
    </row>
    <row r="12" customFormat="false" ht="21" hidden="false" customHeight="false" outlineLevel="0" collapsed="false">
      <c r="A12" s="566" t="s">
        <v>2034</v>
      </c>
      <c r="B12" s="566" t="s">
        <v>1758</v>
      </c>
      <c r="C12" s="566" t="s">
        <v>1779</v>
      </c>
      <c r="D12" s="559" t="s">
        <v>2035</v>
      </c>
      <c r="E12" s="566" t="s">
        <v>2031</v>
      </c>
      <c r="F12" s="566" t="s">
        <v>2032</v>
      </c>
      <c r="G12" s="566" t="s">
        <v>2029</v>
      </c>
      <c r="H12" s="566" t="s">
        <v>2028</v>
      </c>
      <c r="I12" s="566" t="s">
        <v>2027</v>
      </c>
      <c r="J12" s="566" t="s">
        <v>2030</v>
      </c>
      <c r="K12" s="566" t="s">
        <v>2033</v>
      </c>
      <c r="L12" s="566" t="s">
        <v>381</v>
      </c>
      <c r="N12" s="514"/>
      <c r="O12" s="504" t="s">
        <v>1758</v>
      </c>
      <c r="P12" s="504" t="s">
        <v>431</v>
      </c>
      <c r="Q12" s="505" t="s">
        <v>1772</v>
      </c>
      <c r="R12" s="505" t="s">
        <v>1773</v>
      </c>
      <c r="S12" s="505" t="s">
        <v>1774</v>
      </c>
      <c r="T12" s="505" t="s">
        <v>1775</v>
      </c>
      <c r="U12" s="505" t="s">
        <v>500</v>
      </c>
      <c r="V12" s="505" t="s">
        <v>1763</v>
      </c>
      <c r="W12" s="505" t="s">
        <v>501</v>
      </c>
    </row>
    <row r="13" customFormat="false" ht="15.75" hidden="false" customHeight="false" outlineLevel="0" collapsed="false">
      <c r="A13" s="0" t="n">
        <v>33122004</v>
      </c>
      <c r="B13" s="0" t="n">
        <v>1997</v>
      </c>
      <c r="C13" s="0" t="n">
        <v>1</v>
      </c>
      <c r="D13" s="0" t="n">
        <v>1</v>
      </c>
      <c r="E13" s="0" t="n">
        <v>-7.8</v>
      </c>
      <c r="F13" s="0" t="n">
        <v>-1.1</v>
      </c>
      <c r="G13" s="0" t="n">
        <v>76</v>
      </c>
      <c r="H13" s="0" t="n">
        <v>100</v>
      </c>
      <c r="I13" s="0" t="n">
        <v>0</v>
      </c>
      <c r="J13" s="0" t="n">
        <v>455</v>
      </c>
      <c r="K13" s="0" t="n">
        <v>0.8</v>
      </c>
      <c r="L13" s="0" t="n">
        <v>1</v>
      </c>
      <c r="O13" s="0" t="n">
        <f aca="false">B13</f>
        <v>1997</v>
      </c>
      <c r="P13" s="0" t="n">
        <f aca="false">L13</f>
        <v>1</v>
      </c>
      <c r="Q13" s="0" t="n">
        <f aca="false">E13</f>
        <v>-7.8</v>
      </c>
      <c r="R13" s="0" t="n">
        <f aca="false">F13</f>
        <v>-1.1</v>
      </c>
      <c r="S13" s="0" t="n">
        <f aca="false">G13</f>
        <v>76</v>
      </c>
      <c r="T13" s="0" t="n">
        <f aca="false">H13</f>
        <v>100</v>
      </c>
      <c r="U13" s="0" t="n">
        <f aca="false">100*100/1000000*(198.58*(1/(2/15*ACOS(-TAN(3.1416/180*$P$6)*TAN(3.1416/180*23.45*SIN((2*3.1416/365*(L13+284)))))/3.1416*180))^2+5.0551/(2/15*ACOS(-TAN(3.1416/180*$P$6)*TAN(3.1416/180*23.45*SIN((2*3.1416/365*(L13+284)))))/3.1416*180)+1.49)*J13/87.4*1000*2.02</f>
        <v>492.24100793854</v>
      </c>
      <c r="V13" s="0" t="n">
        <f aca="false">I13</f>
        <v>0</v>
      </c>
      <c r="W13" s="0" t="n">
        <f aca="false">K13</f>
        <v>0.8</v>
      </c>
    </row>
    <row r="14" customFormat="false" ht="15.75" hidden="false" customHeight="false" outlineLevel="0" collapsed="false">
      <c r="A14" s="0" t="n">
        <v>33122004</v>
      </c>
      <c r="B14" s="0" t="n">
        <v>1997</v>
      </c>
      <c r="C14" s="0" t="n">
        <v>1</v>
      </c>
      <c r="D14" s="0" t="n">
        <v>2</v>
      </c>
      <c r="E14" s="0" t="n">
        <v>-8</v>
      </c>
      <c r="F14" s="0" t="n">
        <v>2.7</v>
      </c>
      <c r="G14" s="0" t="n">
        <v>63</v>
      </c>
      <c r="H14" s="0" t="n">
        <v>100</v>
      </c>
      <c r="I14" s="0" t="n">
        <v>0</v>
      </c>
      <c r="J14" s="0" t="n">
        <v>430</v>
      </c>
      <c r="K14" s="0" t="n">
        <v>1.1</v>
      </c>
      <c r="L14" s="0" t="n">
        <v>2</v>
      </c>
      <c r="O14" s="0" t="n">
        <f aca="false">B14</f>
        <v>1997</v>
      </c>
      <c r="P14" s="0" t="n">
        <f aca="false">L14</f>
        <v>2</v>
      </c>
      <c r="Q14" s="0" t="n">
        <f aca="false">E14</f>
        <v>-8</v>
      </c>
      <c r="R14" s="0" t="n">
        <f aca="false">F14</f>
        <v>2.7</v>
      </c>
      <c r="S14" s="0" t="n">
        <f aca="false">G14</f>
        <v>63</v>
      </c>
      <c r="T14" s="0" t="n">
        <f aca="false">H14</f>
        <v>100</v>
      </c>
      <c r="U14" s="0" t="n">
        <f aca="false">100*100/1000000*(198.58*(1/(2/15*ACOS(-TAN(3.1416/180*$P$6)*TAN(3.1416/180*23.45*SIN((2*3.1416/365*(L14+284)))))/3.1416*180))^2+5.0551/(2/15*ACOS(-TAN(3.1416/180*$P$6)*TAN(3.1416/180*23.45*SIN((2*3.1416/365*(L14+284)))))/3.1416*180)+1.49)*J14/87.4*1000*2.02</f>
        <v>464.288235620181</v>
      </c>
      <c r="V14" s="0" t="n">
        <f aca="false">I14</f>
        <v>0</v>
      </c>
      <c r="W14" s="0" t="n">
        <f aca="false">K14</f>
        <v>1.1</v>
      </c>
    </row>
    <row r="15" customFormat="false" ht="15.75" hidden="false" customHeight="false" outlineLevel="0" collapsed="false">
      <c r="A15" s="0" t="n">
        <v>33122004</v>
      </c>
      <c r="B15" s="0" t="n">
        <v>1997</v>
      </c>
      <c r="C15" s="0" t="n">
        <v>1</v>
      </c>
      <c r="D15" s="0" t="n">
        <v>3</v>
      </c>
      <c r="E15" s="0" t="n">
        <v>-3.3</v>
      </c>
      <c r="F15" s="0" t="n">
        <v>0.9</v>
      </c>
      <c r="G15" s="0" t="n">
        <v>84</v>
      </c>
      <c r="H15" s="0" t="n">
        <v>100</v>
      </c>
      <c r="I15" s="0" t="n">
        <v>0.5</v>
      </c>
      <c r="J15" s="0" t="n">
        <v>117</v>
      </c>
      <c r="K15" s="0" t="n">
        <v>1.3</v>
      </c>
      <c r="L15" s="0" t="n">
        <v>3</v>
      </c>
      <c r="O15" s="0" t="n">
        <f aca="false">B15</f>
        <v>1997</v>
      </c>
      <c r="P15" s="0" t="n">
        <f aca="false">L15</f>
        <v>3</v>
      </c>
      <c r="Q15" s="0" t="n">
        <f aca="false">E15</f>
        <v>-3.3</v>
      </c>
      <c r="R15" s="0" t="n">
        <f aca="false">F15</f>
        <v>0.9</v>
      </c>
      <c r="S15" s="0" t="n">
        <f aca="false">G15</f>
        <v>84</v>
      </c>
      <c r="T15" s="0" t="n">
        <f aca="false">H15</f>
        <v>100</v>
      </c>
      <c r="U15" s="0" t="n">
        <f aca="false">100*100/1000000*(198.58*(1/(2/15*ACOS(-TAN(3.1416/180*$P$6)*TAN(3.1416/180*23.45*SIN((2*3.1416/365*(L15+284)))))/3.1416*180))^2+5.0551/(2/15*ACOS(-TAN(3.1416/180*$P$6)*TAN(3.1416/180*23.45*SIN((2*3.1416/365*(L15+284)))))/3.1416*180)+1.49)*J15/87.4*1000*2.02</f>
        <v>126.064077452065</v>
      </c>
      <c r="V15" s="0" t="n">
        <f aca="false">I15</f>
        <v>0.5</v>
      </c>
      <c r="W15" s="0" t="n">
        <f aca="false">K15</f>
        <v>1.3</v>
      </c>
    </row>
    <row r="16" customFormat="false" ht="15.75" hidden="false" customHeight="false" outlineLevel="0" collapsed="false">
      <c r="A16" s="0" t="n">
        <v>33122004</v>
      </c>
      <c r="B16" s="0" t="n">
        <v>1997</v>
      </c>
      <c r="C16" s="0" t="n">
        <v>1</v>
      </c>
      <c r="D16" s="0" t="n">
        <v>4</v>
      </c>
      <c r="E16" s="0" t="n">
        <v>-1.6</v>
      </c>
      <c r="F16" s="0" t="n">
        <v>0.4</v>
      </c>
      <c r="G16" s="0" t="n">
        <v>100</v>
      </c>
      <c r="H16" s="0" t="n">
        <v>100</v>
      </c>
      <c r="I16" s="0" t="n">
        <v>0</v>
      </c>
      <c r="J16" s="0" t="n">
        <v>36</v>
      </c>
      <c r="K16" s="0" t="n">
        <v>0</v>
      </c>
      <c r="L16" s="0" t="n">
        <v>4</v>
      </c>
      <c r="O16" s="0" t="n">
        <f aca="false">B16</f>
        <v>1997</v>
      </c>
      <c r="P16" s="0" t="n">
        <f aca="false">L16</f>
        <v>4</v>
      </c>
      <c r="Q16" s="0" t="n">
        <f aca="false">E16</f>
        <v>-1.6</v>
      </c>
      <c r="R16" s="0" t="n">
        <f aca="false">F16</f>
        <v>0.4</v>
      </c>
      <c r="S16" s="0" t="n">
        <f aca="false">G16</f>
        <v>100</v>
      </c>
      <c r="T16" s="0" t="n">
        <f aca="false">H16</f>
        <v>100</v>
      </c>
      <c r="U16" s="0" t="n">
        <f aca="false">100*100/1000000*(198.58*(1/(2/15*ACOS(-TAN(3.1416/180*$P$6)*TAN(3.1416/180*23.45*SIN((2*3.1416/365*(L16+284)))))/3.1416*180))^2+5.0551/(2/15*ACOS(-TAN(3.1416/180*$P$6)*TAN(3.1416/180*23.45*SIN((2*3.1416/365*(L16+284)))))/3.1416*180)+1.49)*J16/87.4*1000*2.02</f>
        <v>38.701604958125</v>
      </c>
      <c r="V16" s="0" t="n">
        <f aca="false">I16</f>
        <v>0</v>
      </c>
      <c r="W16" s="0" t="n">
        <f aca="false">K16</f>
        <v>0</v>
      </c>
    </row>
    <row r="17" customFormat="false" ht="15.75" hidden="false" customHeight="false" outlineLevel="0" collapsed="false">
      <c r="A17" s="0" t="n">
        <v>33122004</v>
      </c>
      <c r="B17" s="0" t="n">
        <v>1997</v>
      </c>
      <c r="C17" s="0" t="n">
        <v>1</v>
      </c>
      <c r="D17" s="0" t="n">
        <v>5</v>
      </c>
      <c r="E17" s="0" t="n">
        <v>-1</v>
      </c>
      <c r="F17" s="0" t="n">
        <v>7.6</v>
      </c>
      <c r="G17" s="0" t="n">
        <v>100</v>
      </c>
      <c r="H17" s="0" t="n">
        <v>100</v>
      </c>
      <c r="I17" s="0" t="n">
        <v>2.5</v>
      </c>
      <c r="J17" s="0" t="n">
        <v>417</v>
      </c>
      <c r="K17" s="0" t="n">
        <v>0.2</v>
      </c>
      <c r="L17" s="0" t="n">
        <v>5</v>
      </c>
      <c r="O17" s="0" t="n">
        <f aca="false">B17</f>
        <v>1997</v>
      </c>
      <c r="P17" s="0" t="n">
        <f aca="false">L17</f>
        <v>5</v>
      </c>
      <c r="Q17" s="0" t="n">
        <f aca="false">E17</f>
        <v>-1</v>
      </c>
      <c r="R17" s="0" t="n">
        <f aca="false">F17</f>
        <v>7.6</v>
      </c>
      <c r="S17" s="0" t="n">
        <f aca="false">G17</f>
        <v>100</v>
      </c>
      <c r="T17" s="0" t="n">
        <f aca="false">H17</f>
        <v>100</v>
      </c>
      <c r="U17" s="0" t="n">
        <f aca="false">100*100/1000000*(198.58*(1/(2/15*ACOS(-TAN(3.1416/180*$P$6)*TAN(3.1416/180*23.45*SIN((2*3.1416/365*(L17+284)))))/3.1416*180))^2+5.0551/(2/15*ACOS(-TAN(3.1416/180*$P$6)*TAN(3.1416/180*23.45*SIN((2*3.1416/365*(L17+284)))))/3.1416*180)+1.49)*J17/87.4*1000*2.02</f>
        <v>447.218336143916</v>
      </c>
      <c r="V17" s="0" t="n">
        <f aca="false">I17</f>
        <v>2.5</v>
      </c>
      <c r="W17" s="0" t="n">
        <f aca="false">K17</f>
        <v>0.2</v>
      </c>
    </row>
    <row r="18" customFormat="false" ht="15.75" hidden="false" customHeight="false" outlineLevel="0" collapsed="false">
      <c r="A18" s="0" t="n">
        <v>33122004</v>
      </c>
      <c r="B18" s="0" t="n">
        <v>1997</v>
      </c>
      <c r="C18" s="0" t="n">
        <v>1</v>
      </c>
      <c r="D18" s="0" t="n">
        <v>6</v>
      </c>
      <c r="E18" s="0" t="n">
        <v>-1.1</v>
      </c>
      <c r="F18" s="0" t="n">
        <v>5.2</v>
      </c>
      <c r="G18" s="0" t="n">
        <v>100</v>
      </c>
      <c r="H18" s="0" t="n">
        <v>100</v>
      </c>
      <c r="I18" s="0" t="n">
        <v>0</v>
      </c>
      <c r="J18" s="0" t="n">
        <v>317</v>
      </c>
      <c r="K18" s="0" t="n">
        <v>0.5</v>
      </c>
      <c r="L18" s="0" t="n">
        <v>6</v>
      </c>
      <c r="O18" s="0" t="n">
        <f aca="false">B18</f>
        <v>1997</v>
      </c>
      <c r="P18" s="0" t="n">
        <f aca="false">L18</f>
        <v>6</v>
      </c>
      <c r="Q18" s="0" t="n">
        <f aca="false">E18</f>
        <v>-1.1</v>
      </c>
      <c r="R18" s="0" t="n">
        <f aca="false">F18</f>
        <v>5.2</v>
      </c>
      <c r="S18" s="0" t="n">
        <f aca="false">G18</f>
        <v>100</v>
      </c>
      <c r="T18" s="0" t="n">
        <f aca="false">H18</f>
        <v>100</v>
      </c>
      <c r="U18" s="0" t="n">
        <f aca="false">100*100/1000000*(198.58*(1/(2/15*ACOS(-TAN(3.1416/180*$P$6)*TAN(3.1416/180*23.45*SIN((2*3.1416/365*(L18+284)))))/3.1416*180))^2+5.0551/(2/15*ACOS(-TAN(3.1416/180*$P$6)*TAN(3.1416/180*23.45*SIN((2*3.1416/365*(L18+284)))))/3.1416*180)+1.49)*J18/87.4*1000*2.02</f>
        <v>339.107503001684</v>
      </c>
      <c r="V18" s="0" t="n">
        <f aca="false">I18</f>
        <v>0</v>
      </c>
      <c r="W18" s="0" t="n">
        <f aca="false">K18</f>
        <v>0.5</v>
      </c>
    </row>
    <row r="19" customFormat="false" ht="15.75" hidden="false" customHeight="false" outlineLevel="0" collapsed="false">
      <c r="A19" s="0" t="n">
        <v>33122004</v>
      </c>
      <c r="B19" s="0" t="n">
        <v>1997</v>
      </c>
      <c r="C19" s="0" t="n">
        <v>1</v>
      </c>
      <c r="D19" s="0" t="n">
        <v>7</v>
      </c>
      <c r="E19" s="0" t="n">
        <v>-1.6</v>
      </c>
      <c r="F19" s="0" t="n">
        <v>1.1</v>
      </c>
      <c r="G19" s="0" t="n">
        <v>98</v>
      </c>
      <c r="H19" s="0" t="n">
        <v>100</v>
      </c>
      <c r="I19" s="0" t="n">
        <v>1</v>
      </c>
      <c r="J19" s="0" t="n">
        <v>221</v>
      </c>
      <c r="K19" s="0" t="n">
        <v>0.8</v>
      </c>
      <c r="L19" s="0" t="n">
        <v>7</v>
      </c>
      <c r="O19" s="0" t="n">
        <f aca="false">B19</f>
        <v>1997</v>
      </c>
      <c r="P19" s="0" t="n">
        <f aca="false">L19</f>
        <v>7</v>
      </c>
      <c r="Q19" s="0" t="n">
        <f aca="false">E19</f>
        <v>-1.6</v>
      </c>
      <c r="R19" s="0" t="n">
        <f aca="false">F19</f>
        <v>1.1</v>
      </c>
      <c r="S19" s="0" t="n">
        <f aca="false">G19</f>
        <v>98</v>
      </c>
      <c r="T19" s="0" t="n">
        <f aca="false">H19</f>
        <v>100</v>
      </c>
      <c r="U19" s="0" t="n">
        <f aca="false">100*100/1000000*(198.58*(1/(2/15*ACOS(-TAN(3.1416/180*$P$6)*TAN(3.1416/180*23.45*SIN((2*3.1416/365*(L19+284)))))/3.1416*180))^2+5.0551/(2/15*ACOS(-TAN(3.1416/180*$P$6)*TAN(3.1416/180*23.45*SIN((2*3.1416/365*(L19+284)))))/3.1416*180)+1.49)*J19/87.4*1000*2.02</f>
        <v>235.778401036058</v>
      </c>
      <c r="V19" s="0" t="n">
        <f aca="false">I19</f>
        <v>1</v>
      </c>
      <c r="W19" s="0" t="n">
        <f aca="false">K19</f>
        <v>0.8</v>
      </c>
    </row>
    <row r="20" customFormat="false" ht="15.75" hidden="false" customHeight="false" outlineLevel="0" collapsed="false">
      <c r="A20" s="0" t="n">
        <v>33122004</v>
      </c>
      <c r="B20" s="0" t="n">
        <v>1997</v>
      </c>
      <c r="C20" s="0" t="n">
        <v>1</v>
      </c>
      <c r="D20" s="0" t="n">
        <v>8</v>
      </c>
      <c r="E20" s="0" t="n">
        <v>-1.2</v>
      </c>
      <c r="F20" s="0" t="n">
        <v>10.2</v>
      </c>
      <c r="G20" s="0" t="n">
        <v>78</v>
      </c>
      <c r="H20" s="0" t="n">
        <v>100</v>
      </c>
      <c r="I20" s="0" t="n">
        <v>2</v>
      </c>
      <c r="J20" s="0" t="n">
        <v>432</v>
      </c>
      <c r="K20" s="0" t="n">
        <v>0.7</v>
      </c>
      <c r="L20" s="0" t="n">
        <v>8</v>
      </c>
      <c r="O20" s="0" t="n">
        <f aca="false">B20</f>
        <v>1997</v>
      </c>
      <c r="P20" s="0" t="n">
        <f aca="false">L20</f>
        <v>8</v>
      </c>
      <c r="Q20" s="0" t="n">
        <f aca="false">E20</f>
        <v>-1.2</v>
      </c>
      <c r="R20" s="0" t="n">
        <f aca="false">F20</f>
        <v>10.2</v>
      </c>
      <c r="S20" s="0" t="n">
        <f aca="false">G20</f>
        <v>78</v>
      </c>
      <c r="T20" s="0" t="n">
        <f aca="false">H20</f>
        <v>100</v>
      </c>
      <c r="U20" s="0" t="n">
        <f aca="false">100*100/1000000*(198.58*(1/(2/15*ACOS(-TAN(3.1416/180*$P$6)*TAN(3.1416/180*23.45*SIN((2*3.1416/365*(L20+284)))))/3.1416*180))^2+5.0551/(2/15*ACOS(-TAN(3.1416/180*$P$6)*TAN(3.1416/180*23.45*SIN((2*3.1416/365*(L20+284)))))/3.1416*180)+1.49)*J20/87.4*1000*2.02</f>
        <v>459.58905290918</v>
      </c>
      <c r="V20" s="0" t="n">
        <f aca="false">I20</f>
        <v>2</v>
      </c>
      <c r="W20" s="0" t="n">
        <f aca="false">K20</f>
        <v>0.7</v>
      </c>
    </row>
    <row r="21" customFormat="false" ht="15.75" hidden="false" customHeight="false" outlineLevel="0" collapsed="false">
      <c r="A21" s="0" t="n">
        <v>33122004</v>
      </c>
      <c r="B21" s="0" t="n">
        <v>1997</v>
      </c>
      <c r="C21" s="0" t="n">
        <v>1</v>
      </c>
      <c r="D21" s="0" t="n">
        <v>9</v>
      </c>
      <c r="E21" s="0" t="n">
        <v>2.1</v>
      </c>
      <c r="F21" s="0" t="n">
        <v>9.2</v>
      </c>
      <c r="G21" s="0" t="n">
        <v>87</v>
      </c>
      <c r="H21" s="0" t="n">
        <v>100</v>
      </c>
      <c r="I21" s="0" t="n">
        <v>0.5</v>
      </c>
      <c r="J21" s="0" t="n">
        <v>312</v>
      </c>
      <c r="K21" s="0" t="n">
        <v>0.6</v>
      </c>
      <c r="L21" s="0" t="n">
        <v>9</v>
      </c>
      <c r="O21" s="0" t="n">
        <f aca="false">B21</f>
        <v>1997</v>
      </c>
      <c r="P21" s="0" t="n">
        <f aca="false">L21</f>
        <v>9</v>
      </c>
      <c r="Q21" s="0" t="n">
        <f aca="false">E21</f>
        <v>2.1</v>
      </c>
      <c r="R21" s="0" t="n">
        <f aca="false">F21</f>
        <v>9.2</v>
      </c>
      <c r="S21" s="0" t="n">
        <f aca="false">G21</f>
        <v>87</v>
      </c>
      <c r="T21" s="0" t="n">
        <f aca="false">H21</f>
        <v>100</v>
      </c>
      <c r="U21" s="0" t="n">
        <f aca="false">100*100/1000000*(198.58*(1/(2/15*ACOS(-TAN(3.1416/180*$P$6)*TAN(3.1416/180*23.45*SIN((2*3.1416/365*(L21+284)))))/3.1416*180))^2+5.0551/(2/15*ACOS(-TAN(3.1416/180*$P$6)*TAN(3.1416/180*23.45*SIN((2*3.1416/365*(L21+284)))))/3.1416*180)+1.49)*J21/87.4*1000*2.02</f>
        <v>330.945817887027</v>
      </c>
      <c r="V21" s="0" t="n">
        <f aca="false">I21</f>
        <v>0.5</v>
      </c>
      <c r="W21" s="0" t="n">
        <f aca="false">K21</f>
        <v>0.6</v>
      </c>
    </row>
    <row r="22" customFormat="false" ht="15.75" hidden="false" customHeight="false" outlineLevel="0" collapsed="false">
      <c r="A22" s="0" t="n">
        <v>33122004</v>
      </c>
      <c r="B22" s="0" t="n">
        <v>1997</v>
      </c>
      <c r="C22" s="0" t="n">
        <v>1</v>
      </c>
      <c r="D22" s="0" t="n">
        <v>10</v>
      </c>
      <c r="E22" s="0" t="n">
        <v>-1.5</v>
      </c>
      <c r="F22" s="0" t="n">
        <v>5.6</v>
      </c>
      <c r="G22" s="0" t="n">
        <v>79</v>
      </c>
      <c r="H22" s="0" t="n">
        <v>100</v>
      </c>
      <c r="I22" s="0" t="n">
        <v>0</v>
      </c>
      <c r="J22" s="0" t="n">
        <v>349</v>
      </c>
      <c r="K22" s="0" t="n">
        <v>0.4</v>
      </c>
      <c r="L22" s="0" t="n">
        <v>10</v>
      </c>
      <c r="O22" s="0" t="n">
        <f aca="false">B22</f>
        <v>1997</v>
      </c>
      <c r="P22" s="0" t="n">
        <f aca="false">L22</f>
        <v>10</v>
      </c>
      <c r="Q22" s="0" t="n">
        <f aca="false">E22</f>
        <v>-1.5</v>
      </c>
      <c r="R22" s="0" t="n">
        <f aca="false">F22</f>
        <v>5.6</v>
      </c>
      <c r="S22" s="0" t="n">
        <f aca="false">G22</f>
        <v>79</v>
      </c>
      <c r="T22" s="0" t="n">
        <f aca="false">H22</f>
        <v>100</v>
      </c>
      <c r="U22" s="0" t="n">
        <f aca="false">100*100/1000000*(198.58*(1/(2/15*ACOS(-TAN(3.1416/180*$P$6)*TAN(3.1416/180*23.45*SIN((2*3.1416/365*(L22+284)))))/3.1416*180))^2+5.0551/(2/15*ACOS(-TAN(3.1416/180*$P$6)*TAN(3.1416/180*23.45*SIN((2*3.1416/365*(L22+284)))))/3.1416*180)+1.49)*J22/87.4*1000*2.02</f>
        <v>369.052335580214</v>
      </c>
      <c r="V22" s="0" t="n">
        <f aca="false">I22</f>
        <v>0</v>
      </c>
      <c r="W22" s="0" t="n">
        <f aca="false">K22</f>
        <v>0.4</v>
      </c>
    </row>
    <row r="23" customFormat="false" ht="15.75" hidden="false" customHeight="false" outlineLevel="0" collapsed="false">
      <c r="A23" s="0" t="n">
        <v>33122004</v>
      </c>
      <c r="B23" s="0" t="n">
        <v>1997</v>
      </c>
      <c r="C23" s="0" t="n">
        <v>1</v>
      </c>
      <c r="D23" s="0" t="n">
        <v>11</v>
      </c>
      <c r="E23" s="0" t="n">
        <v>0.8</v>
      </c>
      <c r="F23" s="0" t="n">
        <v>9</v>
      </c>
      <c r="G23" s="0" t="n">
        <v>75</v>
      </c>
      <c r="H23" s="0" t="n">
        <v>100</v>
      </c>
      <c r="I23" s="0" t="n">
        <v>0</v>
      </c>
      <c r="J23" s="0" t="n">
        <v>311</v>
      </c>
      <c r="K23" s="0" t="n">
        <v>0.6</v>
      </c>
      <c r="L23" s="0" t="n">
        <v>11</v>
      </c>
      <c r="O23" s="0" t="n">
        <f aca="false">B23</f>
        <v>1997</v>
      </c>
      <c r="P23" s="0" t="n">
        <f aca="false">L23</f>
        <v>11</v>
      </c>
      <c r="Q23" s="0" t="n">
        <f aca="false">E23</f>
        <v>0.8</v>
      </c>
      <c r="R23" s="0" t="n">
        <f aca="false">F23</f>
        <v>9</v>
      </c>
      <c r="S23" s="0" t="n">
        <f aca="false">G23</f>
        <v>75</v>
      </c>
      <c r="T23" s="0" t="n">
        <f aca="false">H23</f>
        <v>100</v>
      </c>
      <c r="U23" s="0" t="n">
        <f aca="false">100*100/1000000*(198.58*(1/(2/15*ACOS(-TAN(3.1416/180*$P$6)*TAN(3.1416/180*23.45*SIN((2*3.1416/365*(L23+284)))))/3.1416*180))^2+5.0551/(2/15*ACOS(-TAN(3.1416/180*$P$6)*TAN(3.1416/180*23.45*SIN((2*3.1416/365*(L23+284)))))/3.1416*180)+1.49)*J23/87.4*1000*2.02</f>
        <v>327.814913969958</v>
      </c>
      <c r="V23" s="0" t="n">
        <f aca="false">I23</f>
        <v>0</v>
      </c>
      <c r="W23" s="0" t="n">
        <f aca="false">K23</f>
        <v>0.6</v>
      </c>
    </row>
    <row r="24" customFormat="false" ht="15.75" hidden="false" customHeight="false" outlineLevel="0" collapsed="false">
      <c r="A24" s="0" t="n">
        <v>33122004</v>
      </c>
      <c r="B24" s="0" t="n">
        <v>1997</v>
      </c>
      <c r="C24" s="0" t="n">
        <v>1</v>
      </c>
      <c r="D24" s="0" t="n">
        <v>12</v>
      </c>
      <c r="E24" s="0" t="n">
        <v>-1.6</v>
      </c>
      <c r="F24" s="0" t="n">
        <v>13.2</v>
      </c>
      <c r="G24" s="0" t="n">
        <v>37</v>
      </c>
      <c r="H24" s="0" t="n">
        <v>100</v>
      </c>
      <c r="I24" s="0" t="n">
        <v>0</v>
      </c>
      <c r="J24" s="0" t="n">
        <v>604</v>
      </c>
      <c r="K24" s="0" t="n">
        <v>0.7</v>
      </c>
      <c r="L24" s="0" t="n">
        <v>12</v>
      </c>
      <c r="O24" s="0" t="n">
        <f aca="false">B24</f>
        <v>1997</v>
      </c>
      <c r="P24" s="0" t="n">
        <f aca="false">L24</f>
        <v>12</v>
      </c>
      <c r="Q24" s="0" t="n">
        <f aca="false">E24</f>
        <v>-1.6</v>
      </c>
      <c r="R24" s="0" t="n">
        <f aca="false">F24</f>
        <v>13.2</v>
      </c>
      <c r="S24" s="0" t="n">
        <f aca="false">G24</f>
        <v>37</v>
      </c>
      <c r="T24" s="0" t="n">
        <f aca="false">H24</f>
        <v>100</v>
      </c>
      <c r="U24" s="0" t="n">
        <f aca="false">100*100/1000000*(198.58*(1/(2/15*ACOS(-TAN(3.1416/180*$P$6)*TAN(3.1416/180*23.45*SIN((2*3.1416/365*(L24+284)))))/3.1416*180))^2+5.0551/(2/15*ACOS(-TAN(3.1416/180*$P$6)*TAN(3.1416/180*23.45*SIN((2*3.1416/365*(L24+284)))))/3.1416*180)+1.49)*J24/87.4*1000*2.02</f>
        <v>634.539044013691</v>
      </c>
      <c r="V24" s="0" t="n">
        <f aca="false">I24</f>
        <v>0</v>
      </c>
      <c r="W24" s="0" t="n">
        <f aca="false">K24</f>
        <v>0.7</v>
      </c>
    </row>
    <row r="25" customFormat="false" ht="15.75" hidden="false" customHeight="false" outlineLevel="0" collapsed="false">
      <c r="A25" s="0" t="n">
        <v>33122004</v>
      </c>
      <c r="B25" s="0" t="n">
        <v>1997</v>
      </c>
      <c r="C25" s="0" t="n">
        <v>1</v>
      </c>
      <c r="D25" s="0" t="n">
        <v>13</v>
      </c>
      <c r="E25" s="0" t="n">
        <v>-2.6</v>
      </c>
      <c r="F25" s="0" t="n">
        <v>13.1</v>
      </c>
      <c r="G25" s="0" t="n">
        <v>46</v>
      </c>
      <c r="H25" s="0" t="n">
        <v>100</v>
      </c>
      <c r="I25" s="0" t="n">
        <v>0.5</v>
      </c>
      <c r="J25" s="0" t="n">
        <v>635</v>
      </c>
      <c r="K25" s="0" t="n">
        <v>0.7</v>
      </c>
      <c r="L25" s="0" t="n">
        <v>13</v>
      </c>
      <c r="O25" s="0" t="n">
        <f aca="false">B25</f>
        <v>1997</v>
      </c>
      <c r="P25" s="0" t="n">
        <f aca="false">L25</f>
        <v>13</v>
      </c>
      <c r="Q25" s="0" t="n">
        <f aca="false">E25</f>
        <v>-2.6</v>
      </c>
      <c r="R25" s="0" t="n">
        <f aca="false">F25</f>
        <v>13.1</v>
      </c>
      <c r="S25" s="0" t="n">
        <f aca="false">G25</f>
        <v>46</v>
      </c>
      <c r="T25" s="0" t="n">
        <f aca="false">H25</f>
        <v>100</v>
      </c>
      <c r="U25" s="0" t="n">
        <f aca="false">100*100/1000000*(198.58*(1/(2/15*ACOS(-TAN(3.1416/180*$P$6)*TAN(3.1416/180*23.45*SIN((2*3.1416/365*(L25+284)))))/3.1416*180))^2+5.0551/(2/15*ACOS(-TAN(3.1416/180*$P$6)*TAN(3.1416/180*23.45*SIN((2*3.1416/365*(L25+284)))))/3.1416*180)+1.49)*J25/87.4*1000*2.02</f>
        <v>664.80964450107</v>
      </c>
      <c r="V25" s="0" t="n">
        <f aca="false">I25</f>
        <v>0.5</v>
      </c>
      <c r="W25" s="0" t="n">
        <f aca="false">K25</f>
        <v>0.7</v>
      </c>
    </row>
    <row r="26" customFormat="false" ht="15.75" hidden="false" customHeight="false" outlineLevel="0" collapsed="false">
      <c r="A26" s="0" t="n">
        <v>33122004</v>
      </c>
      <c r="B26" s="0" t="n">
        <v>1997</v>
      </c>
      <c r="C26" s="0" t="n">
        <v>1</v>
      </c>
      <c r="D26" s="0" t="n">
        <v>14</v>
      </c>
      <c r="E26" s="0" t="n">
        <v>1</v>
      </c>
      <c r="F26" s="0" t="n">
        <v>13.4</v>
      </c>
      <c r="G26" s="0" t="n">
        <v>60</v>
      </c>
      <c r="H26" s="0" t="n">
        <v>100</v>
      </c>
      <c r="I26" s="0" t="n">
        <v>0</v>
      </c>
      <c r="J26" s="0" t="n">
        <v>638</v>
      </c>
      <c r="K26" s="0" t="n">
        <v>0.7</v>
      </c>
      <c r="L26" s="0" t="n">
        <v>14</v>
      </c>
      <c r="O26" s="0" t="n">
        <f aca="false">B26</f>
        <v>1997</v>
      </c>
      <c r="P26" s="0" t="n">
        <f aca="false">L26</f>
        <v>14</v>
      </c>
      <c r="Q26" s="0" t="n">
        <f aca="false">E26</f>
        <v>1</v>
      </c>
      <c r="R26" s="0" t="n">
        <f aca="false">F26</f>
        <v>13.4</v>
      </c>
      <c r="S26" s="0" t="n">
        <f aca="false">G26</f>
        <v>60</v>
      </c>
      <c r="T26" s="0" t="n">
        <f aca="false">H26</f>
        <v>100</v>
      </c>
      <c r="U26" s="0" t="n">
        <f aca="false">100*100/1000000*(198.58*(1/(2/15*ACOS(-TAN(3.1416/180*$P$6)*TAN(3.1416/180*23.45*SIN((2*3.1416/365*(L26+284)))))/3.1416*180))^2+5.0551/(2/15*ACOS(-TAN(3.1416/180*$P$6)*TAN(3.1416/180*23.45*SIN((2*3.1416/365*(L26+284)))))/3.1416*180)+1.49)*J26/87.4*1000*2.02</f>
        <v>665.575498583511</v>
      </c>
      <c r="V26" s="0" t="n">
        <f aca="false">I26</f>
        <v>0</v>
      </c>
      <c r="W26" s="0" t="n">
        <f aca="false">K26</f>
        <v>0.7</v>
      </c>
    </row>
    <row r="27" customFormat="false" ht="15.75" hidden="false" customHeight="false" outlineLevel="0" collapsed="false">
      <c r="A27" s="0" t="n">
        <v>33122004</v>
      </c>
      <c r="B27" s="0" t="n">
        <v>1997</v>
      </c>
      <c r="C27" s="0" t="n">
        <v>1</v>
      </c>
      <c r="D27" s="0" t="n">
        <v>15</v>
      </c>
      <c r="E27" s="0" t="n">
        <v>0.9</v>
      </c>
      <c r="F27" s="0" t="n">
        <v>13.3</v>
      </c>
      <c r="G27" s="0" t="n">
        <v>66</v>
      </c>
      <c r="H27" s="0" t="n">
        <v>100</v>
      </c>
      <c r="I27" s="0" t="n">
        <v>0</v>
      </c>
      <c r="J27" s="0" t="n">
        <v>628</v>
      </c>
      <c r="K27" s="0" t="n">
        <v>0.8</v>
      </c>
      <c r="L27" s="0" t="n">
        <v>15</v>
      </c>
      <c r="O27" s="0" t="n">
        <f aca="false">B27</f>
        <v>1997</v>
      </c>
      <c r="P27" s="0" t="n">
        <f aca="false">L27</f>
        <v>15</v>
      </c>
      <c r="Q27" s="0" t="n">
        <f aca="false">E27</f>
        <v>0.9</v>
      </c>
      <c r="R27" s="0" t="n">
        <f aca="false">F27</f>
        <v>13.3</v>
      </c>
      <c r="S27" s="0" t="n">
        <f aca="false">G27</f>
        <v>66</v>
      </c>
      <c r="T27" s="0" t="n">
        <f aca="false">H27</f>
        <v>100</v>
      </c>
      <c r="U27" s="0" t="n">
        <f aca="false">100*100/1000000*(198.58*(1/(2/15*ACOS(-TAN(3.1416/180*$P$6)*TAN(3.1416/180*23.45*SIN((2*3.1416/365*(L27+284)))))/3.1416*180))^2+5.0551/(2/15*ACOS(-TAN(3.1416/180*$P$6)*TAN(3.1416/180*23.45*SIN((2*3.1416/365*(L27+284)))))/3.1416*180)+1.49)*J27/87.4*1000*2.02</f>
        <v>652.742764515997</v>
      </c>
      <c r="V27" s="0" t="n">
        <f aca="false">I27</f>
        <v>0</v>
      </c>
      <c r="W27" s="0" t="n">
        <f aca="false">K27</f>
        <v>0.8</v>
      </c>
    </row>
    <row r="28" customFormat="false" ht="15.75" hidden="false" customHeight="false" outlineLevel="0" collapsed="false">
      <c r="A28" s="0" t="n">
        <v>33122004</v>
      </c>
      <c r="B28" s="0" t="n">
        <v>1997</v>
      </c>
      <c r="C28" s="0" t="n">
        <v>1</v>
      </c>
      <c r="D28" s="0" t="n">
        <v>16</v>
      </c>
      <c r="E28" s="0" t="n">
        <v>1.8</v>
      </c>
      <c r="F28" s="0" t="n">
        <v>15.8</v>
      </c>
      <c r="G28" s="0" t="n">
        <v>56</v>
      </c>
      <c r="H28" s="0" t="n">
        <v>100</v>
      </c>
      <c r="I28" s="0" t="n">
        <v>0.5</v>
      </c>
      <c r="J28" s="0" t="n">
        <v>626</v>
      </c>
      <c r="K28" s="0" t="n">
        <v>0.9</v>
      </c>
      <c r="L28" s="0" t="n">
        <v>16</v>
      </c>
      <c r="O28" s="0" t="n">
        <f aca="false">B28</f>
        <v>1997</v>
      </c>
      <c r="P28" s="0" t="n">
        <f aca="false">L28</f>
        <v>16</v>
      </c>
      <c r="Q28" s="0" t="n">
        <f aca="false">E28</f>
        <v>1.8</v>
      </c>
      <c r="R28" s="0" t="n">
        <f aca="false">F28</f>
        <v>15.8</v>
      </c>
      <c r="S28" s="0" t="n">
        <f aca="false">G28</f>
        <v>56</v>
      </c>
      <c r="T28" s="0" t="n">
        <f aca="false">H28</f>
        <v>100</v>
      </c>
      <c r="U28" s="0" t="n">
        <f aca="false">100*100/1000000*(198.58*(1/(2/15*ACOS(-TAN(3.1416/180*$P$6)*TAN(3.1416/180*23.45*SIN((2*3.1416/365*(L28+284)))))/3.1416*180))^2+5.0551/(2/15*ACOS(-TAN(3.1416/180*$P$6)*TAN(3.1416/180*23.45*SIN((2*3.1416/365*(L28+284)))))/3.1416*180)+1.49)*J28/87.4*1000*2.02</f>
        <v>648.212032871209</v>
      </c>
      <c r="V28" s="0" t="n">
        <f aca="false">I28</f>
        <v>0.5</v>
      </c>
      <c r="W28" s="0" t="n">
        <f aca="false">K28</f>
        <v>0.9</v>
      </c>
    </row>
    <row r="29" customFormat="false" ht="15.75" hidden="false" customHeight="false" outlineLevel="0" collapsed="false">
      <c r="A29" s="0" t="n">
        <v>33122004</v>
      </c>
      <c r="B29" s="0" t="n">
        <v>1997</v>
      </c>
      <c r="C29" s="0" t="n">
        <v>1</v>
      </c>
      <c r="D29" s="0" t="n">
        <v>17</v>
      </c>
      <c r="E29" s="0" t="n">
        <v>7.9</v>
      </c>
      <c r="F29" s="0" t="n">
        <v>11.8</v>
      </c>
      <c r="G29" s="0" t="n">
        <v>93</v>
      </c>
      <c r="H29" s="0" t="n">
        <v>100</v>
      </c>
      <c r="I29" s="0" t="n">
        <v>4.5</v>
      </c>
      <c r="J29" s="0" t="n">
        <v>188</v>
      </c>
      <c r="K29" s="0" t="n">
        <v>0.7</v>
      </c>
      <c r="L29" s="0" t="n">
        <f aca="false">L28+1</f>
        <v>17</v>
      </c>
      <c r="O29" s="0" t="n">
        <f aca="false">B29</f>
        <v>1997</v>
      </c>
      <c r="P29" s="0" t="n">
        <f aca="false">L29</f>
        <v>17</v>
      </c>
      <c r="Q29" s="0" t="n">
        <f aca="false">E29</f>
        <v>7.9</v>
      </c>
      <c r="R29" s="0" t="n">
        <f aca="false">F29</f>
        <v>11.8</v>
      </c>
      <c r="S29" s="0" t="n">
        <f aca="false">G29</f>
        <v>93</v>
      </c>
      <c r="T29" s="0" t="n">
        <f aca="false">H29</f>
        <v>100</v>
      </c>
      <c r="U29" s="0" t="n">
        <f aca="false">100*100/1000000*(198.58*(1/(2/15*ACOS(-TAN(3.1416/180*$P$6)*TAN(3.1416/180*23.45*SIN((2*3.1416/365*(L29+284)))))/3.1416*180))^2+5.0551/(2/15*ACOS(-TAN(3.1416/180*$P$6)*TAN(3.1416/180*23.45*SIN((2*3.1416/365*(L29+284)))))/3.1416*180)+1.49)*J29/87.4*1000*2.02</f>
        <v>193.917654793671</v>
      </c>
      <c r="V29" s="0" t="n">
        <f aca="false">I29</f>
        <v>4.5</v>
      </c>
      <c r="W29" s="0" t="n">
        <f aca="false">K29</f>
        <v>0.7</v>
      </c>
    </row>
    <row r="30" customFormat="false" ht="15.75" hidden="false" customHeight="false" outlineLevel="0" collapsed="false">
      <c r="A30" s="0" t="n">
        <v>33122004</v>
      </c>
      <c r="B30" s="0" t="n">
        <v>1997</v>
      </c>
      <c r="C30" s="0" t="n">
        <v>1</v>
      </c>
      <c r="D30" s="0" t="n">
        <v>18</v>
      </c>
      <c r="E30" s="0" t="n">
        <v>1.8</v>
      </c>
      <c r="F30" s="0" t="n">
        <v>9.8</v>
      </c>
      <c r="G30" s="0" t="n">
        <v>95</v>
      </c>
      <c r="H30" s="0" t="n">
        <v>100</v>
      </c>
      <c r="I30" s="0" t="n">
        <v>0</v>
      </c>
      <c r="J30" s="0" t="n">
        <v>266</v>
      </c>
      <c r="K30" s="0" t="n">
        <v>0.8</v>
      </c>
      <c r="L30" s="0" t="n">
        <f aca="false">L29+1</f>
        <v>18</v>
      </c>
      <c r="O30" s="0" t="n">
        <f aca="false">B30</f>
        <v>1997</v>
      </c>
      <c r="P30" s="0" t="n">
        <f aca="false">L30</f>
        <v>18</v>
      </c>
      <c r="Q30" s="0" t="n">
        <f aca="false">E30</f>
        <v>1.8</v>
      </c>
      <c r="R30" s="0" t="n">
        <f aca="false">F30</f>
        <v>9.8</v>
      </c>
      <c r="S30" s="0" t="n">
        <f aca="false">G30</f>
        <v>95</v>
      </c>
      <c r="T30" s="0" t="n">
        <f aca="false">H30</f>
        <v>100</v>
      </c>
      <c r="U30" s="0" t="n">
        <f aca="false">100*100/1000000*(198.58*(1/(2/15*ACOS(-TAN(3.1416/180*$P$6)*TAN(3.1416/180*23.45*SIN((2*3.1416/365*(L30+284)))))/3.1416*180))^2+5.0551/(2/15*ACOS(-TAN(3.1416/180*$P$6)*TAN(3.1416/180*23.45*SIN((2*3.1416/365*(L30+284)))))/3.1416*180)+1.49)*J30/87.4*1000*2.02</f>
        <v>273.285228680138</v>
      </c>
      <c r="V30" s="0" t="n">
        <f aca="false">I30</f>
        <v>0</v>
      </c>
      <c r="W30" s="0" t="n">
        <f aca="false">K30</f>
        <v>0.8</v>
      </c>
    </row>
    <row r="31" customFormat="false" ht="15.75" hidden="false" customHeight="false" outlineLevel="0" collapsed="false">
      <c r="A31" s="0" t="n">
        <v>33122004</v>
      </c>
      <c r="B31" s="0" t="n">
        <v>1997</v>
      </c>
      <c r="C31" s="0" t="n">
        <v>1</v>
      </c>
      <c r="D31" s="0" t="n">
        <v>19</v>
      </c>
      <c r="E31" s="0" t="n">
        <v>6.7</v>
      </c>
      <c r="F31" s="0" t="n">
        <v>13.7</v>
      </c>
      <c r="G31" s="0" t="n">
        <v>69</v>
      </c>
      <c r="H31" s="0" t="n">
        <v>100</v>
      </c>
      <c r="I31" s="0" t="n">
        <v>1.5</v>
      </c>
      <c r="J31" s="0" t="n">
        <v>382</v>
      </c>
      <c r="K31" s="0" t="n">
        <v>0.5</v>
      </c>
      <c r="L31" s="0" t="n">
        <f aca="false">L30+1</f>
        <v>19</v>
      </c>
      <c r="O31" s="0" t="n">
        <f aca="false">B31</f>
        <v>1997</v>
      </c>
      <c r="P31" s="0" t="n">
        <f aca="false">L31</f>
        <v>19</v>
      </c>
      <c r="Q31" s="0" t="n">
        <f aca="false">E31</f>
        <v>6.7</v>
      </c>
      <c r="R31" s="0" t="n">
        <f aca="false">F31</f>
        <v>13.7</v>
      </c>
      <c r="S31" s="0" t="n">
        <f aca="false">G31</f>
        <v>69</v>
      </c>
      <c r="T31" s="0" t="n">
        <f aca="false">H31</f>
        <v>100</v>
      </c>
      <c r="U31" s="0" t="n">
        <f aca="false">100*100/1000000*(198.58*(1/(2/15*ACOS(-TAN(3.1416/180*$P$6)*TAN(3.1416/180*23.45*SIN((2*3.1416/365*(L31+284)))))/3.1416*180))^2+5.0551/(2/15*ACOS(-TAN(3.1416/180*$P$6)*TAN(3.1416/180*23.45*SIN((2*3.1416/365*(L31+284)))))/3.1416*180)+1.49)*J31/87.4*1000*2.02</f>
        <v>390.870635627378</v>
      </c>
      <c r="V31" s="0" t="n">
        <f aca="false">I31</f>
        <v>1.5</v>
      </c>
      <c r="W31" s="0" t="n">
        <f aca="false">K31</f>
        <v>0.5</v>
      </c>
    </row>
    <row r="32" customFormat="false" ht="15.75" hidden="false" customHeight="false" outlineLevel="0" collapsed="false">
      <c r="A32" s="0" t="n">
        <v>33122004</v>
      </c>
      <c r="B32" s="0" t="n">
        <v>1997</v>
      </c>
      <c r="C32" s="0" t="n">
        <v>1</v>
      </c>
      <c r="D32" s="0" t="n">
        <v>20</v>
      </c>
      <c r="E32" s="0" t="n">
        <v>3.8</v>
      </c>
      <c r="F32" s="0" t="n">
        <v>10.6</v>
      </c>
      <c r="G32" s="0" t="n">
        <v>78</v>
      </c>
      <c r="H32" s="0" t="n">
        <v>100</v>
      </c>
      <c r="I32" s="0" t="n">
        <v>0</v>
      </c>
      <c r="J32" s="0" t="n">
        <v>252</v>
      </c>
      <c r="K32" s="0" t="n">
        <v>1.3</v>
      </c>
      <c r="L32" s="0" t="n">
        <f aca="false">L31+1</f>
        <v>20</v>
      </c>
      <c r="O32" s="0" t="n">
        <f aca="false">B32</f>
        <v>1997</v>
      </c>
      <c r="P32" s="0" t="n">
        <f aca="false">L32</f>
        <v>20</v>
      </c>
      <c r="Q32" s="0" t="n">
        <f aca="false">E32</f>
        <v>3.8</v>
      </c>
      <c r="R32" s="0" t="n">
        <f aca="false">F32</f>
        <v>10.6</v>
      </c>
      <c r="S32" s="0" t="n">
        <f aca="false">G32</f>
        <v>78</v>
      </c>
      <c r="T32" s="0" t="n">
        <f aca="false">H32</f>
        <v>100</v>
      </c>
      <c r="U32" s="0" t="n">
        <f aca="false">100*100/1000000*(198.58*(1/(2/15*ACOS(-TAN(3.1416/180*$P$6)*TAN(3.1416/180*23.45*SIN((2*3.1416/365*(L32+284)))))/3.1416*180))^2+5.0551/(2/15*ACOS(-TAN(3.1416/180*$P$6)*TAN(3.1416/180*23.45*SIN((2*3.1416/365*(L32+284)))))/3.1416*180)+1.49)*J32/87.4*1000*2.02</f>
        <v>256.783660451967</v>
      </c>
      <c r="V32" s="0" t="n">
        <f aca="false">I32</f>
        <v>0</v>
      </c>
      <c r="W32" s="0" t="n">
        <f aca="false">K32</f>
        <v>1.3</v>
      </c>
    </row>
    <row r="33" customFormat="false" ht="15.75" hidden="false" customHeight="false" outlineLevel="0" collapsed="false">
      <c r="A33" s="0" t="n">
        <v>33122004</v>
      </c>
      <c r="B33" s="0" t="n">
        <v>1997</v>
      </c>
      <c r="C33" s="0" t="n">
        <v>1</v>
      </c>
      <c r="D33" s="0" t="n">
        <v>21</v>
      </c>
      <c r="E33" s="0" t="n">
        <v>7.5</v>
      </c>
      <c r="F33" s="0" t="n">
        <v>16.3</v>
      </c>
      <c r="G33" s="0" t="n">
        <v>76</v>
      </c>
      <c r="H33" s="0" t="n">
        <v>100</v>
      </c>
      <c r="I33" s="0" t="n">
        <v>13</v>
      </c>
      <c r="J33" s="0" t="n">
        <v>346</v>
      </c>
      <c r="K33" s="0" t="n">
        <v>0.9</v>
      </c>
      <c r="L33" s="0" t="n">
        <f aca="false">L32+1</f>
        <v>21</v>
      </c>
      <c r="O33" s="0" t="n">
        <f aca="false">B33</f>
        <v>1997</v>
      </c>
      <c r="P33" s="0" t="n">
        <f aca="false">L33</f>
        <v>21</v>
      </c>
      <c r="Q33" s="0" t="n">
        <f aca="false">E33</f>
        <v>7.5</v>
      </c>
      <c r="R33" s="0" t="n">
        <f aca="false">F33</f>
        <v>16.3</v>
      </c>
      <c r="S33" s="0" t="n">
        <f aca="false">G33</f>
        <v>76</v>
      </c>
      <c r="T33" s="0" t="n">
        <f aca="false">H33</f>
        <v>100</v>
      </c>
      <c r="U33" s="0" t="n">
        <f aca="false">100*100/1000000*(198.58*(1/(2/15*ACOS(-TAN(3.1416/180*$P$6)*TAN(3.1416/180*23.45*SIN((2*3.1416/365*(L33+284)))))/3.1416*180))^2+5.0551/(2/15*ACOS(-TAN(3.1416/180*$P$6)*TAN(3.1416/180*23.45*SIN((2*3.1416/365*(L33+284)))))/3.1416*180)+1.49)*J33/87.4*1000*2.02</f>
        <v>351.078281456191</v>
      </c>
      <c r="V33" s="0" t="n">
        <f aca="false">I33</f>
        <v>13</v>
      </c>
      <c r="W33" s="0" t="n">
        <f aca="false">K33</f>
        <v>0.9</v>
      </c>
    </row>
    <row r="34" customFormat="false" ht="15.75" hidden="false" customHeight="false" outlineLevel="0" collapsed="false">
      <c r="A34" s="0" t="n">
        <v>33122004</v>
      </c>
      <c r="B34" s="0" t="n">
        <v>1997</v>
      </c>
      <c r="C34" s="0" t="n">
        <v>1</v>
      </c>
      <c r="D34" s="0" t="n">
        <v>22</v>
      </c>
      <c r="E34" s="0" t="n">
        <v>7.5</v>
      </c>
      <c r="F34" s="0" t="n">
        <v>17</v>
      </c>
      <c r="G34" s="0" t="n">
        <v>62</v>
      </c>
      <c r="H34" s="0" t="n">
        <v>100</v>
      </c>
      <c r="I34" s="0" t="n">
        <v>3</v>
      </c>
      <c r="J34" s="0" t="n">
        <v>686</v>
      </c>
      <c r="K34" s="0" t="n">
        <v>0.4</v>
      </c>
      <c r="L34" s="0" t="n">
        <f aca="false">L33+1</f>
        <v>22</v>
      </c>
      <c r="O34" s="0" t="n">
        <f aca="false">B34</f>
        <v>1997</v>
      </c>
      <c r="P34" s="0" t="n">
        <f aca="false">L34</f>
        <v>22</v>
      </c>
      <c r="Q34" s="0" t="n">
        <f aca="false">E34</f>
        <v>7.5</v>
      </c>
      <c r="R34" s="0" t="n">
        <f aca="false">F34</f>
        <v>17</v>
      </c>
      <c r="S34" s="0" t="n">
        <f aca="false">G34</f>
        <v>62</v>
      </c>
      <c r="T34" s="0" t="n">
        <f aca="false">H34</f>
        <v>100</v>
      </c>
      <c r="U34" s="0" t="n">
        <f aca="false">100*100/1000000*(198.58*(1/(2/15*ACOS(-TAN(3.1416/180*$P$6)*TAN(3.1416/180*23.45*SIN((2*3.1416/365*(L34+284)))))/3.1416*180))^2+5.0551/(2/15*ACOS(-TAN(3.1416/180*$P$6)*TAN(3.1416/180*23.45*SIN((2*3.1416/365*(L34+284)))))/3.1416*180)+1.49)*J34/87.4*1000*2.02</f>
        <v>693.072559005752</v>
      </c>
      <c r="V34" s="0" t="n">
        <f aca="false">I34</f>
        <v>3</v>
      </c>
      <c r="W34" s="0" t="n">
        <f aca="false">K34</f>
        <v>0.4</v>
      </c>
    </row>
    <row r="35" customFormat="false" ht="15.75" hidden="false" customHeight="false" outlineLevel="0" collapsed="false">
      <c r="A35" s="0" t="n">
        <v>33122004</v>
      </c>
      <c r="B35" s="0" t="n">
        <v>1997</v>
      </c>
      <c r="C35" s="0" t="n">
        <v>1</v>
      </c>
      <c r="D35" s="0" t="n">
        <v>23</v>
      </c>
      <c r="E35" s="0" t="n">
        <v>5.1</v>
      </c>
      <c r="F35" s="0" t="n">
        <v>13.8</v>
      </c>
      <c r="G35" s="0" t="n">
        <v>89</v>
      </c>
      <c r="H35" s="0" t="n">
        <v>100</v>
      </c>
      <c r="I35" s="0" t="n">
        <v>0.5</v>
      </c>
      <c r="J35" s="0" t="n">
        <v>195</v>
      </c>
      <c r="K35" s="0" t="n">
        <v>0.5</v>
      </c>
      <c r="L35" s="0" t="n">
        <f aca="false">L34+1</f>
        <v>23</v>
      </c>
      <c r="O35" s="0" t="n">
        <f aca="false">B35</f>
        <v>1997</v>
      </c>
      <c r="P35" s="0" t="n">
        <f aca="false">L35</f>
        <v>23</v>
      </c>
      <c r="Q35" s="0" t="n">
        <f aca="false">E35</f>
        <v>5.1</v>
      </c>
      <c r="R35" s="0" t="n">
        <f aca="false">F35</f>
        <v>13.8</v>
      </c>
      <c r="S35" s="0" t="n">
        <f aca="false">G35</f>
        <v>89</v>
      </c>
      <c r="T35" s="0" t="n">
        <f aca="false">H35</f>
        <v>100</v>
      </c>
      <c r="U35" s="0" t="n">
        <f aca="false">100*100/1000000*(198.58*(1/(2/15*ACOS(-TAN(3.1416/180*$P$6)*TAN(3.1416/180*23.45*SIN((2*3.1416/365*(L35+284)))))/3.1416*180))^2+5.0551/(2/15*ACOS(-TAN(3.1416/180*$P$6)*TAN(3.1416/180*23.45*SIN((2*3.1416/365*(L35+284)))))/3.1416*180)+1.49)*J35/87.4*1000*2.02</f>
        <v>196.147806931053</v>
      </c>
      <c r="V35" s="0" t="n">
        <f aca="false">I35</f>
        <v>0.5</v>
      </c>
      <c r="W35" s="0" t="n">
        <f aca="false">K35</f>
        <v>0.5</v>
      </c>
    </row>
    <row r="36" customFormat="false" ht="15.75" hidden="false" customHeight="false" outlineLevel="0" collapsed="false">
      <c r="A36" s="0" t="n">
        <v>33122004</v>
      </c>
      <c r="B36" s="0" t="n">
        <v>1997</v>
      </c>
      <c r="C36" s="0" t="n">
        <v>1</v>
      </c>
      <c r="D36" s="0" t="n">
        <v>24</v>
      </c>
      <c r="E36" s="0" t="n">
        <v>6.7</v>
      </c>
      <c r="F36" s="0" t="n">
        <v>12.3</v>
      </c>
      <c r="G36" s="0" t="n">
        <v>94</v>
      </c>
      <c r="H36" s="0" t="n">
        <v>100</v>
      </c>
      <c r="I36" s="0" t="n">
        <v>2</v>
      </c>
      <c r="J36" s="0" t="n">
        <v>199</v>
      </c>
      <c r="K36" s="0" t="n">
        <v>0.3</v>
      </c>
      <c r="L36" s="0" t="n">
        <f aca="false">L35+1</f>
        <v>24</v>
      </c>
      <c r="O36" s="0" t="n">
        <f aca="false">B36</f>
        <v>1997</v>
      </c>
      <c r="P36" s="0" t="n">
        <f aca="false">L36</f>
        <v>24</v>
      </c>
      <c r="Q36" s="0" t="n">
        <f aca="false">E36</f>
        <v>6.7</v>
      </c>
      <c r="R36" s="0" t="n">
        <f aca="false">F36</f>
        <v>12.3</v>
      </c>
      <c r="S36" s="0" t="n">
        <f aca="false">G36</f>
        <v>94</v>
      </c>
      <c r="T36" s="0" t="n">
        <f aca="false">H36</f>
        <v>100</v>
      </c>
      <c r="U36" s="0" t="n">
        <f aca="false">100*100/1000000*(198.58*(1/(2/15*ACOS(-TAN(3.1416/180*$P$6)*TAN(3.1416/180*23.45*SIN((2*3.1416/365*(L36+284)))))/3.1416*180))^2+5.0551/(2/15*ACOS(-TAN(3.1416/180*$P$6)*TAN(3.1416/180*23.45*SIN((2*3.1416/365*(L36+284)))))/3.1416*180)+1.49)*J36/87.4*1000*2.02</f>
        <v>199.280830895671</v>
      </c>
      <c r="V36" s="0" t="n">
        <f aca="false">I36</f>
        <v>2</v>
      </c>
      <c r="W36" s="0" t="n">
        <f aca="false">K36</f>
        <v>0.3</v>
      </c>
    </row>
    <row r="37" customFormat="false" ht="15.75" hidden="false" customHeight="false" outlineLevel="0" collapsed="false">
      <c r="A37" s="0" t="n">
        <v>33122004</v>
      </c>
      <c r="B37" s="0" t="n">
        <v>1997</v>
      </c>
      <c r="C37" s="0" t="n">
        <v>1</v>
      </c>
      <c r="D37" s="0" t="n">
        <v>25</v>
      </c>
      <c r="E37" s="0" t="n">
        <v>10</v>
      </c>
      <c r="F37" s="0" t="n">
        <v>11.7</v>
      </c>
      <c r="G37" s="0" t="n">
        <v>100</v>
      </c>
      <c r="H37" s="0" t="n">
        <v>100</v>
      </c>
      <c r="I37" s="0" t="n">
        <v>1.5</v>
      </c>
      <c r="J37" s="0" t="n">
        <v>114</v>
      </c>
      <c r="K37" s="0" t="n">
        <v>0.4</v>
      </c>
      <c r="L37" s="0" t="n">
        <f aca="false">L36+1</f>
        <v>25</v>
      </c>
      <c r="O37" s="0" t="n">
        <f aca="false">B37</f>
        <v>1997</v>
      </c>
      <c r="P37" s="0" t="n">
        <f aca="false">L37</f>
        <v>25</v>
      </c>
      <c r="Q37" s="0" t="n">
        <f aca="false">E37</f>
        <v>10</v>
      </c>
      <c r="R37" s="0" t="n">
        <f aca="false">F37</f>
        <v>11.7</v>
      </c>
      <c r="S37" s="0" t="n">
        <f aca="false">G37</f>
        <v>100</v>
      </c>
      <c r="T37" s="0" t="n">
        <f aca="false">H37</f>
        <v>100</v>
      </c>
      <c r="U37" s="0" t="n">
        <f aca="false">100*100/1000000*(198.58*(1/(2/15*ACOS(-TAN(3.1416/180*$P$6)*TAN(3.1416/180*23.45*SIN((2*3.1416/365*(L37+284)))))/3.1416*180))^2+5.0551/(2/15*ACOS(-TAN(3.1416/180*$P$6)*TAN(3.1416/180*23.45*SIN((2*3.1416/365*(L37+284)))))/3.1416*180)+1.49)*J37/87.4*1000*2.02</f>
        <v>113.645447075126</v>
      </c>
      <c r="V37" s="0" t="n">
        <f aca="false">I37</f>
        <v>1.5</v>
      </c>
      <c r="W37" s="0" t="n">
        <f aca="false">K37</f>
        <v>0.4</v>
      </c>
    </row>
    <row r="38" customFormat="false" ht="15.75" hidden="false" customHeight="false" outlineLevel="0" collapsed="false">
      <c r="A38" s="0" t="n">
        <v>33122004</v>
      </c>
      <c r="B38" s="0" t="n">
        <v>1997</v>
      </c>
      <c r="C38" s="0" t="n">
        <v>1</v>
      </c>
      <c r="D38" s="0" t="n">
        <v>26</v>
      </c>
      <c r="E38" s="0" t="n">
        <v>2.6</v>
      </c>
      <c r="F38" s="0" t="n">
        <v>10.3</v>
      </c>
      <c r="G38" s="0" t="n">
        <v>100</v>
      </c>
      <c r="H38" s="0" t="n">
        <v>100</v>
      </c>
      <c r="I38" s="0" t="n">
        <v>0.5</v>
      </c>
      <c r="J38" s="0" t="n">
        <v>357</v>
      </c>
      <c r="K38" s="0" t="n">
        <v>0.6</v>
      </c>
      <c r="L38" s="0" t="n">
        <f aca="false">L37+1</f>
        <v>26</v>
      </c>
      <c r="O38" s="0" t="n">
        <f aca="false">B38</f>
        <v>1997</v>
      </c>
      <c r="P38" s="0" t="n">
        <f aca="false">L38</f>
        <v>26</v>
      </c>
      <c r="Q38" s="0" t="n">
        <f aca="false">E38</f>
        <v>2.6</v>
      </c>
      <c r="R38" s="0" t="n">
        <f aca="false">F38</f>
        <v>10.3</v>
      </c>
      <c r="S38" s="0" t="n">
        <f aca="false">G38</f>
        <v>100</v>
      </c>
      <c r="T38" s="0" t="n">
        <f aca="false">H38</f>
        <v>100</v>
      </c>
      <c r="U38" s="0" t="n">
        <f aca="false">100*100/1000000*(198.58*(1/(2/15*ACOS(-TAN(3.1416/180*$P$6)*TAN(3.1416/180*23.45*SIN((2*3.1416/365*(L38+284)))))/3.1416*180))^2+5.0551/(2/15*ACOS(-TAN(3.1416/180*$P$6)*TAN(3.1416/180*23.45*SIN((2*3.1416/365*(L38+284)))))/3.1416*180)+1.49)*J38/87.4*1000*2.02</f>
        <v>354.260761703458</v>
      </c>
      <c r="V38" s="0" t="n">
        <f aca="false">I38</f>
        <v>0.5</v>
      </c>
      <c r="W38" s="0" t="n">
        <f aca="false">K38</f>
        <v>0.6</v>
      </c>
    </row>
    <row r="39" customFormat="false" ht="15.75" hidden="false" customHeight="false" outlineLevel="0" collapsed="false">
      <c r="A39" s="0" t="n">
        <v>33122004</v>
      </c>
      <c r="B39" s="0" t="n">
        <v>1997</v>
      </c>
      <c r="C39" s="0" t="n">
        <v>1</v>
      </c>
      <c r="D39" s="0" t="n">
        <v>27</v>
      </c>
      <c r="E39" s="0" t="n">
        <v>3.8</v>
      </c>
      <c r="F39" s="0" t="n">
        <v>4.8</v>
      </c>
      <c r="G39" s="0" t="n">
        <v>87</v>
      </c>
      <c r="H39" s="0" t="n">
        <v>100</v>
      </c>
      <c r="I39" s="0" t="n">
        <v>0</v>
      </c>
      <c r="J39" s="0" t="n">
        <v>138</v>
      </c>
      <c r="K39" s="0" t="n">
        <v>0.9</v>
      </c>
      <c r="L39" s="0" t="n">
        <f aca="false">L38+1</f>
        <v>27</v>
      </c>
      <c r="O39" s="0" t="n">
        <f aca="false">B39</f>
        <v>1997</v>
      </c>
      <c r="P39" s="0" t="n">
        <f aca="false">L39</f>
        <v>27</v>
      </c>
      <c r="Q39" s="0" t="n">
        <f aca="false">E39</f>
        <v>3.8</v>
      </c>
      <c r="R39" s="0" t="n">
        <f aca="false">F39</f>
        <v>4.8</v>
      </c>
      <c r="S39" s="0" t="n">
        <f aca="false">G39</f>
        <v>87</v>
      </c>
      <c r="T39" s="0" t="n">
        <f aca="false">H39</f>
        <v>100</v>
      </c>
      <c r="U39" s="0" t="n">
        <f aca="false">100*100/1000000*(198.58*(1/(2/15*ACOS(-TAN(3.1416/180*$P$6)*TAN(3.1416/180*23.45*SIN((2*3.1416/365*(L39+284)))))/3.1416*180))^2+5.0551/(2/15*ACOS(-TAN(3.1416/180*$P$6)*TAN(3.1416/180*23.45*SIN((2*3.1416/365*(L39+284)))))/3.1416*180)+1.49)*J39/87.4*1000*2.02</f>
        <v>136.306388878435</v>
      </c>
      <c r="V39" s="0" t="n">
        <f aca="false">I39</f>
        <v>0</v>
      </c>
      <c r="W39" s="0" t="n">
        <f aca="false">K39</f>
        <v>0.9</v>
      </c>
    </row>
    <row r="40" customFormat="false" ht="15.75" hidden="false" customHeight="false" outlineLevel="0" collapsed="false">
      <c r="A40" s="0" t="n">
        <v>33122004</v>
      </c>
      <c r="B40" s="0" t="n">
        <v>1997</v>
      </c>
      <c r="C40" s="0" t="n">
        <v>1</v>
      </c>
      <c r="D40" s="0" t="n">
        <v>28</v>
      </c>
      <c r="E40" s="0" t="n">
        <v>-1.6</v>
      </c>
      <c r="F40" s="0" t="n">
        <v>5.7</v>
      </c>
      <c r="G40" s="0" t="n">
        <v>66</v>
      </c>
      <c r="H40" s="0" t="n">
        <v>100</v>
      </c>
      <c r="I40" s="0" t="n">
        <v>0</v>
      </c>
      <c r="J40" s="0" t="n">
        <v>546</v>
      </c>
      <c r="K40" s="0" t="n">
        <v>1.2</v>
      </c>
      <c r="L40" s="0" t="n">
        <f aca="false">L39+1</f>
        <v>28</v>
      </c>
      <c r="O40" s="0" t="n">
        <f aca="false">B40</f>
        <v>1997</v>
      </c>
      <c r="P40" s="0" t="n">
        <f aca="false">L40</f>
        <v>28</v>
      </c>
      <c r="Q40" s="0" t="n">
        <f aca="false">E40</f>
        <v>-1.6</v>
      </c>
      <c r="R40" s="0" t="n">
        <f aca="false">F40</f>
        <v>5.7</v>
      </c>
      <c r="S40" s="0" t="n">
        <f aca="false">G40</f>
        <v>66</v>
      </c>
      <c r="T40" s="0" t="n">
        <f aca="false">H40</f>
        <v>100</v>
      </c>
      <c r="U40" s="0" t="n">
        <f aca="false">100*100/1000000*(198.58*(1/(2/15*ACOS(-TAN(3.1416/180*$P$6)*TAN(3.1416/180*23.45*SIN((2*3.1416/365*(L40+284)))))/3.1416*180))^2+5.0551/(2/15*ACOS(-TAN(3.1416/180*$P$6)*TAN(3.1416/180*23.45*SIN((2*3.1416/365*(L40+284)))))/3.1416*180)+1.49)*J40/87.4*1000*2.02</f>
        <v>536.77021888917</v>
      </c>
      <c r="V40" s="0" t="n">
        <f aca="false">I40</f>
        <v>0</v>
      </c>
      <c r="W40" s="0" t="n">
        <f aca="false">K40</f>
        <v>1.2</v>
      </c>
    </row>
    <row r="41" customFormat="false" ht="15.75" hidden="false" customHeight="false" outlineLevel="0" collapsed="false">
      <c r="A41" s="0" t="n">
        <v>33122004</v>
      </c>
      <c r="B41" s="0" t="n">
        <v>1997</v>
      </c>
      <c r="C41" s="0" t="n">
        <v>1</v>
      </c>
      <c r="D41" s="0" t="n">
        <v>29</v>
      </c>
      <c r="E41" s="0" t="n">
        <v>-2.7</v>
      </c>
      <c r="F41" s="0" t="n">
        <v>11.2</v>
      </c>
      <c r="G41" s="0" t="n">
        <v>63</v>
      </c>
      <c r="H41" s="0" t="n">
        <v>100</v>
      </c>
      <c r="I41" s="0" t="n">
        <v>0</v>
      </c>
      <c r="J41" s="0" t="n">
        <v>733</v>
      </c>
      <c r="K41" s="0" t="n">
        <v>0.8</v>
      </c>
      <c r="L41" s="0" t="n">
        <f aca="false">L40+1</f>
        <v>29</v>
      </c>
      <c r="O41" s="0" t="n">
        <f aca="false">B41</f>
        <v>1997</v>
      </c>
      <c r="P41" s="0" t="n">
        <f aca="false">L41</f>
        <v>29</v>
      </c>
      <c r="Q41" s="0" t="n">
        <f aca="false">E41</f>
        <v>-2.7</v>
      </c>
      <c r="R41" s="0" t="n">
        <f aca="false">F41</f>
        <v>11.2</v>
      </c>
      <c r="S41" s="0" t="n">
        <f aca="false">G41</f>
        <v>63</v>
      </c>
      <c r="T41" s="0" t="n">
        <f aca="false">H41</f>
        <v>100</v>
      </c>
      <c r="U41" s="0" t="n">
        <f aca="false">100*100/1000000*(198.58*(1/(2/15*ACOS(-TAN(3.1416/180*$P$6)*TAN(3.1416/180*23.45*SIN((2*3.1416/365*(L41+284)))))/3.1416*180))^2+5.0551/(2/15*ACOS(-TAN(3.1416/180*$P$6)*TAN(3.1416/180*23.45*SIN((2*3.1416/365*(L41+284)))))/3.1416*180)+1.49)*J41/87.4*1000*2.02</f>
        <v>717.193622185988</v>
      </c>
      <c r="V41" s="0" t="n">
        <f aca="false">I41</f>
        <v>0</v>
      </c>
      <c r="W41" s="0" t="n">
        <f aca="false">K41</f>
        <v>0.8</v>
      </c>
    </row>
    <row r="42" customFormat="false" ht="15.75" hidden="false" customHeight="false" outlineLevel="0" collapsed="false">
      <c r="A42" s="0" t="n">
        <v>33122004</v>
      </c>
      <c r="B42" s="0" t="n">
        <v>1997</v>
      </c>
      <c r="C42" s="0" t="n">
        <v>1</v>
      </c>
      <c r="D42" s="0" t="n">
        <v>30</v>
      </c>
      <c r="E42" s="0" t="n">
        <v>-0.3</v>
      </c>
      <c r="F42" s="0" t="n">
        <v>13.9</v>
      </c>
      <c r="G42" s="0" t="n">
        <v>64</v>
      </c>
      <c r="H42" s="0" t="n">
        <v>100</v>
      </c>
      <c r="I42" s="0" t="n">
        <v>0</v>
      </c>
      <c r="J42" s="0" t="n">
        <v>743</v>
      </c>
      <c r="K42" s="0" t="n">
        <v>0.8</v>
      </c>
      <c r="L42" s="0" t="n">
        <f aca="false">L41+1</f>
        <v>30</v>
      </c>
      <c r="O42" s="0" t="n">
        <f aca="false">B42</f>
        <v>1997</v>
      </c>
      <c r="P42" s="0" t="n">
        <f aca="false">L42</f>
        <v>30</v>
      </c>
      <c r="Q42" s="0" t="n">
        <f aca="false">E42</f>
        <v>-0.3</v>
      </c>
      <c r="R42" s="0" t="n">
        <f aca="false">F42</f>
        <v>13.9</v>
      </c>
      <c r="S42" s="0" t="n">
        <f aca="false">G42</f>
        <v>64</v>
      </c>
      <c r="T42" s="0" t="n">
        <f aca="false">H42</f>
        <v>100</v>
      </c>
      <c r="U42" s="0" t="n">
        <f aca="false">100*100/1000000*(198.58*(1/(2/15*ACOS(-TAN(3.1416/180*$P$6)*TAN(3.1416/180*23.45*SIN((2*3.1416/365*(L42+284)))))/3.1416*180))^2+5.0551/(2/15*ACOS(-TAN(3.1416/180*$P$6)*TAN(3.1416/180*23.45*SIN((2*3.1416/365*(L42+284)))))/3.1416*180)+1.49)*J42/87.4*1000*2.02</f>
        <v>723.498452245796</v>
      </c>
      <c r="V42" s="0" t="n">
        <f aca="false">I42</f>
        <v>0</v>
      </c>
      <c r="W42" s="0" t="n">
        <f aca="false">K42</f>
        <v>0.8</v>
      </c>
    </row>
    <row r="43" customFormat="false" ht="15.75" hidden="false" customHeight="false" outlineLevel="0" collapsed="false">
      <c r="A43" s="0" t="n">
        <v>33122004</v>
      </c>
      <c r="B43" s="0" t="n">
        <v>1997</v>
      </c>
      <c r="C43" s="0" t="n">
        <v>1</v>
      </c>
      <c r="D43" s="0" t="n">
        <v>31</v>
      </c>
      <c r="E43" s="0" t="n">
        <v>2.8</v>
      </c>
      <c r="F43" s="0" t="n">
        <v>15.1</v>
      </c>
      <c r="G43" s="0" t="n">
        <v>58</v>
      </c>
      <c r="H43" s="0" t="n">
        <v>100</v>
      </c>
      <c r="I43" s="0" t="n">
        <v>0</v>
      </c>
      <c r="J43" s="0" t="n">
        <v>783</v>
      </c>
      <c r="K43" s="0" t="n">
        <v>0.8</v>
      </c>
      <c r="L43" s="0" t="n">
        <f aca="false">L42+1</f>
        <v>31</v>
      </c>
      <c r="O43" s="0" t="n">
        <f aca="false">B43</f>
        <v>1997</v>
      </c>
      <c r="P43" s="0" t="n">
        <f aca="false">L43</f>
        <v>31</v>
      </c>
      <c r="Q43" s="0" t="n">
        <f aca="false">E43</f>
        <v>2.8</v>
      </c>
      <c r="R43" s="0" t="n">
        <f aca="false">F43</f>
        <v>15.1</v>
      </c>
      <c r="S43" s="0" t="n">
        <f aca="false">G43</f>
        <v>58</v>
      </c>
      <c r="T43" s="0" t="n">
        <f aca="false">H43</f>
        <v>100</v>
      </c>
      <c r="U43" s="0" t="n">
        <f aca="false">100*100/1000000*(198.58*(1/(2/15*ACOS(-TAN(3.1416/180*$P$6)*TAN(3.1416/180*23.45*SIN((2*3.1416/365*(L43+284)))))/3.1416*180))^2+5.0551/(2/15*ACOS(-TAN(3.1416/180*$P$6)*TAN(3.1416/180*23.45*SIN((2*3.1416/365*(L43+284)))))/3.1416*180)+1.49)*J43/87.4*1000*2.02</f>
        <v>758.766561399361</v>
      </c>
      <c r="V43" s="0" t="n">
        <f aca="false">I43</f>
        <v>0</v>
      </c>
      <c r="W43" s="0" t="n">
        <f aca="false">K43</f>
        <v>0.8</v>
      </c>
    </row>
    <row r="44" customFormat="false" ht="15.75" hidden="false" customHeight="false" outlineLevel="0" collapsed="false">
      <c r="A44" s="0" t="n">
        <v>33122004</v>
      </c>
      <c r="B44" s="0" t="n">
        <v>1997</v>
      </c>
      <c r="C44" s="0" t="n">
        <v>2</v>
      </c>
      <c r="D44" s="0" t="n">
        <v>1</v>
      </c>
      <c r="E44" s="0" t="n">
        <v>3.5</v>
      </c>
      <c r="F44" s="0" t="n">
        <v>14.8</v>
      </c>
      <c r="G44" s="0" t="n">
        <v>78</v>
      </c>
      <c r="H44" s="0" t="n">
        <v>100</v>
      </c>
      <c r="I44" s="0" t="n">
        <v>0.5</v>
      </c>
      <c r="J44" s="0" t="n">
        <v>350</v>
      </c>
      <c r="K44" s="0" t="n">
        <v>0.5</v>
      </c>
      <c r="L44" s="0" t="n">
        <f aca="false">L43+1</f>
        <v>32</v>
      </c>
      <c r="O44" s="0" t="n">
        <f aca="false">B44</f>
        <v>1997</v>
      </c>
      <c r="P44" s="0" t="n">
        <f aca="false">L44</f>
        <v>32</v>
      </c>
      <c r="Q44" s="0" t="n">
        <f aca="false">E44</f>
        <v>3.5</v>
      </c>
      <c r="R44" s="0" t="n">
        <f aca="false">F44</f>
        <v>14.8</v>
      </c>
      <c r="S44" s="0" t="n">
        <f aca="false">G44</f>
        <v>78</v>
      </c>
      <c r="T44" s="0" t="n">
        <f aca="false">H44</f>
        <v>100</v>
      </c>
      <c r="U44" s="0" t="n">
        <f aca="false">100*100/1000000*(198.58*(1/(2/15*ACOS(-TAN(3.1416/180*$P$6)*TAN(3.1416/180*23.45*SIN((2*3.1416/365*(L44+284)))))/3.1416*180))^2+5.0551/(2/15*ACOS(-TAN(3.1416/180*$P$6)*TAN(3.1416/180*23.45*SIN((2*3.1416/365*(L44+284)))))/3.1416*180)+1.49)*J44/87.4*1000*2.02</f>
        <v>337.516449060265</v>
      </c>
      <c r="V44" s="0" t="n">
        <f aca="false">I44</f>
        <v>0.5</v>
      </c>
      <c r="W44" s="0" t="n">
        <f aca="false">K44</f>
        <v>0.5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V16"/>
  <sheetViews>
    <sheetView showFormulas="false" showGridLines="true" showRowColHeaders="true" showZeros="true" rightToLeft="false" tabSelected="false" showOutlineSymbols="true" defaultGridColor="true" view="normal" topLeftCell="A8" colorId="64" zoomScale="117" zoomScaleNormal="117" zoomScalePageLayoutView="100" workbookViewId="0">
      <selection pane="topLeft" activeCell="R13" activeCellId="0" sqref="R13"/>
    </sheetView>
  </sheetViews>
  <sheetFormatPr defaultColWidth="10.5" defaultRowHeight="15.75" zeroHeight="false" outlineLevelRow="0" outlineLevelCol="0"/>
  <cols>
    <col collapsed="false" customWidth="true" hidden="false" outlineLevel="0" max="5" min="5" style="0" width="11"/>
    <col collapsed="false" customWidth="true" hidden="false" outlineLevel="0" max="16" min="16" style="0" width="15"/>
    <col collapsed="false" customWidth="true" hidden="false" outlineLevel="0" max="17" min="17" style="0" width="16.84"/>
    <col collapsed="false" customWidth="true" hidden="false" outlineLevel="0" max="18" min="18" style="0" width="14.66"/>
    <col collapsed="false" customWidth="true" hidden="false" outlineLevel="0" max="19" min="19" style="0" width="14.5"/>
    <col collapsed="false" customWidth="true" hidden="false" outlineLevel="0" max="20" min="20" style="0" width="14.66"/>
  </cols>
  <sheetData>
    <row r="1" customFormat="false" ht="24" hidden="false" customHeight="false" outlineLevel="0" collapsed="false">
      <c r="A1" s="553" t="s">
        <v>2036</v>
      </c>
      <c r="B1" s="554"/>
      <c r="C1" s="554"/>
      <c r="D1" s="555"/>
      <c r="E1" s="0" t="s">
        <v>1977</v>
      </c>
      <c r="N1" s="558" t="s">
        <v>0</v>
      </c>
    </row>
    <row r="2" customFormat="false" ht="15.75" hidden="false" customHeight="false" outlineLevel="0" collapsed="false">
      <c r="A2" s="0" t="s">
        <v>1978</v>
      </c>
      <c r="E2" s="0" t="s">
        <v>1979</v>
      </c>
    </row>
    <row r="3" customFormat="false" ht="15.75" hidden="false" customHeight="false" outlineLevel="0" collapsed="false">
      <c r="E3" s="0" t="s">
        <v>1980</v>
      </c>
    </row>
    <row r="4" customFormat="false" ht="15.75" hidden="false" customHeight="false" outlineLevel="0" collapsed="false">
      <c r="E4" s="0" t="s">
        <v>1981</v>
      </c>
    </row>
    <row r="5" customFormat="false" ht="15.75" hidden="false" customHeight="false" outlineLevel="0" collapsed="false">
      <c r="E5" s="0" t="s">
        <v>1982</v>
      </c>
    </row>
    <row r="6" customFormat="false" ht="21" hidden="false" customHeight="false" outlineLevel="0" collapsed="false">
      <c r="E6" s="0" t="s">
        <v>1983</v>
      </c>
      <c r="N6" s="561" t="s">
        <v>1805</v>
      </c>
      <c r="O6" s="561" t="n">
        <v>44.7</v>
      </c>
    </row>
    <row r="7" customFormat="false" ht="15.75" hidden="false" customHeight="false" outlineLevel="0" collapsed="false">
      <c r="E7" s="0" t="s">
        <v>1984</v>
      </c>
    </row>
    <row r="8" customFormat="false" ht="15.75" hidden="false" customHeight="false" outlineLevel="0" collapsed="false">
      <c r="A8" s="106" t="s">
        <v>2037</v>
      </c>
      <c r="B8" s="106"/>
      <c r="C8" s="106"/>
      <c r="E8" s="0" t="s">
        <v>1985</v>
      </c>
    </row>
    <row r="9" customFormat="false" ht="15.75" hidden="false" customHeight="false" outlineLevel="0" collapsed="false">
      <c r="A9" s="0" t="s">
        <v>2038</v>
      </c>
    </row>
    <row r="10" customFormat="false" ht="15.75" hidden="false" customHeight="false" outlineLevel="0" collapsed="false">
      <c r="A10" s="0" t="s">
        <v>2039</v>
      </c>
    </row>
    <row r="12" customFormat="false" ht="21" hidden="false" customHeight="false" outlineLevel="0" collapsed="false">
      <c r="A12" s="566" t="s">
        <v>2040</v>
      </c>
      <c r="B12" s="566" t="s">
        <v>2041</v>
      </c>
      <c r="C12" s="566" t="s">
        <v>2042</v>
      </c>
      <c r="D12" s="566" t="s">
        <v>2043</v>
      </c>
      <c r="E12" s="566" t="s">
        <v>2044</v>
      </c>
      <c r="F12" s="566" t="s">
        <v>2045</v>
      </c>
      <c r="G12" s="566" t="s">
        <v>2046</v>
      </c>
      <c r="H12" s="566" t="s">
        <v>2047</v>
      </c>
      <c r="I12" s="566" t="s">
        <v>2048</v>
      </c>
      <c r="J12" s="566" t="s">
        <v>2049</v>
      </c>
      <c r="K12" s="566" t="s">
        <v>2050</v>
      </c>
      <c r="L12" s="514"/>
      <c r="M12" s="514"/>
      <c r="N12" s="504" t="s">
        <v>1758</v>
      </c>
      <c r="O12" s="504" t="s">
        <v>431</v>
      </c>
      <c r="P12" s="505" t="s">
        <v>1772</v>
      </c>
      <c r="Q12" s="505" t="s">
        <v>1773</v>
      </c>
      <c r="R12" s="505" t="s">
        <v>1774</v>
      </c>
      <c r="S12" s="505" t="s">
        <v>1775</v>
      </c>
      <c r="T12" s="505" t="s">
        <v>500</v>
      </c>
      <c r="U12" s="505" t="s">
        <v>1763</v>
      </c>
      <c r="V12" s="505" t="s">
        <v>501</v>
      </c>
    </row>
    <row r="13" customFormat="false" ht="15.75" hidden="false" customHeight="false" outlineLevel="0" collapsed="false">
      <c r="A13" s="0" t="n">
        <v>1951</v>
      </c>
      <c r="B13" s="0" t="n">
        <v>1</v>
      </c>
      <c r="C13" s="0" t="n">
        <v>1</v>
      </c>
      <c r="D13" s="0" t="n">
        <v>45.7979</v>
      </c>
      <c r="E13" s="0" t="n">
        <v>3.21181</v>
      </c>
      <c r="F13" s="0" t="n">
        <v>268.34</v>
      </c>
      <c r="G13" s="0" t="n">
        <v>271.46</v>
      </c>
      <c r="H13" s="0" t="n">
        <v>4.1E-006</v>
      </c>
      <c r="I13" s="0" t="n">
        <v>0.002563</v>
      </c>
      <c r="J13" s="0" t="n">
        <v>56.417</v>
      </c>
      <c r="K13" s="0" t="n">
        <v>6.486</v>
      </c>
      <c r="N13" s="0" t="n">
        <f aca="false">A13</f>
        <v>1951</v>
      </c>
      <c r="O13" s="0" t="n">
        <v>1</v>
      </c>
      <c r="P13" s="0" t="n">
        <f aca="false">F13-273.16</f>
        <v>-4.82000000000005</v>
      </c>
      <c r="Q13" s="0" t="n">
        <f aca="false">G13-273.16</f>
        <v>-1.70000000000005</v>
      </c>
      <c r="R13" s="0" t="n">
        <f aca="false">MIN(0.263*I13*1013.25*100/EXP(17.67*(G13-273.16)/(G13-29.65)),100)</f>
        <v>77.334177956221</v>
      </c>
      <c r="S13" s="0" t="n">
        <f aca="false">MIN(0.263*I13*1013.25*100/EXP(17.67*(F13-273.16)/(F13-29.65)),100)</f>
        <v>97.5856560945435</v>
      </c>
      <c r="T13" s="0" t="n">
        <f aca="false">(198.58*(1/(2/15*ACOS(-TAN(3.1416/180*$O$6)*TAN(3.1416/180*23.45*SIN((2*3.1416/365*(O13+284)))))/3.1416*180))^2+5.0551/(2/15*ACOS(-TAN(3.1416/180*$O$6)*TAN(3.1416/180*23.45*SIN((2*3.1416/365*(O13+284)))))/3.1416*180)+1.49)*J13*2.02</f>
        <v>536.064852541384</v>
      </c>
      <c r="U13" s="0" t="n">
        <f aca="false">H13*3600*24</f>
        <v>0.35424</v>
      </c>
      <c r="V13" s="0" t="n">
        <f aca="false">K13</f>
        <v>6.486</v>
      </c>
    </row>
    <row r="14" customFormat="false" ht="15.75" hidden="false" customHeight="false" outlineLevel="0" collapsed="false">
      <c r="A14" s="0" t="n">
        <v>1951</v>
      </c>
      <c r="B14" s="0" t="n">
        <v>1</v>
      </c>
      <c r="C14" s="0" t="n">
        <v>2</v>
      </c>
      <c r="D14" s="0" t="n">
        <v>45.7979</v>
      </c>
      <c r="E14" s="0" t="n">
        <v>3.21181</v>
      </c>
      <c r="F14" s="0" t="n">
        <v>266.32</v>
      </c>
      <c r="G14" s="0" t="n">
        <v>270.03</v>
      </c>
      <c r="H14" s="0" t="n">
        <v>0</v>
      </c>
      <c r="I14" s="0" t="n">
        <v>0.002151</v>
      </c>
      <c r="J14" s="0" t="n">
        <v>62.273</v>
      </c>
      <c r="K14" s="0" t="n">
        <v>3.813</v>
      </c>
      <c r="N14" s="0" t="n">
        <f aca="false">A14</f>
        <v>1951</v>
      </c>
      <c r="O14" s="0" t="n">
        <f aca="false">MOD((O13),365)+1</f>
        <v>2</v>
      </c>
      <c r="P14" s="0" t="n">
        <f aca="false">F14-273.16</f>
        <v>-6.84000000000003</v>
      </c>
      <c r="Q14" s="0" t="n">
        <f aca="false">G14-273.16</f>
        <v>-3.13000000000005</v>
      </c>
      <c r="R14" s="0" t="n">
        <f aca="false">MIN(0.263*I14*1013.25*100/EXP(17.67*(G14-273.16)/(G14-29.65)),100)</f>
        <v>72.1499599098078</v>
      </c>
      <c r="S14" s="0" t="n">
        <f aca="false">MIN(0.263*I14*1013.25*100/EXP(17.67*(F14-273.16)/(F14-29.65)),100)</f>
        <v>95.5209381055147</v>
      </c>
      <c r="T14" s="0" t="n">
        <f aca="false">(198.58*(1/(2/15*ACOS(-TAN(3.1416/180*$O$6)*TAN(3.1416/180*23.45*SIN((2*3.1416/365*(O14+284)))))/3.1416*180))^2+5.0551/(2/15*ACOS(-TAN(3.1416/180*$O$6)*TAN(3.1416/180*23.45*SIN((2*3.1416/365*(O14+284)))))/3.1416*180)+1.49)*J14*2.02</f>
        <v>590.533109752239</v>
      </c>
      <c r="U14" s="0" t="n">
        <f aca="false">H14*3600*24</f>
        <v>0</v>
      </c>
      <c r="V14" s="0" t="n">
        <f aca="false">K14</f>
        <v>3.813</v>
      </c>
    </row>
    <row r="15" customFormat="false" ht="15.75" hidden="false" customHeight="false" outlineLevel="0" collapsed="false">
      <c r="A15" s="0" t="n">
        <v>1951</v>
      </c>
      <c r="B15" s="0" t="n">
        <v>1</v>
      </c>
      <c r="C15" s="0" t="n">
        <v>3</v>
      </c>
      <c r="D15" s="0" t="n">
        <v>45.7979</v>
      </c>
      <c r="E15" s="0" t="n">
        <v>3.21181</v>
      </c>
      <c r="F15" s="0" t="n">
        <v>265.26</v>
      </c>
      <c r="G15" s="0" t="n">
        <v>269.07</v>
      </c>
      <c r="H15" s="0" t="n">
        <v>0</v>
      </c>
      <c r="I15" s="0" t="n">
        <v>0.00215</v>
      </c>
      <c r="J15" s="0" t="n">
        <v>68.487</v>
      </c>
      <c r="K15" s="0" t="n">
        <v>1.096</v>
      </c>
      <c r="N15" s="0" t="n">
        <f aca="false">A15</f>
        <v>1951</v>
      </c>
      <c r="O15" s="0" t="n">
        <f aca="false">MOD((O14),365)+1</f>
        <v>3</v>
      </c>
      <c r="P15" s="0" t="n">
        <f aca="false">F15-273.16</f>
        <v>-7.90000000000003</v>
      </c>
      <c r="Q15" s="0" t="n">
        <f aca="false">G15-273.16</f>
        <v>-4.09000000000003</v>
      </c>
      <c r="R15" s="0" t="n">
        <f aca="false">MIN(0.263*I15*1013.25*100/EXP(17.67*(G15-273.16)/(G15-29.65)),100)</f>
        <v>77.4827632962235</v>
      </c>
      <c r="S15" s="0" t="n">
        <f aca="false">MIN(0.263*I15*1013.25*100/EXP(17.67*(F15-273.16)/(F15-29.65)),100)</f>
        <v>100</v>
      </c>
      <c r="T15" s="0" t="n">
        <f aca="false">(198.58*(1/(2/15*ACOS(-TAN(3.1416/180*$O$6)*TAN(3.1416/180*23.45*SIN((2*3.1416/365*(O15+284)))))/3.1416*180))^2+5.0551/(2/15*ACOS(-TAN(3.1416/180*$O$6)*TAN(3.1416/180*23.45*SIN((2*3.1416/365*(O15+284)))))/3.1416*180)+1.49)*J15*2.02</f>
        <v>648.070095667643</v>
      </c>
      <c r="U15" s="0" t="n">
        <f aca="false">H15*3600*24</f>
        <v>0</v>
      </c>
      <c r="V15" s="0" t="n">
        <f aca="false">K15</f>
        <v>1.096</v>
      </c>
    </row>
    <row r="16" customFormat="false" ht="15.75" hidden="false" customHeight="false" outlineLevel="0" collapsed="false">
      <c r="A16" s="0" t="n">
        <v>1951</v>
      </c>
      <c r="B16" s="0" t="n">
        <v>1</v>
      </c>
      <c r="C16" s="0" t="n">
        <v>4</v>
      </c>
      <c r="D16" s="0" t="n">
        <v>45.7979</v>
      </c>
      <c r="E16" s="0" t="n">
        <v>3.21181</v>
      </c>
      <c r="F16" s="0" t="n">
        <v>264.61</v>
      </c>
      <c r="G16" s="0" t="n">
        <v>268.7</v>
      </c>
      <c r="H16" s="0" t="n">
        <v>0</v>
      </c>
      <c r="I16" s="0" t="n">
        <v>0.002153</v>
      </c>
      <c r="J16" s="0" t="n">
        <v>65.929</v>
      </c>
      <c r="K16" s="0" t="n">
        <v>0.573</v>
      </c>
      <c r="N16" s="0" t="n">
        <f aca="false">A16</f>
        <v>1951</v>
      </c>
      <c r="O16" s="0" t="n">
        <f aca="false">MOD((O15),365)+1</f>
        <v>4</v>
      </c>
      <c r="P16" s="0" t="n">
        <f aca="false">F16-273.16</f>
        <v>-8.55000000000001</v>
      </c>
      <c r="Q16" s="0" t="n">
        <f aca="false">G16-273.16</f>
        <v>-4.46000000000004</v>
      </c>
      <c r="R16" s="0" t="n">
        <f aca="false">MIN(0.263*I16*1013.25*100/EXP(17.67*(G16-273.16)/(G16-29.65)),100)</f>
        <v>79.7795014624478</v>
      </c>
      <c r="S16" s="0" t="n">
        <f aca="false">MIN(0.263*I16*1013.25*100/EXP(17.67*(F16-273.16)/(F16-29.65)),100)</f>
        <v>100</v>
      </c>
      <c r="T16" s="0" t="n">
        <f aca="false">(198.58*(1/(2/15*ACOS(-TAN(3.1416/180*$O$6)*TAN(3.1416/180*23.45*SIN((2*3.1416/365*(O16+284)))))/3.1416*180))^2+5.0551/(2/15*ACOS(-TAN(3.1416/180*$O$6)*TAN(3.1416/180*23.45*SIN((2*3.1416/365*(O16+284)))))/3.1416*180)+1.49)*J16*2.02</f>
        <v>622.433962259929</v>
      </c>
      <c r="U16" s="0" t="n">
        <f aca="false">H16*3600*24</f>
        <v>0</v>
      </c>
      <c r="V16" s="0" t="n">
        <f aca="false">K16</f>
        <v>0.573</v>
      </c>
    </row>
  </sheetData>
  <autoFilter ref="A12:V55113"/>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W55164"/>
  <sheetViews>
    <sheetView showFormulas="false" showGridLines="true" showRowColHeaders="true" showZeros="true" rightToLeft="false" tabSelected="false" showOutlineSymbols="true" defaultGridColor="true" view="normal" topLeftCell="A1" colorId="64" zoomScale="117" zoomScaleNormal="117" zoomScalePageLayoutView="100" workbookViewId="0">
      <selection pane="topLeft" activeCell="M30" activeCellId="0" sqref="M30"/>
    </sheetView>
  </sheetViews>
  <sheetFormatPr defaultColWidth="10.5" defaultRowHeight="15.75" zeroHeight="false" outlineLevelRow="0" outlineLevelCol="0"/>
  <cols>
    <col collapsed="false" customWidth="true" hidden="false" outlineLevel="0" max="17" min="17" style="0" width="15"/>
    <col collapsed="false" customWidth="true" hidden="false" outlineLevel="0" max="18" min="18" style="0" width="16.84"/>
    <col collapsed="false" customWidth="true" hidden="false" outlineLevel="0" max="19" min="19" style="0" width="14.66"/>
    <col collapsed="false" customWidth="true" hidden="false" outlineLevel="0" max="20" min="20" style="0" width="14.5"/>
    <col collapsed="false" customWidth="true" hidden="false" outlineLevel="0" max="21" min="21" style="0" width="14.66"/>
  </cols>
  <sheetData>
    <row r="1" customFormat="false" ht="24" hidden="false" customHeight="false" outlineLevel="0" collapsed="false">
      <c r="A1" s="553" t="s">
        <v>2051</v>
      </c>
      <c r="B1" s="554"/>
      <c r="C1" s="554"/>
      <c r="D1" s="555"/>
      <c r="O1" s="558" t="s">
        <v>0</v>
      </c>
    </row>
    <row r="2" customFormat="false" ht="15.75" hidden="false" customHeight="false" outlineLevel="0" collapsed="false">
      <c r="A2" s="0" t="s">
        <v>1978</v>
      </c>
      <c r="E2" s="0" t="s">
        <v>2052</v>
      </c>
      <c r="F2" s="0" t="s">
        <v>2053</v>
      </c>
      <c r="G2" s="0" t="s">
        <v>2054</v>
      </c>
    </row>
    <row r="3" customFormat="false" ht="15.75" hidden="false" customHeight="false" outlineLevel="0" collapsed="false">
      <c r="E3" s="0" t="s">
        <v>2055</v>
      </c>
      <c r="F3" s="0" t="s">
        <v>2056</v>
      </c>
      <c r="G3" s="0" t="s">
        <v>2057</v>
      </c>
    </row>
    <row r="4" customFormat="false" ht="15.75" hidden="false" customHeight="false" outlineLevel="0" collapsed="false">
      <c r="E4" s="0" t="s">
        <v>2058</v>
      </c>
      <c r="F4" s="0" t="s">
        <v>2059</v>
      </c>
      <c r="G4" s="0" t="s">
        <v>2060</v>
      </c>
    </row>
    <row r="5" customFormat="false" ht="15.75" hidden="false" customHeight="false" outlineLevel="0" collapsed="false">
      <c r="E5" s="0" t="s">
        <v>2061</v>
      </c>
      <c r="F5" s="0" t="s">
        <v>2062</v>
      </c>
      <c r="G5" s="0" t="s">
        <v>2063</v>
      </c>
    </row>
    <row r="6" customFormat="false" ht="21" hidden="false" customHeight="false" outlineLevel="0" collapsed="false">
      <c r="E6" s="0" t="s">
        <v>2064</v>
      </c>
      <c r="F6" s="0" t="s">
        <v>2065</v>
      </c>
      <c r="G6" s="0" t="s">
        <v>2066</v>
      </c>
      <c r="O6" s="561" t="s">
        <v>1805</v>
      </c>
      <c r="P6" s="561" t="n">
        <v>44.7</v>
      </c>
    </row>
    <row r="7" customFormat="false" ht="15.75" hidden="false" customHeight="false" outlineLevel="0" collapsed="false">
      <c r="E7" s="0" t="s">
        <v>2067</v>
      </c>
      <c r="F7" s="0" t="s">
        <v>2068</v>
      </c>
      <c r="G7" s="0" t="s">
        <v>2069</v>
      </c>
    </row>
    <row r="8" customFormat="false" ht="15.75" hidden="false" customHeight="false" outlineLevel="0" collapsed="false">
      <c r="A8" s="106" t="s">
        <v>2037</v>
      </c>
      <c r="B8" s="106"/>
      <c r="C8" s="106"/>
    </row>
    <row r="9" customFormat="false" ht="15.75" hidden="false" customHeight="false" outlineLevel="0" collapsed="false">
      <c r="A9" s="0" t="s">
        <v>2038</v>
      </c>
    </row>
    <row r="10" customFormat="false" ht="15.75" hidden="false" customHeight="false" outlineLevel="0" collapsed="false">
      <c r="A10" s="0" t="s">
        <v>2039</v>
      </c>
    </row>
    <row r="12" customFormat="false" ht="21" hidden="false" customHeight="false" outlineLevel="0" collapsed="false">
      <c r="A12" s="566" t="s">
        <v>2034</v>
      </c>
      <c r="B12" s="566" t="s">
        <v>1758</v>
      </c>
      <c r="C12" s="566" t="s">
        <v>1779</v>
      </c>
      <c r="D12" s="566" t="s">
        <v>2035</v>
      </c>
      <c r="E12" s="566" t="s">
        <v>381</v>
      </c>
      <c r="F12" s="566" t="s">
        <v>2070</v>
      </c>
      <c r="G12" s="566" t="s">
        <v>2071</v>
      </c>
      <c r="H12" s="566" t="s">
        <v>2048</v>
      </c>
      <c r="I12" s="566" t="s">
        <v>2072</v>
      </c>
      <c r="J12" s="566" t="s">
        <v>2049</v>
      </c>
      <c r="K12" s="566" t="s">
        <v>2050</v>
      </c>
      <c r="M12" s="514"/>
      <c r="N12" s="514"/>
      <c r="O12" s="504" t="s">
        <v>1758</v>
      </c>
      <c r="P12" s="504" t="s">
        <v>431</v>
      </c>
      <c r="Q12" s="505" t="s">
        <v>1772</v>
      </c>
      <c r="R12" s="505" t="s">
        <v>1773</v>
      </c>
      <c r="S12" s="505" t="s">
        <v>1774</v>
      </c>
      <c r="T12" s="505" t="s">
        <v>1775</v>
      </c>
      <c r="U12" s="505" t="s">
        <v>500</v>
      </c>
      <c r="V12" s="505" t="s">
        <v>1763</v>
      </c>
      <c r="W12" s="505" t="s">
        <v>501</v>
      </c>
    </row>
    <row r="13" customFormat="false" ht="15.75" hidden="false" customHeight="false" outlineLevel="0" collapsed="false">
      <c r="A13" s="0" t="n">
        <v>1279</v>
      </c>
      <c r="B13" s="0" t="n">
        <v>1950</v>
      </c>
      <c r="C13" s="0" t="n">
        <v>1</v>
      </c>
      <c r="D13" s="0" t="n">
        <v>1</v>
      </c>
      <c r="E13" s="0" t="n">
        <v>1</v>
      </c>
      <c r="F13" s="0" t="n">
        <v>12.3</v>
      </c>
      <c r="G13" s="0" t="n">
        <v>2</v>
      </c>
      <c r="H13" s="0" t="n">
        <v>4.13</v>
      </c>
      <c r="I13" s="0" t="n">
        <v>0</v>
      </c>
      <c r="J13" s="0" t="n">
        <v>52.0603</v>
      </c>
      <c r="K13" s="0" t="n">
        <v>1.11</v>
      </c>
      <c r="O13" s="0" t="n">
        <f aca="false">B13</f>
        <v>1950</v>
      </c>
      <c r="P13" s="0" t="n">
        <f aca="false">E13</f>
        <v>1</v>
      </c>
      <c r="Q13" s="0" t="n">
        <f aca="false">G13</f>
        <v>2</v>
      </c>
      <c r="R13" s="0" t="n">
        <f aca="false">F13</f>
        <v>12.3</v>
      </c>
      <c r="S13" s="0" t="n">
        <f aca="false">MIN(0.263*H13/1000*1013.25*100/EXP(17.67*F13/(F13+273.16-29.65)),100)</f>
        <v>47.0584513579539</v>
      </c>
      <c r="T13" s="0" t="n">
        <f aca="false">MIN(0.263*H13/1000*1013.25*100/EXP(17.67*G13/(G13+273.16-29.65)), 100)</f>
        <v>95.3032655305012</v>
      </c>
      <c r="U13" s="0" t="n">
        <f aca="false">(198.58*(1/(2/15*ACOS(-TAN(3.1416/180*$P$6)*TAN(3.1416/180*23.45*SIN((2*3.1416/365*(P13+284)))))/3.1416*180))^2+5.0551/(2/15*ACOS(-TAN(3.1416/180*$P$6)*TAN(3.1416/180*23.45*SIN((2*3.1416/365*(P13+284)))))/3.1416*180)+1.49)*J13*2.02</f>
        <v>494.668221329744</v>
      </c>
      <c r="V13" s="0" t="n">
        <f aca="false">I13</f>
        <v>0</v>
      </c>
      <c r="W13" s="0" t="n">
        <f aca="false">K13</f>
        <v>1.11</v>
      </c>
    </row>
    <row r="14" customFormat="false" ht="15.75" hidden="false" customHeight="false" outlineLevel="0" collapsed="false">
      <c r="A14" s="0" t="n">
        <v>1279</v>
      </c>
      <c r="B14" s="0" t="n">
        <v>1950</v>
      </c>
      <c r="C14" s="0" t="n">
        <v>1</v>
      </c>
      <c r="D14" s="0" t="n">
        <v>2</v>
      </c>
      <c r="E14" s="0" t="n">
        <v>2</v>
      </c>
      <c r="F14" s="0" t="n">
        <v>12.8</v>
      </c>
      <c r="G14" s="0" t="n">
        <v>-0.7</v>
      </c>
      <c r="H14" s="0" t="n">
        <v>3.48</v>
      </c>
      <c r="I14" s="0" t="n">
        <v>0</v>
      </c>
      <c r="J14" s="0" t="n">
        <v>86.1</v>
      </c>
      <c r="K14" s="0" t="n">
        <v>2.2</v>
      </c>
      <c r="O14" s="0" t="n">
        <f aca="false">B14</f>
        <v>1950</v>
      </c>
      <c r="P14" s="0" t="n">
        <f aca="false">E14</f>
        <v>2</v>
      </c>
      <c r="Q14" s="0" t="n">
        <f aca="false">G14</f>
        <v>-0.7</v>
      </c>
      <c r="R14" s="0" t="n">
        <f aca="false">F14</f>
        <v>12.8</v>
      </c>
      <c r="S14" s="0" t="n">
        <f aca="false">MIN(0.263*H14/1000*1013.25*100/EXP(17.67*F14/(F14+273.16-29.65)),100)</f>
        <v>38.3721827221924</v>
      </c>
      <c r="T14" s="0" t="n">
        <f aca="false">MIN(0.263*H14/1000*1013.25*100/EXP(17.67*G14/(G14+273.16-29.65)), 100)</f>
        <v>97.5831938592274</v>
      </c>
      <c r="U14" s="0" t="n">
        <f aca="false">(198.58*(1/(2/15*ACOS(-TAN(3.1416/180*$P$6)*TAN(3.1416/180*23.45*SIN((2*3.1416/365*(P14+284)))))/3.1416*180))^2+5.0551/(2/15*ACOS(-TAN(3.1416/180*$P$6)*TAN(3.1416/180*23.45*SIN((2*3.1416/365*(P14+284)))))/3.1416*180)+1.49)*J14*2.02</f>
        <v>816.483881452119</v>
      </c>
      <c r="V14" s="0" t="n">
        <f aca="false">I14</f>
        <v>0</v>
      </c>
      <c r="W14" s="0" t="n">
        <f aca="false">K14</f>
        <v>2.2</v>
      </c>
    </row>
    <row r="15" customFormat="false" ht="15.75" hidden="false" customHeight="false" outlineLevel="0" collapsed="false">
      <c r="A15" s="0" t="n">
        <v>1279</v>
      </c>
      <c r="B15" s="0" t="n">
        <v>1950</v>
      </c>
      <c r="C15" s="0" t="n">
        <v>1</v>
      </c>
      <c r="D15" s="0" t="n">
        <v>3</v>
      </c>
      <c r="E15" s="0" t="n">
        <v>3</v>
      </c>
      <c r="F15" s="0" t="n">
        <v>11</v>
      </c>
      <c r="G15" s="0" t="n">
        <v>3.8</v>
      </c>
      <c r="H15" s="0" t="n">
        <v>6.08</v>
      </c>
      <c r="I15" s="0" t="n">
        <v>3.74</v>
      </c>
      <c r="J15" s="0" t="n">
        <v>97.82</v>
      </c>
      <c r="K15" s="0" t="n">
        <v>3.3</v>
      </c>
      <c r="O15" s="0" t="n">
        <f aca="false">B15</f>
        <v>1950</v>
      </c>
      <c r="P15" s="0" t="n">
        <f aca="false">E15</f>
        <v>3</v>
      </c>
      <c r="Q15" s="0" t="n">
        <f aca="false">G15</f>
        <v>3.8</v>
      </c>
      <c r="R15" s="0" t="n">
        <f aca="false">F15</f>
        <v>11</v>
      </c>
      <c r="S15" s="0" t="n">
        <f aca="false">MIN(0.263*H15/1000*1013.25*100/EXP(17.67*F15/(F15+273.16-29.65)),100)</f>
        <v>75.4925382485966</v>
      </c>
      <c r="T15" s="0" t="n">
        <f aca="false">MIN(0.263*H15/1000*1013.25*100/EXP(17.67*G15/(G15+273.16-29.65)), 100)</f>
        <v>100</v>
      </c>
      <c r="U15" s="0" t="n">
        <f aca="false">(198.58*(1/(2/15*ACOS(-TAN(3.1416/180*$P$6)*TAN(3.1416/180*23.45*SIN((2*3.1416/365*(P15+284)))))/3.1416*180))^2+5.0551/(2/15*ACOS(-TAN(3.1416/180*$P$6)*TAN(3.1416/180*23.45*SIN((2*3.1416/365*(P15+284)))))/3.1416*180)+1.49)*J15*2.02</f>
        <v>925.638687023944</v>
      </c>
      <c r="V15" s="0" t="n">
        <f aca="false">I15</f>
        <v>3.74</v>
      </c>
      <c r="W15" s="0" t="n">
        <f aca="false">K15</f>
        <v>3.3</v>
      </c>
    </row>
    <row r="16" customFormat="false" ht="15.75" hidden="false" customHeight="false" outlineLevel="0" collapsed="false">
      <c r="A16" s="0" t="n">
        <v>1279</v>
      </c>
      <c r="B16" s="0" t="n">
        <v>1950</v>
      </c>
      <c r="C16" s="0" t="n">
        <v>1</v>
      </c>
      <c r="D16" s="0" t="n">
        <v>4</v>
      </c>
      <c r="E16" s="0" t="n">
        <v>4</v>
      </c>
      <c r="F16" s="0" t="n">
        <v>11.7</v>
      </c>
      <c r="G16" s="0" t="n">
        <v>3.2</v>
      </c>
      <c r="H16" s="0" t="n">
        <v>4.93</v>
      </c>
      <c r="I16" s="0" t="n">
        <v>0</v>
      </c>
      <c r="J16" s="0" t="n">
        <v>99.46</v>
      </c>
      <c r="K16" s="0" t="n">
        <v>2.13</v>
      </c>
      <c r="O16" s="0" t="n">
        <f aca="false">B16</f>
        <v>1950</v>
      </c>
      <c r="P16" s="0" t="n">
        <f aca="false">E16</f>
        <v>4</v>
      </c>
      <c r="Q16" s="0" t="n">
        <f aca="false">G16</f>
        <v>3.2</v>
      </c>
      <c r="R16" s="0" t="n">
        <f aca="false">F16</f>
        <v>11.7</v>
      </c>
      <c r="S16" s="0" t="n">
        <f aca="false">MIN(0.263*H16/1000*1013.25*100/EXP(17.67*F16/(F16+273.16-29.65)),100)</f>
        <v>58.4397820322315</v>
      </c>
      <c r="T16" s="0" t="n">
        <f aca="false">MIN(0.263*H16/1000*1013.25*100/EXP(17.67*G16/(G16+273.16-29.65)), 100)</f>
        <v>100</v>
      </c>
      <c r="U16" s="0" t="n">
        <f aca="false">(198.58*(1/(2/15*ACOS(-TAN(3.1416/180*$P$6)*TAN(3.1416/180*23.45*SIN((2*3.1416/365*(P16+284)))))/3.1416*180))^2+5.0551/(2/15*ACOS(-TAN(3.1416/180*$P$6)*TAN(3.1416/180*23.45*SIN((2*3.1416/365*(P16+284)))))/3.1416*180)+1.49)*J16*2.02</f>
        <v>938.999255052747</v>
      </c>
      <c r="V16" s="0" t="n">
        <f aca="false">I16</f>
        <v>0</v>
      </c>
      <c r="W16" s="0" t="n">
        <f aca="false">K16</f>
        <v>2.13</v>
      </c>
    </row>
    <row r="17" customFormat="false" ht="15.75" hidden="false" customHeight="false" outlineLevel="0" collapsed="false">
      <c r="A17" s="0" t="n">
        <v>1279</v>
      </c>
      <c r="B17" s="0" t="n">
        <v>1950</v>
      </c>
      <c r="C17" s="0" t="n">
        <v>1</v>
      </c>
      <c r="D17" s="0" t="n">
        <v>5</v>
      </c>
      <c r="E17" s="0" t="n">
        <v>5</v>
      </c>
      <c r="F17" s="0" t="n">
        <v>13</v>
      </c>
      <c r="G17" s="0" t="n">
        <v>2.1</v>
      </c>
      <c r="H17" s="0" t="n">
        <v>4.61</v>
      </c>
      <c r="I17" s="0" t="n">
        <v>0</v>
      </c>
      <c r="J17" s="0" t="n">
        <v>84.5339</v>
      </c>
      <c r="K17" s="0" t="n">
        <v>1.39</v>
      </c>
      <c r="O17" s="0" t="n">
        <f aca="false">B17</f>
        <v>1950</v>
      </c>
      <c r="P17" s="0" t="n">
        <f aca="false">E17</f>
        <v>5</v>
      </c>
      <c r="Q17" s="0" t="n">
        <f aca="false">G17</f>
        <v>2.1</v>
      </c>
      <c r="R17" s="0" t="n">
        <f aca="false">F17</f>
        <v>13</v>
      </c>
      <c r="S17" s="0" t="n">
        <f aca="false">MIN(0.263*H17/1000*1013.25*100/EXP(17.67*F17/(F17+273.16-29.65)),100)</f>
        <v>50.1710988229467</v>
      </c>
      <c r="T17" s="0" t="n">
        <f aca="false">MIN(0.263*H17/1000*1013.25*100/EXP(17.67*G17/(G17+273.16-29.65)), 100)</f>
        <v>100</v>
      </c>
      <c r="U17" s="0" t="n">
        <f aca="false">(198.58*(1/(2/15*ACOS(-TAN(3.1416/180*$P$6)*TAN(3.1416/180*23.45*SIN((2*3.1416/365*(P17+284)))))/3.1416*180))^2+5.0551/(2/15*ACOS(-TAN(3.1416/180*$P$6)*TAN(3.1416/180*23.45*SIN((2*3.1416/365*(P17+284)))))/3.1416*180)+1.49)*J17*2.02</f>
        <v>796.13301019364</v>
      </c>
      <c r="V17" s="0" t="n">
        <f aca="false">I17</f>
        <v>0</v>
      </c>
      <c r="W17" s="0" t="n">
        <f aca="false">K17</f>
        <v>1.39</v>
      </c>
    </row>
    <row r="18" customFormat="false" ht="15.75" hidden="false" customHeight="false" outlineLevel="0" collapsed="false">
      <c r="A18" s="0" t="n">
        <v>1279</v>
      </c>
      <c r="B18" s="0" t="n">
        <v>1950</v>
      </c>
      <c r="C18" s="0" t="n">
        <v>1</v>
      </c>
      <c r="D18" s="0" t="n">
        <v>6</v>
      </c>
      <c r="E18" s="0" t="n">
        <v>6</v>
      </c>
      <c r="F18" s="0" t="n">
        <v>13.4</v>
      </c>
      <c r="G18" s="0" t="n">
        <v>1.8</v>
      </c>
      <c r="H18" s="0" t="n">
        <v>4.58</v>
      </c>
      <c r="I18" s="0" t="n">
        <v>0</v>
      </c>
      <c r="J18" s="0" t="n">
        <v>84.7843</v>
      </c>
      <c r="K18" s="0" t="n">
        <v>2.14</v>
      </c>
      <c r="O18" s="0" t="n">
        <f aca="false">B18</f>
        <v>1950</v>
      </c>
      <c r="P18" s="0" t="n">
        <f aca="false">E18</f>
        <v>6</v>
      </c>
      <c r="Q18" s="0" t="n">
        <f aca="false">G18</f>
        <v>1.8</v>
      </c>
      <c r="R18" s="0" t="n">
        <f aca="false">F18</f>
        <v>13.4</v>
      </c>
      <c r="S18" s="0" t="n">
        <f aca="false">MIN(0.263*H18/1000*1013.25*100/EXP(17.67*F18/(F18+273.16-29.65)),100)</f>
        <v>48.5596527683918</v>
      </c>
      <c r="T18" s="0" t="n">
        <f aca="false">MIN(0.263*H18/1000*1013.25*100/EXP(17.67*G18/(G18+273.16-29.65)), 100)</f>
        <v>100</v>
      </c>
      <c r="U18" s="0" t="n">
        <f aca="false">(198.58*(1/(2/15*ACOS(-TAN(3.1416/180*$P$6)*TAN(3.1416/180*23.45*SIN((2*3.1416/365*(P18+284)))))/3.1416*180))^2+5.0551/(2/15*ACOS(-TAN(3.1416/180*$P$6)*TAN(3.1416/180*23.45*SIN((2*3.1416/365*(P18+284)))))/3.1416*180)+1.49)*J18*2.02</f>
        <v>796.424386831924</v>
      </c>
      <c r="V18" s="0" t="n">
        <f aca="false">I18</f>
        <v>0</v>
      </c>
      <c r="W18" s="0" t="n">
        <f aca="false">K18</f>
        <v>2.14</v>
      </c>
    </row>
    <row r="55128" customFormat="false" ht="15.75" hidden="false" customHeight="false" outlineLevel="0" collapsed="false">
      <c r="I55128" s="0" t="n">
        <v>9.08</v>
      </c>
    </row>
    <row r="55129" customFormat="false" ht="15.75" hidden="false" customHeight="false" outlineLevel="0" collapsed="false">
      <c r="I55129" s="0" t="n">
        <v>10.06</v>
      </c>
    </row>
    <row r="55130" customFormat="false" ht="15.75" hidden="false" customHeight="false" outlineLevel="0" collapsed="false">
      <c r="I55130" s="0" t="n">
        <v>9.63</v>
      </c>
    </row>
    <row r="55131" customFormat="false" ht="15.75" hidden="false" customHeight="false" outlineLevel="0" collapsed="false">
      <c r="I55131" s="0" t="n">
        <v>10.97</v>
      </c>
    </row>
    <row r="55132" customFormat="false" ht="15.75" hidden="false" customHeight="false" outlineLevel="0" collapsed="false">
      <c r="I55132" s="0" t="n">
        <v>11.13</v>
      </c>
    </row>
    <row r="55133" customFormat="false" ht="15.75" hidden="false" customHeight="false" outlineLevel="0" collapsed="false">
      <c r="I55133" s="0" t="n">
        <v>9.59</v>
      </c>
    </row>
    <row r="55134" customFormat="false" ht="15.75" hidden="false" customHeight="false" outlineLevel="0" collapsed="false">
      <c r="I55134" s="0" t="n">
        <v>7.4</v>
      </c>
    </row>
    <row r="55135" customFormat="false" ht="15.75" hidden="false" customHeight="false" outlineLevel="0" collapsed="false">
      <c r="I55135" s="0" t="n">
        <v>7.06</v>
      </c>
    </row>
    <row r="55136" customFormat="false" ht="15.75" hidden="false" customHeight="false" outlineLevel="0" collapsed="false">
      <c r="I55136" s="0" t="n">
        <v>7.63</v>
      </c>
    </row>
    <row r="55137" customFormat="false" ht="15.75" hidden="false" customHeight="false" outlineLevel="0" collapsed="false">
      <c r="I55137" s="0" t="n">
        <v>7.4</v>
      </c>
    </row>
    <row r="55138" customFormat="false" ht="15.75" hidden="false" customHeight="false" outlineLevel="0" collapsed="false">
      <c r="I55138" s="0" t="n">
        <v>7.63</v>
      </c>
    </row>
    <row r="55139" customFormat="false" ht="15.75" hidden="false" customHeight="false" outlineLevel="0" collapsed="false">
      <c r="I55139" s="0" t="n">
        <v>7.01</v>
      </c>
    </row>
    <row r="55140" customFormat="false" ht="15.75" hidden="false" customHeight="false" outlineLevel="0" collapsed="false">
      <c r="I55140" s="0" t="n">
        <v>6.8</v>
      </c>
    </row>
    <row r="55141" customFormat="false" ht="15.75" hidden="false" customHeight="false" outlineLevel="0" collapsed="false">
      <c r="I55141" s="0" t="n">
        <v>8.04</v>
      </c>
    </row>
    <row r="55142" customFormat="false" ht="15.75" hidden="false" customHeight="false" outlineLevel="0" collapsed="false">
      <c r="I55142" s="0" t="n">
        <v>8.25</v>
      </c>
    </row>
    <row r="55143" customFormat="false" ht="15.75" hidden="false" customHeight="false" outlineLevel="0" collapsed="false">
      <c r="I55143" s="0" t="n">
        <v>6.71</v>
      </c>
    </row>
    <row r="55144" customFormat="false" ht="15.75" hidden="false" customHeight="false" outlineLevel="0" collapsed="false">
      <c r="I55144" s="0" t="n">
        <v>6.96</v>
      </c>
    </row>
    <row r="55145" customFormat="false" ht="15.75" hidden="false" customHeight="false" outlineLevel="0" collapsed="false">
      <c r="I55145" s="0" t="n">
        <v>6.49</v>
      </c>
    </row>
    <row r="55146" customFormat="false" ht="15.75" hidden="false" customHeight="false" outlineLevel="0" collapsed="false">
      <c r="I55146" s="0" t="n">
        <v>7.82</v>
      </c>
    </row>
    <row r="55147" customFormat="false" ht="15.75" hidden="false" customHeight="false" outlineLevel="0" collapsed="false">
      <c r="I55147" s="0" t="n">
        <v>7.43</v>
      </c>
    </row>
    <row r="55148" customFormat="false" ht="15.75" hidden="false" customHeight="false" outlineLevel="0" collapsed="false">
      <c r="I55148" s="0" t="n">
        <v>5.88</v>
      </c>
    </row>
    <row r="55149" customFormat="false" ht="15.75" hidden="false" customHeight="false" outlineLevel="0" collapsed="false">
      <c r="I55149" s="0" t="n">
        <v>6.98</v>
      </c>
    </row>
    <row r="55150" customFormat="false" ht="15.75" hidden="false" customHeight="false" outlineLevel="0" collapsed="false">
      <c r="I55150" s="0" t="n">
        <v>6.57</v>
      </c>
    </row>
    <row r="55151" customFormat="false" ht="15.75" hidden="false" customHeight="false" outlineLevel="0" collapsed="false">
      <c r="I55151" s="0" t="n">
        <v>4.96</v>
      </c>
    </row>
    <row r="55152" customFormat="false" ht="15.75" hidden="false" customHeight="false" outlineLevel="0" collapsed="false">
      <c r="I55152" s="0" t="n">
        <v>4.64</v>
      </c>
    </row>
    <row r="55153" customFormat="false" ht="15.75" hidden="false" customHeight="false" outlineLevel="0" collapsed="false">
      <c r="I55153" s="0" t="n">
        <v>6.12</v>
      </c>
    </row>
    <row r="55154" customFormat="false" ht="15.75" hidden="false" customHeight="false" outlineLevel="0" collapsed="false">
      <c r="I55154" s="0" t="n">
        <v>6.51</v>
      </c>
    </row>
    <row r="55155" customFormat="false" ht="15.75" hidden="false" customHeight="false" outlineLevel="0" collapsed="false">
      <c r="I55155" s="0" t="n">
        <v>4.71</v>
      </c>
    </row>
    <row r="55156" customFormat="false" ht="15.75" hidden="false" customHeight="false" outlineLevel="0" collapsed="false">
      <c r="I55156" s="0" t="n">
        <v>6.32</v>
      </c>
    </row>
    <row r="55157" customFormat="false" ht="15.75" hidden="false" customHeight="false" outlineLevel="0" collapsed="false">
      <c r="I55157" s="0" t="n">
        <v>7.79</v>
      </c>
    </row>
    <row r="55158" customFormat="false" ht="15.75" hidden="false" customHeight="false" outlineLevel="0" collapsed="false">
      <c r="I55158" s="0" t="n">
        <v>7.24</v>
      </c>
    </row>
    <row r="55159" customFormat="false" ht="15.75" hidden="false" customHeight="false" outlineLevel="0" collapsed="false">
      <c r="I55159" s="0" t="n">
        <v>6.41</v>
      </c>
    </row>
    <row r="55160" customFormat="false" ht="15.75" hidden="false" customHeight="false" outlineLevel="0" collapsed="false">
      <c r="I55160" s="0" t="n">
        <v>6.59</v>
      </c>
    </row>
    <row r="55161" customFormat="false" ht="15.75" hidden="false" customHeight="false" outlineLevel="0" collapsed="false">
      <c r="I55161" s="0" t="n">
        <v>6.36</v>
      </c>
    </row>
    <row r="55162" customFormat="false" ht="15.75" hidden="false" customHeight="false" outlineLevel="0" collapsed="false">
      <c r="I55162" s="0" t="n">
        <v>6.22</v>
      </c>
    </row>
    <row r="55163" customFormat="false" ht="15.75" hidden="false" customHeight="false" outlineLevel="0" collapsed="false">
      <c r="I55163" s="0" t="n">
        <v>5.99</v>
      </c>
    </row>
    <row r="55164" customFormat="false" ht="15.75" hidden="false" customHeight="false" outlineLevel="0" collapsed="false">
      <c r="I55164" s="0" t="n">
        <v>6.29</v>
      </c>
    </row>
  </sheetData>
  <autoFilter ref="A12:W5512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3"/>
  <sheetViews>
    <sheetView showFormulas="false" showGridLines="true" showRowColHeaders="true" showZeros="true" rightToLeft="false" tabSelected="false" showOutlineSymbols="true" defaultGridColor="true" view="normal" topLeftCell="A2" colorId="64" zoomScale="116" zoomScaleNormal="116" zoomScalePageLayoutView="100" workbookViewId="0">
      <selection pane="topLeft" activeCell="G15" activeCellId="0" sqref="G15"/>
    </sheetView>
  </sheetViews>
  <sheetFormatPr defaultColWidth="10.5" defaultRowHeight="15.75" zeroHeight="false" outlineLevelRow="0" outlineLevelCol="0"/>
  <cols>
    <col collapsed="false" customWidth="true" hidden="false" outlineLevel="0" max="1" min="1" style="0" width="19.5"/>
    <col collapsed="false" customWidth="true" hidden="false" outlineLevel="0" max="5" min="5" style="0" width="9.66"/>
    <col collapsed="false" customWidth="true" hidden="false" outlineLevel="0" max="6" min="6" style="0" width="10"/>
    <col collapsed="false" customWidth="true" hidden="false" outlineLevel="0" max="11" min="11" style="0" width="5.83"/>
    <col collapsed="false" customWidth="true" hidden="false" outlineLevel="0" max="12" min="12" style="0" width="8.5"/>
    <col collapsed="false" customWidth="true" hidden="false" outlineLevel="0" max="13" min="13" style="0" width="7.83"/>
    <col collapsed="false" customWidth="true" hidden="false" outlineLevel="0" max="14" min="14" style="0" width="7.34"/>
    <col collapsed="false" customWidth="true" hidden="false" outlineLevel="0" max="15" min="15" style="0" width="6.66"/>
    <col collapsed="false" customWidth="true" hidden="false" outlineLevel="0" max="16" min="16" style="0" width="7.83"/>
    <col collapsed="false" customWidth="true" hidden="false" outlineLevel="0" max="17" min="17" style="0" width="8"/>
    <col collapsed="false" customWidth="true" hidden="false" outlineLevel="0" max="18" min="18" style="0" width="8.66"/>
    <col collapsed="false" customWidth="true" hidden="false" outlineLevel="0" max="19" min="19" style="0" width="6.83"/>
    <col collapsed="false" customWidth="true" hidden="false" outlineLevel="0" max="24" min="20" style="0" width="8.5"/>
  </cols>
  <sheetData>
    <row r="1" customFormat="false" ht="21" hidden="false" customHeight="false" outlineLevel="0" collapsed="false">
      <c r="A1" s="567" t="s">
        <v>2073</v>
      </c>
      <c r="B1" s="568"/>
      <c r="D1" s="569" t="s">
        <v>2074</v>
      </c>
      <c r="E1" s="570"/>
      <c r="F1" s="570"/>
      <c r="G1" s="98" t="s">
        <v>2075</v>
      </c>
      <c r="H1" s="571"/>
      <c r="I1" s="571"/>
      <c r="J1" s="571"/>
      <c r="K1" s="572"/>
      <c r="L1" s="573" t="s">
        <v>2076</v>
      </c>
      <c r="M1" s="573"/>
      <c r="N1" s="573"/>
      <c r="O1" s="573"/>
      <c r="P1" s="574"/>
      <c r="Q1" s="575" t="s">
        <v>2077</v>
      </c>
      <c r="R1" s="576"/>
      <c r="S1" s="577"/>
      <c r="U1" s="420" t="s">
        <v>2078</v>
      </c>
      <c r="V1" s="0" t="n">
        <v>1.1</v>
      </c>
    </row>
    <row r="2" customFormat="false" ht="15.75" hidden="false" customHeight="false" outlineLevel="0" collapsed="false">
      <c r="D2" s="578" t="s">
        <v>2079</v>
      </c>
      <c r="E2" s="578" t="s">
        <v>2080</v>
      </c>
      <c r="F2" s="578" t="s">
        <v>2081</v>
      </c>
      <c r="G2" s="579" t="s">
        <v>2082</v>
      </c>
      <c r="H2" s="579" t="s">
        <v>2083</v>
      </c>
      <c r="I2" s="579" t="s">
        <v>2084</v>
      </c>
      <c r="J2" s="579" t="s">
        <v>2083</v>
      </c>
      <c r="K2" s="580" t="s">
        <v>2085</v>
      </c>
      <c r="L2" s="466" t="s">
        <v>2086</v>
      </c>
      <c r="M2" s="466" t="s">
        <v>2087</v>
      </c>
      <c r="N2" s="466" t="s">
        <v>2088</v>
      </c>
      <c r="O2" s="466" t="s">
        <v>2089</v>
      </c>
      <c r="P2" s="466" t="s">
        <v>2090</v>
      </c>
      <c r="Q2" s="71" t="s">
        <v>2091</v>
      </c>
      <c r="R2" s="71" t="s">
        <v>2092</v>
      </c>
      <c r="S2" s="71" t="s">
        <v>2093</v>
      </c>
      <c r="T2" s="176" t="s">
        <v>2094</v>
      </c>
      <c r="U2" s="420" t="s">
        <v>2095</v>
      </c>
      <c r="V2" s="420" t="s">
        <v>2096</v>
      </c>
      <c r="W2" s="420"/>
      <c r="X2" s="420"/>
    </row>
    <row r="3" customFormat="false" ht="15.75" hidden="false" customHeight="false" outlineLevel="0" collapsed="false">
      <c r="D3" s="181" t="n">
        <f aca="false">E3+F3</f>
        <v>1</v>
      </c>
      <c r="E3" s="181" t="n">
        <f aca="false">$B$7*$B$11*H3/100</f>
        <v>0.75</v>
      </c>
      <c r="F3" s="181" t="n">
        <f aca="false">$B$7*$B$12*(100-T3)/100</f>
        <v>0.25</v>
      </c>
      <c r="G3" s="181" t="n">
        <f aca="false">100*D3/$B$7</f>
        <v>100</v>
      </c>
      <c r="H3" s="181" t="n">
        <f aca="false">(1-K3)*100</f>
        <v>100</v>
      </c>
      <c r="I3" s="181" t="n">
        <f aca="false">F3/($B$7*$B$12)*100</f>
        <v>100</v>
      </c>
      <c r="J3" s="181" t="n">
        <f aca="false">H3/100</f>
        <v>1</v>
      </c>
      <c r="K3" s="581" t="n">
        <v>0</v>
      </c>
      <c r="L3" s="181" t="n">
        <f aca="false">MAX(-$B$13-$B$10*(K3),0)</f>
        <v>1.5</v>
      </c>
      <c r="M3" s="181" t="n">
        <f aca="false">$B$13/(1-K3)</f>
        <v>-1.5</v>
      </c>
      <c r="N3" s="181" t="n">
        <f aca="false">M3+L3</f>
        <v>0</v>
      </c>
      <c r="O3" s="181" t="n">
        <f aca="false">-1/M3</f>
        <v>0.666666666666667</v>
      </c>
      <c r="P3" s="181"/>
      <c r="Q3" s="181" t="n">
        <f aca="false">(D3-D4)/(N3-N4)</f>
        <v>0.0718857118483781</v>
      </c>
      <c r="R3" s="181" t="n">
        <f aca="false">(E3-E4)/(N3-N4)</f>
        <v>0.065131578947368</v>
      </c>
      <c r="S3" s="181" t="n">
        <f aca="false">(F3-F4)/(N3-N4)</f>
        <v>0.00675413290101039</v>
      </c>
      <c r="T3" s="181" t="n">
        <f aca="false">FALSE()</f>
        <v>0</v>
      </c>
      <c r="U3" s="181" t="n">
        <f aca="false">MAX(IF(H3/100&gt;($B$25),$B$41,$B$41*(1+(H3/100-$B$25)*$V$1)),0)</f>
        <v>3</v>
      </c>
      <c r="V3" s="181" t="n">
        <f aca="false">MAX(IF(H3/100&gt;$B$25,$B$41,$B$41*EXP((H3/100-$B$25)*$V$1)),0)</f>
        <v>3</v>
      </c>
      <c r="W3" s="181" t="n">
        <v>1</v>
      </c>
      <c r="X3" s="181"/>
      <c r="Y3" s="0" t="n">
        <f aca="false">B10*B13/5</f>
        <v>-3</v>
      </c>
    </row>
    <row r="4" customFormat="false" ht="15.75" hidden="false" customHeight="false" outlineLevel="0" collapsed="false">
      <c r="A4" s="173" t="s">
        <v>2097</v>
      </c>
      <c r="B4" s="173" t="n">
        <v>100</v>
      </c>
      <c r="D4" s="181" t="n">
        <f aca="false">E4+F4</f>
        <v>0.991722251362914</v>
      </c>
      <c r="E4" s="181" t="n">
        <f aca="false">$B$7*$B$11*H4/100</f>
        <v>0.7425</v>
      </c>
      <c r="F4" s="181" t="n">
        <f aca="false">$B$7*$B$12*(100-T4)/100</f>
        <v>0.249222251362914</v>
      </c>
      <c r="G4" s="181" t="n">
        <f aca="false">100*D4/$B$7</f>
        <v>99.1722251362914</v>
      </c>
      <c r="H4" s="181" t="n">
        <f aca="false">(1-K4)*100</f>
        <v>99</v>
      </c>
      <c r="I4" s="181" t="n">
        <f aca="false">F4/($B$7*$B$12)*100</f>
        <v>99.6889005451656</v>
      </c>
      <c r="J4" s="181" t="n">
        <f aca="false">H4/100</f>
        <v>0.99</v>
      </c>
      <c r="K4" s="581" t="n">
        <f aca="false">K3+0.01</f>
        <v>0.01</v>
      </c>
      <c r="L4" s="181" t="n">
        <f aca="false">MAX(-$B$13-$B$10*(K4),0)</f>
        <v>1.4</v>
      </c>
      <c r="M4" s="181" t="n">
        <f aca="false">$B$13/(1-K4)</f>
        <v>-1.51515151515152</v>
      </c>
      <c r="N4" s="181" t="n">
        <f aca="false">M4+L4</f>
        <v>-0.115151515151515</v>
      </c>
      <c r="O4" s="181" t="n">
        <f aca="false">-1/M4</f>
        <v>0.66</v>
      </c>
      <c r="P4" s="181" t="n">
        <f aca="false">-1/N4</f>
        <v>8.68421052631578</v>
      </c>
      <c r="Q4" s="181" t="n">
        <f aca="false">(D4-D5)/(N4-N5)</f>
        <v>0.0667000555088175</v>
      </c>
      <c r="R4" s="181" t="n">
        <f aca="false">(E4-E5)/(N4-N5)</f>
        <v>0.0649571505088383</v>
      </c>
      <c r="S4" s="181" t="n">
        <f aca="false">(F4-F5)/(N4-N5)</f>
        <v>0.00174290499997844</v>
      </c>
      <c r="T4" s="181" t="n">
        <f aca="false">100/(1+EXP($B$19/25*(N4-$B$18)))</f>
        <v>0.311099454834419</v>
      </c>
      <c r="U4" s="181" t="n">
        <f aca="false">MAX(IF(H4/100&gt;($B$25),$B$41,$B$41*(1+(H4/100-$B$25)*$V$1)),0)</f>
        <v>3</v>
      </c>
      <c r="V4" s="181" t="n">
        <f aca="false">MAX(IF(H4/100&gt;$B$25,$B$41,$B$41*EXP((H4/100-$B$25)*$V$1)),0)</f>
        <v>3</v>
      </c>
      <c r="W4" s="181" t="n">
        <v>1</v>
      </c>
      <c r="X4" s="181"/>
    </row>
    <row r="5" customFormat="false" ht="15.75" hidden="false" customHeight="false" outlineLevel="0" collapsed="false">
      <c r="A5" s="135" t="s">
        <v>2098</v>
      </c>
      <c r="B5" s="135" t="n">
        <v>100</v>
      </c>
      <c r="D5" s="181" t="n">
        <f aca="false">E5+F5</f>
        <v>0.984021014279738</v>
      </c>
      <c r="E5" s="181" t="n">
        <f aca="false">$B$7*$B$11*H5/100</f>
        <v>0.735</v>
      </c>
      <c r="F5" s="181" t="n">
        <f aca="false">$B$7*$B$12*(100-T5)/100</f>
        <v>0.249021014279738</v>
      </c>
      <c r="G5" s="181" t="n">
        <f aca="false">100*D5/$B$7</f>
        <v>98.4021014279738</v>
      </c>
      <c r="H5" s="181" t="n">
        <f aca="false">(1-K5)*100</f>
        <v>98</v>
      </c>
      <c r="I5" s="181" t="n">
        <f aca="false">F5/($B$7*$B$12)*100</f>
        <v>99.6084057118951</v>
      </c>
      <c r="J5" s="181" t="n">
        <f aca="false">H5/100</f>
        <v>0.98</v>
      </c>
      <c r="K5" s="581" t="n">
        <f aca="false">K4+0.01</f>
        <v>0.02</v>
      </c>
      <c r="L5" s="181" t="n">
        <f aca="false">MAX(-$B$13-$B$10*(K5),0)</f>
        <v>1.3</v>
      </c>
      <c r="M5" s="181" t="n">
        <f aca="false">$B$13/(1-K5)</f>
        <v>-1.53061224489796</v>
      </c>
      <c r="N5" s="181" t="n">
        <f aca="false">M5+L5</f>
        <v>-0.230612244897959</v>
      </c>
      <c r="O5" s="181" t="n">
        <f aca="false">-1/M5</f>
        <v>0.653333333333333</v>
      </c>
      <c r="P5" s="181" t="n">
        <f aca="false">-1/N5</f>
        <v>4.33628318584071</v>
      </c>
      <c r="Q5" s="181" t="n">
        <f aca="false">(D5-D6)/(N5-N6)</f>
        <v>0.0669706617911623</v>
      </c>
      <c r="R5" s="181" t="n">
        <f aca="false">(E5-E6)/(N5-N6)</f>
        <v>0.0647783027439573</v>
      </c>
      <c r="S5" s="181" t="n">
        <f aca="false">(F5-F6)/(N5-N6)</f>
        <v>0.00219235904720546</v>
      </c>
      <c r="T5" s="181" t="n">
        <f aca="false">100/(1+EXP($B$19/25*(N5-$B$18)))</f>
        <v>0.391594288104911</v>
      </c>
      <c r="U5" s="181" t="n">
        <f aca="false">MAX(IF(H5/100&gt;($B$25),$B$41,$B$41*(1+(H5/100-$B$25)*$V$1)),0)</f>
        <v>3</v>
      </c>
      <c r="V5" s="181" t="n">
        <f aca="false">MAX(IF(H5/100&gt;$B$25,$B$41,$B$41*EXP((H5/100-$B$25)*$V$1)),0)</f>
        <v>3</v>
      </c>
      <c r="W5" s="181" t="n">
        <v>1</v>
      </c>
      <c r="X5" s="181"/>
    </row>
    <row r="6" customFormat="false" ht="15.75" hidden="false" customHeight="false" outlineLevel="0" collapsed="false">
      <c r="D6" s="181" t="n">
        <f aca="false">E6+F6</f>
        <v>0.976267184028596</v>
      </c>
      <c r="E6" s="181" t="n">
        <f aca="false">$B$7*$B$11*H6/100</f>
        <v>0.7275</v>
      </c>
      <c r="F6" s="181" t="n">
        <f aca="false">$B$7*$B$12*(100-T6)/100</f>
        <v>0.248767184028596</v>
      </c>
      <c r="G6" s="181" t="n">
        <f aca="false">100*D6/$B$7</f>
        <v>97.6267184028596</v>
      </c>
      <c r="H6" s="181" t="n">
        <f aca="false">(1-K6)*100</f>
        <v>97</v>
      </c>
      <c r="I6" s="181" t="n">
        <f aca="false">F6/($B$7*$B$12)*100</f>
        <v>99.5068736114384</v>
      </c>
      <c r="J6" s="181" t="n">
        <f aca="false">H6/100</f>
        <v>0.97</v>
      </c>
      <c r="K6" s="581" t="n">
        <f aca="false">K5+0.01</f>
        <v>0.03</v>
      </c>
      <c r="L6" s="181" t="n">
        <f aca="false">MAX(-$B$13-$B$10*(K6),0)</f>
        <v>1.2</v>
      </c>
      <c r="M6" s="181" t="n">
        <f aca="false">$B$13/(1-K6)</f>
        <v>-1.54639175257732</v>
      </c>
      <c r="N6" s="181" t="n">
        <f aca="false">M6+L6</f>
        <v>-0.34639175257732</v>
      </c>
      <c r="O6" s="181" t="n">
        <f aca="false">-1/M6</f>
        <v>0.646666666666667</v>
      </c>
      <c r="P6" s="181" t="n">
        <f aca="false">-1/N6</f>
        <v>2.88690476190476</v>
      </c>
      <c r="Q6" s="181" t="n">
        <f aca="false">(D6-D7)/(N6-N7)</f>
        <v>0.0673530733544088</v>
      </c>
      <c r="R6" s="181" t="n">
        <f aca="false">(E6-E7)/(N6-N7)</f>
        <v>0.0645948945615989</v>
      </c>
      <c r="S6" s="181" t="n">
        <f aca="false">(F6-F7)/(N6-N7)</f>
        <v>0.00275817879280991</v>
      </c>
      <c r="T6" s="181" t="n">
        <f aca="false">100/(1+EXP($B$19/25*(N6-$B$18)))</f>
        <v>0.493126388561654</v>
      </c>
      <c r="U6" s="181" t="n">
        <f aca="false">MAX(IF(H6/100&gt;($B$25),$B$41,$B$41*(1+(H6/100-$B$25)*$V$1)),0)</f>
        <v>3</v>
      </c>
      <c r="V6" s="181" t="n">
        <f aca="false">MAX(IF(H6/100&gt;$B$25,$B$41,$B$41*EXP((H6/100-$B$25)*$V$1)),0)</f>
        <v>3</v>
      </c>
      <c r="W6" s="181" t="n">
        <v>1</v>
      </c>
      <c r="X6" s="181"/>
    </row>
    <row r="7" customFormat="false" ht="15.75" hidden="false" customHeight="false" outlineLevel="0" collapsed="false">
      <c r="A7" s="469" t="s">
        <v>2099</v>
      </c>
      <c r="B7" s="31" t="n">
        <f aca="false">B5*B4/10000</f>
        <v>1</v>
      </c>
      <c r="D7" s="181" t="n">
        <f aca="false">E7+F7</f>
        <v>0.968446936722884</v>
      </c>
      <c r="E7" s="181" t="n">
        <f aca="false">$B$7*$B$11*H7/100</f>
        <v>0.72</v>
      </c>
      <c r="F7" s="181" t="n">
        <f aca="false">$B$7*$B$12*(100-T7)/100</f>
        <v>0.248446936722884</v>
      </c>
      <c r="G7" s="181" t="n">
        <f aca="false">100*D7/$B$7</f>
        <v>96.8446936722884</v>
      </c>
      <c r="H7" s="181" t="n">
        <f aca="false">(1-K7)*100</f>
        <v>96</v>
      </c>
      <c r="I7" s="181" t="n">
        <f aca="false">F7/($B$7*$B$12)*100</f>
        <v>99.3787746891537</v>
      </c>
      <c r="J7" s="181" t="n">
        <f aca="false">H7/100</f>
        <v>0.96</v>
      </c>
      <c r="K7" s="581" t="n">
        <f aca="false">K6+0.01</f>
        <v>0.04</v>
      </c>
      <c r="L7" s="181" t="n">
        <f aca="false">MAX(-$B$13-$B$10*(K7),0)</f>
        <v>1.1</v>
      </c>
      <c r="M7" s="181" t="n">
        <f aca="false">$B$13/(1-K7)</f>
        <v>-1.5625</v>
      </c>
      <c r="N7" s="181" t="n">
        <f aca="false">M7+L7</f>
        <v>-0.4625</v>
      </c>
      <c r="O7" s="181" t="n">
        <f aca="false">-1/M7</f>
        <v>0.64</v>
      </c>
      <c r="P7" s="181" t="n">
        <f aca="false">-1/N7</f>
        <v>2.16216216216216</v>
      </c>
      <c r="Q7" s="181" t="n">
        <f aca="false">(D7-D8)/(N7-N8)</f>
        <v>0.0678770182752938</v>
      </c>
      <c r="R7" s="181" t="n">
        <f aca="false">(E7-E8)/(N7-N8)</f>
        <v>0.0644067796610165</v>
      </c>
      <c r="S7" s="181" t="n">
        <f aca="false">(F7-F8)/(N7-N8)</f>
        <v>0.00347023861427754</v>
      </c>
      <c r="T7" s="181" t="n">
        <f aca="false">100/(1+EXP($B$19/25*(N7-$B$18)))</f>
        <v>0.621225310846271</v>
      </c>
      <c r="U7" s="181" t="n">
        <f aca="false">MAX(IF(H7/100&gt;($B$25),$B$41,$B$41*(1+(H7/100-$B$25)*$V$1)),0)</f>
        <v>3</v>
      </c>
      <c r="V7" s="181" t="n">
        <f aca="false">MAX(IF(H7/100&gt;$B$25,$B$41,$B$41*EXP((H7/100-$B$25)*$V$1)),0)</f>
        <v>3</v>
      </c>
      <c r="W7" s="181" t="n">
        <v>1</v>
      </c>
      <c r="X7" s="181"/>
    </row>
    <row r="8" customFormat="false" ht="15.75" hidden="false" customHeight="false" outlineLevel="0" collapsed="false">
      <c r="D8" s="181" t="n">
        <f aca="false">E8+F8</f>
        <v>0.960542836568459</v>
      </c>
      <c r="E8" s="181" t="n">
        <f aca="false">$B$7*$B$11*H8/100</f>
        <v>0.7125</v>
      </c>
      <c r="F8" s="181" t="n">
        <f aca="false">$B$7*$B$12*(100-T8)/100</f>
        <v>0.248042836568459</v>
      </c>
      <c r="G8" s="181" t="n">
        <f aca="false">100*D8/$B$7</f>
        <v>96.0542836568459</v>
      </c>
      <c r="H8" s="181" t="n">
        <f aca="false">(1-K8)*100</f>
        <v>95</v>
      </c>
      <c r="I8" s="181" t="n">
        <f aca="false">F8/($B$7*$B$12)*100</f>
        <v>99.2171346273834</v>
      </c>
      <c r="J8" s="181" t="n">
        <f aca="false">H8/100</f>
        <v>0.95</v>
      </c>
      <c r="K8" s="581" t="n">
        <f aca="false">K7+0.01</f>
        <v>0.05</v>
      </c>
      <c r="L8" s="181" t="n">
        <f aca="false">MAX(-$B$13-$B$10*(K8),0)</f>
        <v>1</v>
      </c>
      <c r="M8" s="181" t="n">
        <f aca="false">$B$13/(1-K8)</f>
        <v>-1.57894736842105</v>
      </c>
      <c r="N8" s="181" t="n">
        <f aca="false">M8+L8</f>
        <v>-0.578947368421053</v>
      </c>
      <c r="O8" s="181" t="n">
        <f aca="false">-1/M8</f>
        <v>0.633333333333333</v>
      </c>
      <c r="P8" s="181" t="n">
        <f aca="false">-1/N8</f>
        <v>1.72727272727273</v>
      </c>
      <c r="Q8" s="181" t="n">
        <f aca="false">(D8-D9)/(N8-N9)</f>
        <v>0.0685795823073038</v>
      </c>
      <c r="R8" s="181" t="n">
        <f aca="false">(E8-E9)/(N8-N9)</f>
        <v>0.0642138063279007</v>
      </c>
      <c r="S8" s="181" t="n">
        <f aca="false">(F8-F9)/(N8-N9)</f>
        <v>0.00436577597940307</v>
      </c>
      <c r="T8" s="181" t="n">
        <f aca="false">100/(1+EXP($B$19/25*(N8-$B$18)))</f>
        <v>0.782865372616569</v>
      </c>
      <c r="U8" s="181" t="n">
        <f aca="false">MAX(IF(H8/100&gt;($B$25),$B$41,$B$41*(1+(H8/100-$B$25)*$V$1)),0)</f>
        <v>3</v>
      </c>
      <c r="V8" s="181" t="n">
        <f aca="false">MAX(IF(H8/100&gt;$B$25,$B$41,$B$41*EXP((H8/100-$B$25)*$V$1)),0)</f>
        <v>3</v>
      </c>
      <c r="W8" s="181" t="n">
        <v>1</v>
      </c>
      <c r="X8" s="181"/>
    </row>
    <row r="9" customFormat="false" ht="15.75" hidden="false" customHeight="false" outlineLevel="0" collapsed="false">
      <c r="A9" s="582" t="s">
        <v>2100</v>
      </c>
      <c r="D9" s="181" t="n">
        <f aca="false">E9+F9</f>
        <v>0.952532925667393</v>
      </c>
      <c r="E9" s="181" t="n">
        <f aca="false">$B$7*$B$11*H9/100</f>
        <v>0.705</v>
      </c>
      <c r="F9" s="181" t="n">
        <f aca="false">$B$7*$B$12*(100-T9)/100</f>
        <v>0.247532925667393</v>
      </c>
      <c r="G9" s="181" t="n">
        <f aca="false">100*D9/$B$7</f>
        <v>95.2532925667393</v>
      </c>
      <c r="H9" s="181" t="n">
        <f aca="false">(1-K9)*100</f>
        <v>94</v>
      </c>
      <c r="I9" s="181" t="n">
        <f aca="false">F9/($B$7*$B$12)*100</f>
        <v>99.0131702669571</v>
      </c>
      <c r="J9" s="181" t="n">
        <f aca="false">H9/100</f>
        <v>0.94</v>
      </c>
      <c r="K9" s="581" t="n">
        <f aca="false">K8+0.01</f>
        <v>0.06</v>
      </c>
      <c r="L9" s="181" t="n">
        <f aca="false">MAX(-$B$13-$B$10*(K9),0)</f>
        <v>0.9</v>
      </c>
      <c r="M9" s="181" t="n">
        <f aca="false">$B$13/(1-K9)</f>
        <v>-1.59574468085106</v>
      </c>
      <c r="N9" s="181" t="n">
        <f aca="false">M9+L9</f>
        <v>-0.695744680851064</v>
      </c>
      <c r="O9" s="181" t="n">
        <f aca="false">-1/M9</f>
        <v>0.626666666666667</v>
      </c>
      <c r="P9" s="181" t="n">
        <f aca="false">-1/N9</f>
        <v>1.43730886850153</v>
      </c>
      <c r="Q9" s="181" t="n">
        <f aca="false">(D9-D10)/(N9-N10)</f>
        <v>0.069506791673293</v>
      </c>
      <c r="R9" s="181" t="n">
        <f aca="false">(E9-E10)/(N9-N10)</f>
        <v>0.0640158172231982</v>
      </c>
      <c r="S9" s="181" t="n">
        <f aca="false">(F9-F10)/(N9-N10)</f>
        <v>0.00549097445009458</v>
      </c>
      <c r="T9" s="181" t="n">
        <f aca="false">100/(1+EXP($B$19/25*(N9-$B$18)))</f>
        <v>0.986829733042887</v>
      </c>
      <c r="U9" s="181" t="n">
        <f aca="false">MAX(IF(H9/100&gt;($B$25),$B$41,$B$41*(1+(H9/100-$B$25)*$V$1)),0)</f>
        <v>3</v>
      </c>
      <c r="V9" s="181" t="n">
        <f aca="false">MAX(IF(H9/100&gt;$B$25,$B$41,$B$41*EXP((H9/100-$B$25)*$V$1)),0)</f>
        <v>3</v>
      </c>
      <c r="W9" s="181" t="n">
        <v>1</v>
      </c>
      <c r="X9" s="181"/>
    </row>
    <row r="10" customFormat="false" ht="15.75" hidden="false" customHeight="false" outlineLevel="0" collapsed="false">
      <c r="A10" s="469" t="s">
        <v>2101</v>
      </c>
      <c r="B10" s="71" t="n">
        <v>10</v>
      </c>
      <c r="D10" s="181" t="n">
        <f aca="false">E10+F10</f>
        <v>0.944389611090432</v>
      </c>
      <c r="E10" s="181" t="n">
        <f aca="false">$B$7*$B$11*H10/100</f>
        <v>0.6975</v>
      </c>
      <c r="F10" s="181" t="n">
        <f aca="false">$B$7*$B$12*(100-T10)/100</f>
        <v>0.246889611090432</v>
      </c>
      <c r="G10" s="181" t="n">
        <f aca="false">100*D10/$B$7</f>
        <v>94.4389611090432</v>
      </c>
      <c r="H10" s="181" t="n">
        <f aca="false">(1-K10)*100</f>
        <v>93</v>
      </c>
      <c r="I10" s="181" t="n">
        <f aca="false">F10/($B$7*$B$12)*100</f>
        <v>98.755844436173</v>
      </c>
      <c r="J10" s="181" t="n">
        <f aca="false">H10/100</f>
        <v>0.93</v>
      </c>
      <c r="K10" s="581" t="n">
        <f aca="false">K9+0.01</f>
        <v>0.07</v>
      </c>
      <c r="L10" s="181" t="n">
        <f aca="false">MAX(-$B$13-$B$10*(K10),0)</f>
        <v>0.8</v>
      </c>
      <c r="M10" s="181" t="n">
        <f aca="false">$B$13/(1-K10)</f>
        <v>-1.61290322580645</v>
      </c>
      <c r="N10" s="181" t="n">
        <f aca="false">M10+L10</f>
        <v>-0.812903225806452</v>
      </c>
      <c r="O10" s="181" t="n">
        <f aca="false">-1/M10</f>
        <v>0.62</v>
      </c>
      <c r="P10" s="181" t="n">
        <f aca="false">-1/N10</f>
        <v>1.23015873015873</v>
      </c>
      <c r="Q10" s="181" t="n">
        <f aca="false">(D10-D11)/(N10-N11)</f>
        <v>0.0707153770431925</v>
      </c>
      <c r="R10" s="181" t="n">
        <f aca="false">(E10-E11)/(N10-N11)</f>
        <v>0.0638126491646785</v>
      </c>
      <c r="S10" s="181" t="n">
        <f aca="false">(F10-F11)/(N10-N11)</f>
        <v>0.00690272787851447</v>
      </c>
      <c r="T10" s="181" t="n">
        <f aca="false">100/(1+EXP($B$19/25*(N10-$B$18)))</f>
        <v>1.24415556382699</v>
      </c>
      <c r="U10" s="181" t="n">
        <f aca="false">MAX(IF(H10/100&gt;($B$25),$B$41,$B$41*(1+(H10/100-$B$25)*$V$1)),0)</f>
        <v>3</v>
      </c>
      <c r="V10" s="181" t="n">
        <f aca="false">MAX(IF(H10/100&gt;$B$25,$B$41,$B$41*EXP((H10/100-$B$25)*$V$1)),0)</f>
        <v>3</v>
      </c>
      <c r="W10" s="181" t="n">
        <v>1</v>
      </c>
      <c r="X10" s="181"/>
    </row>
    <row r="11" customFormat="false" ht="15.75" hidden="false" customHeight="false" outlineLevel="0" collapsed="false">
      <c r="A11" s="469" t="s">
        <v>2102</v>
      </c>
      <c r="B11" s="71" t="n">
        <v>0.75</v>
      </c>
      <c r="D11" s="181" t="n">
        <f aca="false">E11+F11</f>
        <v>0.936078322736688</v>
      </c>
      <c r="E11" s="181" t="n">
        <f aca="false">$B$7*$B$11*H11/100</f>
        <v>0.69</v>
      </c>
      <c r="F11" s="181" t="n">
        <f aca="false">$B$7*$B$12*(100-T11)/100</f>
        <v>0.246078322736688</v>
      </c>
      <c r="G11" s="181" t="n">
        <f aca="false">100*D11/$B$7</f>
        <v>93.6078322736688</v>
      </c>
      <c r="H11" s="181" t="n">
        <f aca="false">(1-K11)*100</f>
        <v>92</v>
      </c>
      <c r="I11" s="181" t="n">
        <f aca="false">F11/($B$7*$B$12)*100</f>
        <v>98.4313290946754</v>
      </c>
      <c r="J11" s="181" t="n">
        <f aca="false">H11/100</f>
        <v>0.92</v>
      </c>
      <c r="K11" s="581" t="n">
        <f aca="false">K10+0.01</f>
        <v>0.08</v>
      </c>
      <c r="L11" s="181" t="n">
        <f aca="false">MAX(-$B$13-$B$10*(K11),0)</f>
        <v>0.7</v>
      </c>
      <c r="M11" s="181" t="n">
        <f aca="false">$B$13/(1-K11)</f>
        <v>-1.6304347826087</v>
      </c>
      <c r="N11" s="181" t="n">
        <f aca="false">M11+L11</f>
        <v>-0.930434782608696</v>
      </c>
      <c r="O11" s="181" t="n">
        <f aca="false">-1/M11</f>
        <v>0.613333333333333</v>
      </c>
      <c r="P11" s="181" t="n">
        <f aca="false">-1/N11</f>
        <v>1.07476635514019</v>
      </c>
      <c r="Q11" s="181" t="n">
        <f aca="false">(D11-D12)/(N11-N12)</f>
        <v>0.0722746232089028</v>
      </c>
      <c r="R11" s="181" t="n">
        <f aca="false">(E11-E12)/(N11-N12)</f>
        <v>0.0636041329011342</v>
      </c>
      <c r="S11" s="181" t="n">
        <f aca="false">(F11-F12)/(N11-N12)</f>
        <v>0.00867049030776811</v>
      </c>
      <c r="T11" s="181" t="n">
        <f aca="false">100/(1+EXP($B$19/25*(N11-$B$18)))</f>
        <v>1.56867090532462</v>
      </c>
      <c r="U11" s="181" t="n">
        <f aca="false">MAX(IF(H11/100&gt;($B$25),$B$41,$B$41*(1+(H11/100-$B$25)*$V$1)),0)</f>
        <v>3</v>
      </c>
      <c r="V11" s="181" t="n">
        <f aca="false">MAX(IF(H11/100&gt;$B$25,$B$41,$B$41*EXP((H11/100-$B$25)*$V$1)),0)</f>
        <v>3</v>
      </c>
      <c r="W11" s="181" t="n">
        <v>1</v>
      </c>
      <c r="X11" s="181"/>
    </row>
    <row r="12" customFormat="false" ht="15.75" hidden="false" customHeight="false" outlineLevel="0" collapsed="false">
      <c r="A12" s="469" t="s">
        <v>434</v>
      </c>
      <c r="B12" s="31" t="n">
        <f aca="false">1-B11</f>
        <v>0.25</v>
      </c>
      <c r="D12" s="181" t="n">
        <f aca="false">E12+F12</f>
        <v>0.927555925695142</v>
      </c>
      <c r="E12" s="181" t="n">
        <f aca="false">$B$7*$B$11*H12/100</f>
        <v>0.6825</v>
      </c>
      <c r="F12" s="181" t="n">
        <f aca="false">$B$7*$B$12*(100-T12)/100</f>
        <v>0.245055925695142</v>
      </c>
      <c r="G12" s="181" t="n">
        <f aca="false">100*D12/$B$7</f>
        <v>92.7555925695142</v>
      </c>
      <c r="H12" s="181" t="n">
        <f aca="false">(1-K12)*100</f>
        <v>91</v>
      </c>
      <c r="I12" s="181" t="n">
        <f aca="false">F12/($B$7*$B$12)*100</f>
        <v>98.0223702780567</v>
      </c>
      <c r="J12" s="181" t="n">
        <f aca="false">H12/100</f>
        <v>0.91</v>
      </c>
      <c r="K12" s="581" t="n">
        <f aca="false">K11+0.01</f>
        <v>0.09</v>
      </c>
      <c r="L12" s="181" t="n">
        <f aca="false">MAX(-$B$13-$B$10*(K12),0)</f>
        <v>0.6</v>
      </c>
      <c r="M12" s="181" t="n">
        <f aca="false">$B$13/(1-K12)</f>
        <v>-1.64835164835165</v>
      </c>
      <c r="N12" s="181" t="n">
        <f aca="false">M12+L12</f>
        <v>-1.04835164835165</v>
      </c>
      <c r="O12" s="181" t="n">
        <f aca="false">-1/M12</f>
        <v>0.606666666666667</v>
      </c>
      <c r="P12" s="181" t="n">
        <f aca="false">-1/N12</f>
        <v>0.953878406708596</v>
      </c>
      <c r="Q12" s="181" t="n">
        <f aca="false">(D12-D13)/(N12-N13)</f>
        <v>0.074268106298428</v>
      </c>
      <c r="R12" s="181" t="n">
        <f aca="false">(E12-E13)/(N12-N13)</f>
        <v>0.0633900928792565</v>
      </c>
      <c r="S12" s="181" t="n">
        <f aca="false">(F12-F13)/(N12-N13)</f>
        <v>0.0108780134191715</v>
      </c>
      <c r="T12" s="181" t="n">
        <f aca="false">100/(1+EXP($B$19/25*(N12-$B$18)))</f>
        <v>1.97762972194328</v>
      </c>
      <c r="U12" s="181" t="n">
        <f aca="false">MAX(IF(H12/100&gt;($B$25),$B$41,$B$41*(1+(H12/100-$B$25)*$V$1)),0)</f>
        <v>3</v>
      </c>
      <c r="V12" s="181" t="n">
        <f aca="false">MAX(IF(H12/100&gt;$B$25,$B$41,$B$41*EXP((H12/100-$B$25)*$V$1)),0)</f>
        <v>3</v>
      </c>
      <c r="W12" s="181" t="n">
        <v>1</v>
      </c>
      <c r="X12" s="181"/>
    </row>
    <row r="13" customFormat="false" ht="15.75" hidden="false" customHeight="false" outlineLevel="0" collapsed="false">
      <c r="A13" s="469" t="s">
        <v>2103</v>
      </c>
      <c r="B13" s="71" t="n">
        <v>-1.5</v>
      </c>
      <c r="D13" s="181" t="n">
        <f aca="false">E13+F13</f>
        <v>0.918768893338222</v>
      </c>
      <c r="E13" s="181" t="n">
        <f aca="false">$B$7*$B$11*H13/100</f>
        <v>0.675</v>
      </c>
      <c r="F13" s="181" t="n">
        <f aca="false">$B$7*$B$12*(100-T13)/100</f>
        <v>0.243768893338221</v>
      </c>
      <c r="G13" s="181" t="n">
        <f aca="false">100*D13/$B$7</f>
        <v>91.8768893338222</v>
      </c>
      <c r="H13" s="181" t="n">
        <f aca="false">(1-K13)*100</f>
        <v>90</v>
      </c>
      <c r="I13" s="181" t="n">
        <f aca="false">F13/($B$7*$B$12)*100</f>
        <v>97.5075573352886</v>
      </c>
      <c r="J13" s="181" t="n">
        <f aca="false">H13/100</f>
        <v>0.9</v>
      </c>
      <c r="K13" s="581" t="n">
        <f aca="false">K12+0.01</f>
        <v>0.1</v>
      </c>
      <c r="L13" s="181" t="n">
        <f aca="false">MAX(-$B$13-$B$10*(K13),0)</f>
        <v>0.5</v>
      </c>
      <c r="M13" s="181" t="n">
        <f aca="false">$B$13/(1-K13)</f>
        <v>-1.66666666666667</v>
      </c>
      <c r="N13" s="181" t="n">
        <f aca="false">M13+L13</f>
        <v>-1.16666666666667</v>
      </c>
      <c r="O13" s="181" t="n">
        <f aca="false">-1/M13</f>
        <v>0.6</v>
      </c>
      <c r="P13" s="181" t="n">
        <f aca="false">-1/N13</f>
        <v>0.857142857142857</v>
      </c>
      <c r="Q13" s="181" t="n">
        <f aca="false">(D13-D14)/(N13-N14)</f>
        <v>0.0767949572191574</v>
      </c>
      <c r="R13" s="181" t="n">
        <f aca="false">(E13-E14)/(N13-N14)</f>
        <v>0.0631703470031551</v>
      </c>
      <c r="S13" s="181" t="n">
        <f aca="false">(F13-F14)/(N13-N14)</f>
        <v>0.0136246102160022</v>
      </c>
      <c r="T13" s="181" t="n">
        <f aca="false">100/(1+EXP($B$19/25*(N13-$B$18)))</f>
        <v>2.4924426647114</v>
      </c>
      <c r="U13" s="181" t="n">
        <f aca="false">MAX(IF(H13/100&gt;($B$25),$B$41,$B$41*(1+(H13/100-$B$25)*$V$1)),0)</f>
        <v>3</v>
      </c>
      <c r="V13" s="181" t="n">
        <f aca="false">MAX(IF(H13/100&gt;$B$25,$B$41,$B$41*EXP((H13/100-$B$25)*$V$1)),0)</f>
        <v>3</v>
      </c>
      <c r="W13" s="181" t="n">
        <v>1</v>
      </c>
      <c r="X13" s="181"/>
    </row>
    <row r="14" customFormat="false" ht="15.75" hidden="false" customHeight="false" outlineLevel="0" collapsed="false">
      <c r="D14" s="181" t="n">
        <f aca="false">E14+F14</f>
        <v>0.909651289803213</v>
      </c>
      <c r="E14" s="181" t="n">
        <f aca="false">$B$7*$B$11*H14/100</f>
        <v>0.6675</v>
      </c>
      <c r="F14" s="181" t="n">
        <f aca="false">$B$7*$B$12*(100-T14)/100</f>
        <v>0.242151289803213</v>
      </c>
      <c r="G14" s="181" t="n">
        <f aca="false">100*D14/$B$7</f>
        <v>90.9651289803213</v>
      </c>
      <c r="H14" s="181" t="n">
        <f aca="false">(1-K14)*100</f>
        <v>89</v>
      </c>
      <c r="I14" s="181" t="n">
        <f aca="false">F14/($B$7*$B$12)*100</f>
        <v>96.8605159212852</v>
      </c>
      <c r="J14" s="181" t="n">
        <f aca="false">H14/100</f>
        <v>0.89</v>
      </c>
      <c r="K14" s="581" t="n">
        <f aca="false">K13+0.01</f>
        <v>0.11</v>
      </c>
      <c r="L14" s="181" t="n">
        <f aca="false">MAX(-$B$13-$B$10*(K14),0)</f>
        <v>0.4</v>
      </c>
      <c r="M14" s="181" t="n">
        <f aca="false">$B$13/(1-K14)</f>
        <v>-1.68539325842697</v>
      </c>
      <c r="N14" s="181" t="n">
        <f aca="false">M14+L14</f>
        <v>-1.28539325842697</v>
      </c>
      <c r="O14" s="181" t="n">
        <f aca="false">-1/M14</f>
        <v>0.593333333333333</v>
      </c>
      <c r="P14" s="181" t="n">
        <f aca="false">-1/N14</f>
        <v>0.777972027972028</v>
      </c>
      <c r="Q14" s="181" t="n">
        <f aca="false">(D14-D15)/(N14-N15)</f>
        <v>0.0799700448654662</v>
      </c>
      <c r="R14" s="181" t="n">
        <f aca="false">(E14-E15)/(N14-N15)</f>
        <v>0.0629447063866262</v>
      </c>
      <c r="S14" s="181" t="n">
        <f aca="false">(F14-F15)/(N14-N15)</f>
        <v>0.01702533847884</v>
      </c>
      <c r="T14" s="181" t="n">
        <f aca="false">100/(1+EXP($B$19/25*(N14-$B$18)))</f>
        <v>3.1394840787148</v>
      </c>
      <c r="U14" s="181" t="n">
        <f aca="false">MAX(IF(H14/100&gt;($B$25),$B$41,$B$41*(1+(H14/100-$B$25)*$V$1)),0)</f>
        <v>3</v>
      </c>
      <c r="V14" s="181" t="n">
        <f aca="false">MAX(IF(H14/100&gt;$B$25,$B$41,$B$41*EXP((H14/100-$B$25)*$V$1)),0)</f>
        <v>3</v>
      </c>
      <c r="W14" s="181" t="n">
        <v>1</v>
      </c>
      <c r="X14" s="181"/>
    </row>
    <row r="15" customFormat="false" ht="15.75" hidden="false" customHeight="false" outlineLevel="0" collapsed="false">
      <c r="A15" s="469" t="s">
        <v>2104</v>
      </c>
      <c r="B15" s="75" t="n">
        <f aca="false">B13*B10/(B13+B10)</f>
        <v>-1.76470588235294</v>
      </c>
      <c r="D15" s="181" t="n">
        <f aca="false">E15+F15</f>
        <v>0.900122683333799</v>
      </c>
      <c r="E15" s="181" t="n">
        <f aca="false">$B$7*$B$11*H15/100</f>
        <v>0.66</v>
      </c>
      <c r="F15" s="181" t="n">
        <f aca="false">$B$7*$B$12*(100-T15)/100</f>
        <v>0.240122683333799</v>
      </c>
      <c r="G15" s="181" t="n">
        <f aca="false">100*D15/$B$7</f>
        <v>90.0122683333799</v>
      </c>
      <c r="H15" s="181" t="n">
        <f aca="false">(1-K15)*100</f>
        <v>88</v>
      </c>
      <c r="I15" s="181" t="n">
        <f aca="false">F15/($B$7*$B$12)*100</f>
        <v>96.0490733335194</v>
      </c>
      <c r="J15" s="181" t="n">
        <f aca="false">H15/100</f>
        <v>0.88</v>
      </c>
      <c r="K15" s="581" t="n">
        <f aca="false">K14+0.01</f>
        <v>0.12</v>
      </c>
      <c r="L15" s="181" t="n">
        <f aca="false">MAX(-$B$13-$B$10*(K15),0)</f>
        <v>0.3</v>
      </c>
      <c r="M15" s="181" t="n">
        <f aca="false">$B$13/(1-K15)</f>
        <v>-1.70454545454545</v>
      </c>
      <c r="N15" s="181" t="n">
        <f aca="false">M15+L15</f>
        <v>-1.40454545454545</v>
      </c>
      <c r="O15" s="181" t="n">
        <f aca="false">-1/M15</f>
        <v>0.586666666666667</v>
      </c>
      <c r="P15" s="181" t="n">
        <f aca="false">-1/N15</f>
        <v>0.711974110032363</v>
      </c>
      <c r="Q15" s="181" t="n">
        <f aca="false">(D15-D16)/(N15-N16)</f>
        <v>0.0839221281574567</v>
      </c>
      <c r="R15" s="181" t="n">
        <f aca="false">(E15-E16)/(N15-N16)</f>
        <v>0.0627129750982966</v>
      </c>
      <c r="S15" s="181" t="n">
        <f aca="false">(F15-F16)/(N15-N16)</f>
        <v>0.0212091530591599</v>
      </c>
      <c r="T15" s="181" t="n">
        <f aca="false">100/(1+EXP($B$19/25*(N15-$B$18)))</f>
        <v>3.95092666648056</v>
      </c>
      <c r="U15" s="181" t="n">
        <f aca="false">MAX(IF(H15/100&gt;($B$25),$B$41,$B$41*(1+(H15/100-$B$25)*$V$1)),0)</f>
        <v>3</v>
      </c>
      <c r="V15" s="181" t="n">
        <f aca="false">MAX(IF(H15/100&gt;$B$25,$B$41,$B$41*EXP((H15/100-$B$25)*$V$1)),0)</f>
        <v>3</v>
      </c>
      <c r="W15" s="181" t="n">
        <v>1</v>
      </c>
      <c r="X15" s="181"/>
    </row>
    <row r="16" customFormat="false" ht="15.75" hidden="false" customHeight="false" outlineLevel="0" collapsed="false">
      <c r="D16" s="181" t="n">
        <f aca="false">E16+F16</f>
        <v>0.890086228195219</v>
      </c>
      <c r="E16" s="181" t="n">
        <f aca="false">$B$7*$B$11*H16/100</f>
        <v>0.6525</v>
      </c>
      <c r="F16" s="181" t="n">
        <f aca="false">$B$7*$B$12*(100-T16)/100</f>
        <v>0.237586228195219</v>
      </c>
      <c r="G16" s="181" t="n">
        <f aca="false">100*D16/$B$7</f>
        <v>89.0086228195219</v>
      </c>
      <c r="H16" s="181" t="n">
        <f aca="false">(1-K16)*100</f>
        <v>87</v>
      </c>
      <c r="I16" s="181" t="n">
        <f aca="false">F16/($B$7*$B$12)*100</f>
        <v>95.0344912780875</v>
      </c>
      <c r="J16" s="181" t="n">
        <f aca="false">H16/100</f>
        <v>0.87</v>
      </c>
      <c r="K16" s="581" t="n">
        <f aca="false">K15+0.01</f>
        <v>0.13</v>
      </c>
      <c r="L16" s="181" t="n">
        <f aca="false">MAX(-$B$13-$B$10*(K16),0)</f>
        <v>0.2</v>
      </c>
      <c r="M16" s="181" t="n">
        <f aca="false">$B$13/(1-K16)</f>
        <v>-1.72413793103448</v>
      </c>
      <c r="N16" s="181" t="n">
        <f aca="false">M16+L16</f>
        <v>-1.52413793103448</v>
      </c>
      <c r="O16" s="181" t="n">
        <f aca="false">-1/M16</f>
        <v>0.58</v>
      </c>
      <c r="P16" s="181" t="n">
        <f aca="false">-1/N16</f>
        <v>0.656108597285068</v>
      </c>
      <c r="Q16" s="181" t="n">
        <f aca="false">(D16-D17)/(N16-N17)</f>
        <v>0.0887885853984743</v>
      </c>
      <c r="R16" s="181" t="n">
        <f aca="false">(E16-E17)/(N16-N17)</f>
        <v>0.0624749498997992</v>
      </c>
      <c r="S16" s="181" t="n">
        <f aca="false">(F16-F17)/(N16-N17)</f>
        <v>0.0263136354986753</v>
      </c>
      <c r="T16" s="181" t="n">
        <f aca="false">100/(1+EXP($B$19/25*(N16-$B$18)))</f>
        <v>4.96550872191248</v>
      </c>
      <c r="U16" s="181" t="n">
        <f aca="false">MAX(IF(H16/100&gt;($B$25),$B$41,$B$41*(1+(H16/100-$B$25)*$V$1)),0)</f>
        <v>3</v>
      </c>
      <c r="V16" s="181" t="n">
        <f aca="false">MAX(IF(H16/100&gt;$B$25,$B$41,$B$41*EXP((H16/100-$B$25)*$V$1)),0)</f>
        <v>3</v>
      </c>
      <c r="W16" s="181" t="n">
        <v>1</v>
      </c>
      <c r="X16" s="181"/>
    </row>
    <row r="17" customFormat="false" ht="15.75" hidden="false" customHeight="false" outlineLevel="0" collapsed="false">
      <c r="A17" s="583" t="s">
        <v>2105</v>
      </c>
      <c r="D17" s="181" t="n">
        <f aca="false">E17+F17</f>
        <v>0.87942732584225</v>
      </c>
      <c r="E17" s="181" t="n">
        <f aca="false">$B$7*$B$11*H17/100</f>
        <v>0.645</v>
      </c>
      <c r="F17" s="181" t="n">
        <f aca="false">$B$7*$B$12*(100-T17)/100</f>
        <v>0.23442732584225</v>
      </c>
      <c r="G17" s="181" t="n">
        <f aca="false">100*D17/$B$7</f>
        <v>87.942732584225</v>
      </c>
      <c r="H17" s="181" t="n">
        <f aca="false">(1-K17)*100</f>
        <v>86</v>
      </c>
      <c r="I17" s="181" t="n">
        <f aca="false">F17/($B$7*$B$12)*100</f>
        <v>93.7709303369001</v>
      </c>
      <c r="J17" s="181" t="n">
        <f aca="false">H17/100</f>
        <v>0.86</v>
      </c>
      <c r="K17" s="581" t="n">
        <f aca="false">K16+0.01</f>
        <v>0.14</v>
      </c>
      <c r="L17" s="181" t="n">
        <f aca="false">MAX(-$B$13-$B$10*(K17),0)</f>
        <v>0.1</v>
      </c>
      <c r="M17" s="181" t="n">
        <f aca="false">$B$13/(1-K17)</f>
        <v>-1.74418604651163</v>
      </c>
      <c r="N17" s="181" t="n">
        <f aca="false">M17+L17</f>
        <v>-1.64418604651163</v>
      </c>
      <c r="O17" s="181" t="n">
        <f aca="false">-1/M17</f>
        <v>0.573333333333333</v>
      </c>
      <c r="P17" s="181" t="n">
        <f aca="false">-1/N17</f>
        <v>0.608203677510608</v>
      </c>
      <c r="Q17" s="181" t="n">
        <f aca="false">(D17-D18)/(N17-N18)</f>
        <v>0.0947048487701817</v>
      </c>
      <c r="R17" s="181" t="n">
        <f aca="false">(E17-E18)/(N17-N18)</f>
        <v>0.062230419977299</v>
      </c>
      <c r="S17" s="181" t="n">
        <f aca="false">(F17-F18)/(N17-N18)</f>
        <v>0.0324744287928829</v>
      </c>
      <c r="T17" s="181" t="n">
        <f aca="false">100/(1+EXP($B$19/25*(N17-$B$18)))</f>
        <v>6.22906966309987</v>
      </c>
      <c r="U17" s="181" t="n">
        <f aca="false">MAX(IF(H17/100&gt;($B$25),$B$41,$B$41*(1+(H17/100-$B$25)*$V$1)),0)</f>
        <v>3</v>
      </c>
      <c r="V17" s="181" t="n">
        <f aca="false">MAX(IF(H17/100&gt;$B$25,$B$41,$B$41*EXP((H17/100-$B$25)*$V$1)),0)</f>
        <v>3</v>
      </c>
      <c r="W17" s="181" t="n">
        <v>1</v>
      </c>
      <c r="X17" s="181"/>
    </row>
    <row r="18" customFormat="false" ht="15.75" hidden="false" customHeight="false" outlineLevel="0" collapsed="false">
      <c r="A18" s="147" t="s">
        <v>456</v>
      </c>
      <c r="B18" s="176" t="n">
        <v>-3</v>
      </c>
      <c r="D18" s="181" t="n">
        <f aca="false">E18+F18</f>
        <v>0.868013513015092</v>
      </c>
      <c r="E18" s="181" t="n">
        <f aca="false">$B$7*$B$11*H18/100</f>
        <v>0.6375</v>
      </c>
      <c r="F18" s="181" t="n">
        <f aca="false">$B$7*$B$12*(100-T18)/100</f>
        <v>0.230513513015092</v>
      </c>
      <c r="G18" s="181" t="n">
        <f aca="false">100*D18/$B$7</f>
        <v>86.8013513015092</v>
      </c>
      <c r="H18" s="181" t="n">
        <f aca="false">(1-K18)*100</f>
        <v>85</v>
      </c>
      <c r="I18" s="181" t="n">
        <f aca="false">F18/($B$7*$B$12)*100</f>
        <v>92.2054052060367</v>
      </c>
      <c r="J18" s="181" t="n">
        <f aca="false">H18/100</f>
        <v>0.85</v>
      </c>
      <c r="K18" s="581" t="n">
        <f aca="false">K17+0.01</f>
        <v>0.15</v>
      </c>
      <c r="L18" s="181" t="n">
        <f aca="false">MAX(-$B$13-$B$10*(K18),0)</f>
        <v>0</v>
      </c>
      <c r="M18" s="181" t="n">
        <f aca="false">$B$13/(1-K18)</f>
        <v>-1.76470588235294</v>
      </c>
      <c r="N18" s="181" t="n">
        <f aca="false">M18+L18</f>
        <v>-1.76470588235294</v>
      </c>
      <c r="O18" s="181" t="n">
        <f aca="false">-1/M18</f>
        <v>0.566666666666667</v>
      </c>
      <c r="P18" s="181" t="n">
        <f aca="false">-1/N18</f>
        <v>0.566666666666667</v>
      </c>
      <c r="Q18" s="181" t="n">
        <f aca="false">(D18-D19)/(N18-N19)</f>
        <v>0.393578466635523</v>
      </c>
      <c r="R18" s="181" t="n">
        <f aca="false">(E18-E19)/(N18-N19)</f>
        <v>0.356999999999995</v>
      </c>
      <c r="S18" s="181" t="n">
        <f aca="false">(F18-F19)/(N18-N19)</f>
        <v>0.0365784666355279</v>
      </c>
      <c r="T18" s="181" t="n">
        <f aca="false">100/(1+EXP($B$19/25*(N18-$B$18)))</f>
        <v>7.79459479396332</v>
      </c>
      <c r="U18" s="181" t="n">
        <f aca="false">MAX(IF(H18/100&gt;($B$25),$B$41,$B$41*(1+(H18/100-$B$25)*$V$1)),0)</f>
        <v>3</v>
      </c>
      <c r="V18" s="181" t="n">
        <f aca="false">MAX(IF(H18/100&gt;$B$25,$B$41,$B$41*EXP((H18/100-$B$25)*$V$1)),0)</f>
        <v>3</v>
      </c>
      <c r="W18" s="181" t="n">
        <v>1</v>
      </c>
      <c r="X18" s="181"/>
    </row>
    <row r="19" customFormat="false" ht="15.75" hidden="false" customHeight="false" outlineLevel="0" collapsed="false">
      <c r="A19" s="147" t="s">
        <v>565</v>
      </c>
      <c r="B19" s="176" t="n">
        <v>50</v>
      </c>
      <c r="D19" s="181" t="n">
        <f aca="false">E19+F19</f>
        <v>0.859745057833673</v>
      </c>
      <c r="E19" s="181" t="n">
        <f aca="false">$B$7*$B$11*H19/100</f>
        <v>0.63</v>
      </c>
      <c r="F19" s="181" t="n">
        <f aca="false">$B$7*$B$12*(100-T19)/100</f>
        <v>0.229745057833673</v>
      </c>
      <c r="G19" s="181" t="n">
        <f aca="false">100*D19/$B$7</f>
        <v>85.9745057833673</v>
      </c>
      <c r="H19" s="181" t="n">
        <f aca="false">(1-K19)*100</f>
        <v>84</v>
      </c>
      <c r="I19" s="181" t="n">
        <f aca="false">F19/($B$7*$B$12)*100</f>
        <v>91.8980231334692</v>
      </c>
      <c r="J19" s="181" t="n">
        <f aca="false">H19/100</f>
        <v>0.84</v>
      </c>
      <c r="K19" s="581" t="n">
        <f aca="false">K18+0.01</f>
        <v>0.16</v>
      </c>
      <c r="L19" s="181" t="n">
        <f aca="false">MAX(-$B$13-$B$10*(K19),0)</f>
        <v>0</v>
      </c>
      <c r="M19" s="181" t="n">
        <f aca="false">$B$13/(1-K19)</f>
        <v>-1.78571428571429</v>
      </c>
      <c r="N19" s="181" t="n">
        <f aca="false">M19+L19</f>
        <v>-1.78571428571429</v>
      </c>
      <c r="O19" s="181" t="n">
        <f aca="false">-1/M19</f>
        <v>0.56</v>
      </c>
      <c r="P19" s="181" t="n">
        <f aca="false">-1/N19</f>
        <v>0.56</v>
      </c>
      <c r="Q19" s="181" t="n">
        <f aca="false">(D19-D20)/(N19-N20)</f>
        <v>0.386505306914906</v>
      </c>
      <c r="R19" s="181" t="n">
        <f aca="false">(E19-E20)/(N19-N20)</f>
        <v>0.348599999999998</v>
      </c>
      <c r="S19" s="181" t="n">
        <f aca="false">(F19-F20)/(N19-N20)</f>
        <v>0.0379053069149037</v>
      </c>
      <c r="T19" s="181" t="n">
        <f aca="false">100/(1+EXP($B$19/25*(N19-$B$18)))</f>
        <v>8.10197686653079</v>
      </c>
      <c r="U19" s="181" t="n">
        <f aca="false">MAX(IF(H19/100&gt;($B$25),$B$41,$B$41*(1+(H19/100-$B$25)*$V$1)),0)</f>
        <v>2.967</v>
      </c>
      <c r="V19" s="181" t="n">
        <f aca="false">MAX(IF(H19/100&gt;$B$25,$B$41,$B$41*EXP((H19/100-$B$25)*$V$1)),0)</f>
        <v>2.96718083632611</v>
      </c>
      <c r="W19" s="181" t="n">
        <v>1</v>
      </c>
      <c r="X19" s="181"/>
    </row>
    <row r="20" customFormat="false" ht="15.75" hidden="false" customHeight="false" outlineLevel="0" collapsed="false">
      <c r="D20" s="181" t="n">
        <f aca="false">E20+F20</f>
        <v>0.85142953918232</v>
      </c>
      <c r="E20" s="181" t="n">
        <f aca="false">$B$7*$B$11*H20/100</f>
        <v>0.6225</v>
      </c>
      <c r="F20" s="181" t="n">
        <f aca="false">$B$7*$B$12*(100-T20)/100</f>
        <v>0.22892953918232</v>
      </c>
      <c r="G20" s="181" t="n">
        <f aca="false">100*D20/$B$7</f>
        <v>85.142953918232</v>
      </c>
      <c r="H20" s="181" t="n">
        <f aca="false">(1-K20)*100</f>
        <v>83</v>
      </c>
      <c r="I20" s="181" t="n">
        <f aca="false">F20/($B$7*$B$12)*100</f>
        <v>91.5718156729279</v>
      </c>
      <c r="J20" s="181" t="n">
        <f aca="false">H20/100</f>
        <v>0.83</v>
      </c>
      <c r="K20" s="581" t="n">
        <f aca="false">K19+0.01</f>
        <v>0.17</v>
      </c>
      <c r="L20" s="181" t="n">
        <f aca="false">MAX(-$B$13-$B$10*(K20),0)</f>
        <v>0</v>
      </c>
      <c r="M20" s="181" t="n">
        <f aca="false">$B$13/(1-K20)</f>
        <v>-1.80722891566265</v>
      </c>
      <c r="N20" s="181" t="n">
        <f aca="false">M20+L20</f>
        <v>-1.80722891566265</v>
      </c>
      <c r="O20" s="181" t="n">
        <f aca="false">-1/M20</f>
        <v>0.553333333333333</v>
      </c>
      <c r="P20" s="181" t="n">
        <f aca="false">-1/N20</f>
        <v>0.553333333333333</v>
      </c>
      <c r="Q20" s="181" t="n">
        <f aca="false">(D20-D21)/(N20-N21)</f>
        <v>0.379603045992614</v>
      </c>
      <c r="R20" s="181" t="n">
        <f aca="false">(E20-E21)/(N20-N21)</f>
        <v>0.340300000000002</v>
      </c>
      <c r="S20" s="181" t="n">
        <f aca="false">(F20-F21)/(N20-N21)</f>
        <v>0.0393030459926153</v>
      </c>
      <c r="T20" s="181" t="n">
        <f aca="false">100/(1+EXP($B$19/25*(N20-$B$18)))</f>
        <v>8.42818432707212</v>
      </c>
      <c r="U20" s="181" t="n">
        <f aca="false">MAX(IF(H20/100&gt;($B$25),$B$41,$B$41*(1+(H20/100-$B$25)*$V$1)),0)</f>
        <v>2.934</v>
      </c>
      <c r="V20" s="181" t="n">
        <f aca="false">MAX(IF(H20/100&gt;$B$25,$B$41,$B$41*EXP((H20/100-$B$25)*$V$1)),0)</f>
        <v>2.93472070515363</v>
      </c>
      <c r="W20" s="181" t="n">
        <v>1</v>
      </c>
      <c r="X20" s="181"/>
    </row>
    <row r="21" customFormat="false" ht="15.75" hidden="false" customHeight="false" outlineLevel="0" collapsed="false">
      <c r="A21" s="147" t="s">
        <v>2106</v>
      </c>
      <c r="B21" s="584" t="n">
        <f aca="false">B18+50/B19</f>
        <v>-2</v>
      </c>
      <c r="D21" s="181" t="n">
        <f aca="false">E21+F21</f>
        <v>0.843063324533643</v>
      </c>
      <c r="E21" s="181" t="n">
        <f aca="false">$B$7*$B$11*H21/100</f>
        <v>0.615</v>
      </c>
      <c r="F21" s="181" t="n">
        <f aca="false">$B$7*$B$12*(100-T21)/100</f>
        <v>0.228063324533643</v>
      </c>
      <c r="G21" s="181" t="n">
        <f aca="false">100*D21/$B$7</f>
        <v>84.3063324533643</v>
      </c>
      <c r="H21" s="181" t="n">
        <f aca="false">(1-K21)*100</f>
        <v>82</v>
      </c>
      <c r="I21" s="181" t="n">
        <f aca="false">F21/($B$7*$B$12)*100</f>
        <v>91.2253298134573</v>
      </c>
      <c r="J21" s="181" t="n">
        <f aca="false">H21/100</f>
        <v>0.82</v>
      </c>
      <c r="K21" s="581" t="n">
        <f aca="false">K20+0.01</f>
        <v>0.18</v>
      </c>
      <c r="L21" s="181" t="n">
        <f aca="false">MAX(-$B$13-$B$10*(K21),0)</f>
        <v>0</v>
      </c>
      <c r="M21" s="181" t="n">
        <f aca="false">$B$13/(1-K21)</f>
        <v>-1.82926829268293</v>
      </c>
      <c r="N21" s="181" t="n">
        <f aca="false">M21+L21</f>
        <v>-1.82926829268293</v>
      </c>
      <c r="O21" s="181" t="n">
        <f aca="false">-1/M21</f>
        <v>0.546666666666667</v>
      </c>
      <c r="P21" s="181" t="n">
        <f aca="false">-1/N21</f>
        <v>0.546666666666667</v>
      </c>
      <c r="Q21" s="181" t="n">
        <f aca="false">(D21-D22)/(N21-N22)</f>
        <v>0.372875937098529</v>
      </c>
      <c r="R21" s="181" t="n">
        <f aca="false">(E21-E22)/(N21-N22)</f>
        <v>0.332099999999995</v>
      </c>
      <c r="S21" s="181" t="n">
        <f aca="false">(F21-F22)/(N21-N22)</f>
        <v>0.04077593709853</v>
      </c>
      <c r="T21" s="181" t="n">
        <f aca="false">100/(1+EXP($B$19/25*(N21-$B$18)))</f>
        <v>8.77467018654273</v>
      </c>
      <c r="U21" s="181" t="n">
        <f aca="false">MAX(IF(H21/100&gt;($B$25),$B$41,$B$41*(1+(H21/100-$B$25)*$V$1)),0)</f>
        <v>2.901</v>
      </c>
      <c r="V21" s="181" t="n">
        <f aca="false">MAX(IF(H21/100&gt;$B$25,$B$41,$B$41*EXP((H21/100-$B$25)*$V$1)),0)</f>
        <v>2.9026156787671</v>
      </c>
      <c r="W21" s="181" t="n">
        <v>1</v>
      </c>
      <c r="X21" s="181"/>
    </row>
    <row r="22" customFormat="false" ht="15.75" hidden="false" customHeight="false" outlineLevel="0" collapsed="false">
      <c r="A22" s="147" t="s">
        <v>2107</v>
      </c>
      <c r="B22" s="584" t="n">
        <f aca="false">B18-50/B19</f>
        <v>-4</v>
      </c>
      <c r="D22" s="181" t="n">
        <f aca="false">E22+F22</f>
        <v>0.83464245874551</v>
      </c>
      <c r="E22" s="181" t="n">
        <f aca="false">$B$7*$B$11*H22/100</f>
        <v>0.6075</v>
      </c>
      <c r="F22" s="181" t="n">
        <f aca="false">$B$7*$B$12*(100-T22)/100</f>
        <v>0.22714245874551</v>
      </c>
      <c r="G22" s="181" t="n">
        <f aca="false">100*D22/$B$7</f>
        <v>83.464245874551</v>
      </c>
      <c r="H22" s="181" t="n">
        <f aca="false">(1-K22)*100</f>
        <v>81</v>
      </c>
      <c r="I22" s="181" t="n">
        <f aca="false">F22/($B$7*$B$12)*100</f>
        <v>90.8569834982041</v>
      </c>
      <c r="J22" s="181" t="n">
        <f aca="false">H22/100</f>
        <v>0.81</v>
      </c>
      <c r="K22" s="581" t="n">
        <f aca="false">K21+0.01</f>
        <v>0.19</v>
      </c>
      <c r="L22" s="181" t="n">
        <f aca="false">MAX(-$B$13-$B$10*(K22),0)</f>
        <v>0</v>
      </c>
      <c r="M22" s="181" t="n">
        <f aca="false">$B$13/(1-K22)</f>
        <v>-1.85185185185185</v>
      </c>
      <c r="N22" s="181" t="n">
        <f aca="false">M22+L22</f>
        <v>-1.85185185185185</v>
      </c>
      <c r="O22" s="181" t="n">
        <f aca="false">-1/M22</f>
        <v>0.54</v>
      </c>
      <c r="P22" s="181" t="n">
        <f aca="false">-1/N22</f>
        <v>0.54</v>
      </c>
      <c r="Q22" s="181" t="n">
        <f aca="false">(D22-D23)/(N22-N23)</f>
        <v>0.366328438716422</v>
      </c>
      <c r="R22" s="181" t="n">
        <f aca="false">(E22-E23)/(N22-N23)</f>
        <v>0.324000000000003</v>
      </c>
      <c r="S22" s="181" t="n">
        <f aca="false">(F22-F23)/(N22-N23)</f>
        <v>0.0423284387164215</v>
      </c>
      <c r="T22" s="181" t="n">
        <f aca="false">100/(1+EXP($B$19/25*(N22-$B$18)))</f>
        <v>9.14301650179594</v>
      </c>
      <c r="U22" s="181" t="n">
        <f aca="false">MAX(IF(H22/100&gt;($B$25),$B$41,$B$41*(1+(H22/100-$B$25)*$V$1)),0)</f>
        <v>2.868</v>
      </c>
      <c r="V22" s="181" t="n">
        <f aca="false">MAX(IF(H22/100&gt;$B$25,$B$41,$B$41*EXP((H22/100-$B$25)*$V$1)),0)</f>
        <v>2.87086187241914</v>
      </c>
      <c r="W22" s="181" t="n">
        <v>1</v>
      </c>
      <c r="X22" s="181"/>
    </row>
    <row r="23" customFormat="false" ht="15.75" hidden="false" customHeight="false" outlineLevel="0" collapsed="false">
      <c r="D23" s="181" t="n">
        <f aca="false">E23+F23</f>
        <v>0.826162633775223</v>
      </c>
      <c r="E23" s="181" t="n">
        <f aca="false">$B$7*$B$11*H23/100</f>
        <v>0.6</v>
      </c>
      <c r="F23" s="181" t="n">
        <f aca="false">$B$7*$B$12*(100-T23)/100</f>
        <v>0.226162633775223</v>
      </c>
      <c r="G23" s="181" t="n">
        <f aca="false">100*D23/$B$7</f>
        <v>82.6162633775223</v>
      </c>
      <c r="H23" s="181" t="n">
        <f aca="false">(1-K23)*100</f>
        <v>80</v>
      </c>
      <c r="I23" s="181" t="n">
        <f aca="false">F23/($B$7*$B$12)*100</f>
        <v>90.4650535100891</v>
      </c>
      <c r="J23" s="181" t="n">
        <f aca="false">H23/100</f>
        <v>0.8</v>
      </c>
      <c r="K23" s="581" t="n">
        <f aca="false">K22+0.01</f>
        <v>0.2</v>
      </c>
      <c r="L23" s="181" t="n">
        <f aca="false">MAX(-$B$13-$B$10*(K23),0)</f>
        <v>0</v>
      </c>
      <c r="M23" s="181" t="n">
        <f aca="false">$B$13/(1-K23)</f>
        <v>-1.875</v>
      </c>
      <c r="N23" s="181" t="n">
        <f aca="false">M23+L23</f>
        <v>-1.875</v>
      </c>
      <c r="O23" s="181" t="n">
        <f aca="false">-1/M23</f>
        <v>0.533333333333333</v>
      </c>
      <c r="P23" s="181" t="n">
        <f aca="false">-1/N23</f>
        <v>0.533333333333333</v>
      </c>
      <c r="Q23" s="181" t="n">
        <f aca="false">(D23-D24)/(N23-N24)</f>
        <v>0.359965205002929</v>
      </c>
      <c r="R23" s="181" t="n">
        <f aca="false">(E23-E24)/(N23-N24)</f>
        <v>0.316000000000009</v>
      </c>
      <c r="S23" s="181" t="n">
        <f aca="false">(F23-F24)/(N23-N24)</f>
        <v>0.0439652050029225</v>
      </c>
      <c r="T23" s="181" t="n">
        <f aca="false">100/(1+EXP($B$19/25*(N23-$B$18)))</f>
        <v>9.53494648991095</v>
      </c>
      <c r="U23" s="181" t="n">
        <f aca="false">MAX(IF(H23/100&gt;($B$25),$B$41,$B$41*(1+(H23/100-$B$25)*$V$1)),0)</f>
        <v>2.835</v>
      </c>
      <c r="V23" s="181" t="n">
        <f aca="false">MAX(IF(H23/100&gt;$B$25,$B$41,$B$41*EXP((H23/100-$B$25)*$V$1)),0)</f>
        <v>2.83945544386045</v>
      </c>
      <c r="W23" s="181" t="n">
        <v>1</v>
      </c>
      <c r="X23" s="181"/>
    </row>
    <row r="24" customFormat="false" ht="15.75" hidden="false" customHeight="false" outlineLevel="0" collapsed="false">
      <c r="D24" s="181" t="n">
        <f aca="false">E24+F24</f>
        <v>0.817619155808381</v>
      </c>
      <c r="E24" s="181" t="n">
        <f aca="false">$B$7*$B$11*H24/100</f>
        <v>0.5925</v>
      </c>
      <c r="F24" s="181" t="n">
        <f aca="false">$B$7*$B$12*(100-T24)/100</f>
        <v>0.225119155808381</v>
      </c>
      <c r="G24" s="181" t="n">
        <f aca="false">100*D24/$B$7</f>
        <v>81.7619155808381</v>
      </c>
      <c r="H24" s="181" t="n">
        <f aca="false">(1-K24)*100</f>
        <v>79</v>
      </c>
      <c r="I24" s="181" t="n">
        <f aca="false">F24/($B$7*$B$12)*100</f>
        <v>90.0476623233524</v>
      </c>
      <c r="J24" s="181" t="n">
        <f aca="false">H24/100</f>
        <v>0.79</v>
      </c>
      <c r="K24" s="581" t="n">
        <f aca="false">K23+0.01</f>
        <v>0.21</v>
      </c>
      <c r="L24" s="181" t="n">
        <f aca="false">MAX(-$B$13-$B$10*(K24),0)</f>
        <v>0</v>
      </c>
      <c r="M24" s="181" t="n">
        <f aca="false">$B$13/(1-K24)</f>
        <v>-1.89873417721519</v>
      </c>
      <c r="N24" s="181" t="n">
        <f aca="false">M24+L24</f>
        <v>-1.89873417721519</v>
      </c>
      <c r="O24" s="181" t="n">
        <f aca="false">-1/M24</f>
        <v>0.526666666666667</v>
      </c>
      <c r="P24" s="181" t="n">
        <f aca="false">-1/N24</f>
        <v>0.526666666666667</v>
      </c>
      <c r="Q24" s="181" t="n">
        <f aca="false">(D24-D25)/(N24-N25)</f>
        <v>0.353791069557071</v>
      </c>
      <c r="R24" s="181" t="n">
        <f aca="false">(E24-E25)/(N24-N25)</f>
        <v>0.308099999999996</v>
      </c>
      <c r="S24" s="181" t="n">
        <f aca="false">(F24-F25)/(N24-N25)</f>
        <v>0.0456910695570737</v>
      </c>
      <c r="T24" s="181" t="n">
        <f aca="false">100/(1+EXP($B$19/25*(N24-$B$18)))</f>
        <v>9.95233767664756</v>
      </c>
      <c r="U24" s="181" t="n">
        <f aca="false">MAX(IF(H24/100&gt;($B$25),$B$41,$B$41*(1+(H24/100-$B$25)*$V$1)),0)</f>
        <v>2.802</v>
      </c>
      <c r="V24" s="181" t="n">
        <f aca="false">MAX(IF(H24/100&gt;$B$25,$B$41,$B$41*EXP((H24/100-$B$25)*$V$1)),0)</f>
        <v>2.80839259287486</v>
      </c>
      <c r="W24" s="181" t="n">
        <v>1</v>
      </c>
      <c r="X24" s="181"/>
    </row>
    <row r="25" customFormat="false" ht="15.75" hidden="false" customHeight="false" outlineLevel="0" collapsed="false">
      <c r="A25" s="139" t="s">
        <v>2108</v>
      </c>
      <c r="B25" s="585" t="n">
        <f aca="false">(B13+B10)/B10</f>
        <v>0.85</v>
      </c>
      <c r="D25" s="181" t="n">
        <f aca="false">E25+F25</f>
        <v>0.809006909714002</v>
      </c>
      <c r="E25" s="181" t="n">
        <f aca="false">$B$7*$B$11*H25/100</f>
        <v>0.585</v>
      </c>
      <c r="F25" s="181" t="n">
        <f aca="false">$B$7*$B$12*(100-T25)/100</f>
        <v>0.224006909714002</v>
      </c>
      <c r="G25" s="181" t="n">
        <f aca="false">100*D25/$B$7</f>
        <v>80.9006909714002</v>
      </c>
      <c r="H25" s="181" t="n">
        <f aca="false">(1-K25)*100</f>
        <v>78</v>
      </c>
      <c r="I25" s="181" t="n">
        <f aca="false">F25/($B$7*$B$12)*100</f>
        <v>89.602763885601</v>
      </c>
      <c r="J25" s="181" t="n">
        <f aca="false">H25/100</f>
        <v>0.78</v>
      </c>
      <c r="K25" s="581" t="n">
        <f aca="false">K24+0.01</f>
        <v>0.22</v>
      </c>
      <c r="L25" s="181" t="n">
        <f aca="false">MAX(-$B$13-$B$10*(K25),0)</f>
        <v>0</v>
      </c>
      <c r="M25" s="181" t="n">
        <f aca="false">$B$13/(1-K25)</f>
        <v>-1.92307692307692</v>
      </c>
      <c r="N25" s="181" t="n">
        <f aca="false">M25+L25</f>
        <v>-1.92307692307692</v>
      </c>
      <c r="O25" s="181" t="n">
        <f aca="false">-1/M25</f>
        <v>0.52</v>
      </c>
      <c r="P25" s="181" t="n">
        <f aca="false">-1/N25</f>
        <v>0.52</v>
      </c>
      <c r="Q25" s="181" t="n">
        <f aca="false">(D25-D26)/(N25-N26)</f>
        <v>0.347811020702508</v>
      </c>
      <c r="R25" s="181" t="n">
        <f aca="false">(E25-E26)/(N25-N26)</f>
        <v>0.300299999999999</v>
      </c>
      <c r="S25" s="181" t="n">
        <f aca="false">(F25-F26)/(N25-N26)</f>
        <v>0.0475110207025085</v>
      </c>
      <c r="T25" s="181" t="n">
        <f aca="false">100/(1+EXP($B$19/25*(N25-$B$18)))</f>
        <v>10.397236114399</v>
      </c>
      <c r="U25" s="181" t="n">
        <f aca="false">MAX(IF(H25/100&gt;($B$25),$B$41,$B$41*(1+(H25/100-$B$25)*$V$1)),0)</f>
        <v>2.769</v>
      </c>
      <c r="V25" s="181" t="n">
        <f aca="false">MAX(IF(H25/100&gt;$B$25,$B$41,$B$41*EXP((H25/100-$B$25)*$V$1)),0)</f>
        <v>2.77766956081949</v>
      </c>
      <c r="W25" s="181" t="n">
        <v>1</v>
      </c>
      <c r="X25" s="181"/>
    </row>
    <row r="26" customFormat="false" ht="15.75" hidden="false" customHeight="false" outlineLevel="0" collapsed="false">
      <c r="A26" s="139" t="s">
        <v>2109</v>
      </c>
      <c r="B26" s="585" t="n">
        <f aca="false">1-B25</f>
        <v>0.15</v>
      </c>
      <c r="D26" s="181" t="n">
        <f aca="false">E26+F26</f>
        <v>0.800320320785368</v>
      </c>
      <c r="E26" s="181" t="n">
        <f aca="false">$B$7*$B$11*H26/100</f>
        <v>0.5775</v>
      </c>
      <c r="F26" s="181" t="n">
        <f aca="false">$B$7*$B$12*(100-T26)/100</f>
        <v>0.222820320785368</v>
      </c>
      <c r="G26" s="181" t="n">
        <f aca="false">100*D26/$B$7</f>
        <v>80.0320320785368</v>
      </c>
      <c r="H26" s="181" t="n">
        <f aca="false">(1-K26)*100</f>
        <v>77</v>
      </c>
      <c r="I26" s="181" t="n">
        <f aca="false">F26/($B$7*$B$12)*100</f>
        <v>89.1281283141474</v>
      </c>
      <c r="J26" s="181" t="n">
        <f aca="false">H26/100</f>
        <v>0.77</v>
      </c>
      <c r="K26" s="581" t="n">
        <f aca="false">K25+0.01</f>
        <v>0.23</v>
      </c>
      <c r="L26" s="181" t="n">
        <f aca="false">MAX(-$B$13-$B$10*(K26),0)</f>
        <v>0</v>
      </c>
      <c r="M26" s="181" t="n">
        <f aca="false">$B$13/(1-K26)</f>
        <v>-1.94805194805195</v>
      </c>
      <c r="N26" s="181" t="n">
        <f aca="false">M26+L26</f>
        <v>-1.94805194805195</v>
      </c>
      <c r="O26" s="181" t="n">
        <f aca="false">-1/M26</f>
        <v>0.513333333333333</v>
      </c>
      <c r="P26" s="181" t="n">
        <f aca="false">-1/N26</f>
        <v>0.513333333333333</v>
      </c>
      <c r="Q26" s="181" t="n">
        <f aca="false">(D26-D27)/(N26-N27)</f>
        <v>0.342030166028574</v>
      </c>
      <c r="R26" s="181" t="n">
        <f aca="false">(E26-E27)/(N26-N27)</f>
        <v>0.292600000000001</v>
      </c>
      <c r="S26" s="181" t="n">
        <f aca="false">(F26-F27)/(N26-N27)</f>
        <v>0.0494301660285747</v>
      </c>
      <c r="T26" s="181" t="n">
        <f aca="false">100/(1+EXP($B$19/25*(N26-$B$18)))</f>
        <v>10.8718716858526</v>
      </c>
      <c r="U26" s="181" t="n">
        <f aca="false">MAX(IF(H26/100&gt;($B$25),$B$41,$B$41*(1+(H26/100-$B$25)*$V$1)),0)</f>
        <v>2.736</v>
      </c>
      <c r="V26" s="181" t="n">
        <f aca="false">MAX(IF(H26/100&gt;$B$25,$B$41,$B$41*EXP((H26/100-$B$25)*$V$1)),0)</f>
        <v>2.74728263016998</v>
      </c>
      <c r="W26" s="181" t="n">
        <v>0.936963875952534</v>
      </c>
      <c r="X26" s="181"/>
    </row>
    <row r="27" customFormat="false" ht="15.75" hidden="false" customHeight="false" outlineLevel="0" collapsed="false">
      <c r="D27" s="181" t="n">
        <f aca="false">E27+F27</f>
        <v>0.791553313795572</v>
      </c>
      <c r="E27" s="181" t="n">
        <f aca="false">$B$7*$B$11*H27/100</f>
        <v>0.57</v>
      </c>
      <c r="F27" s="181" t="n">
        <f aca="false">$B$7*$B$12*(100-T27)/100</f>
        <v>0.221553313795572</v>
      </c>
      <c r="G27" s="181" t="n">
        <f aca="false">100*D27/$B$7</f>
        <v>79.1553313795572</v>
      </c>
      <c r="H27" s="181" t="n">
        <f aca="false">(1-K27)*100</f>
        <v>76</v>
      </c>
      <c r="I27" s="181" t="n">
        <f aca="false">F27/($B$7*$B$12)*100</f>
        <v>88.621325518229</v>
      </c>
      <c r="J27" s="181" t="n">
        <f aca="false">H27/100</f>
        <v>0.76</v>
      </c>
      <c r="K27" s="581" t="n">
        <f aca="false">K26+0.01</f>
        <v>0.24</v>
      </c>
      <c r="L27" s="181" t="n">
        <f aca="false">MAX(-$B$13-$B$10*(K27),0)</f>
        <v>0</v>
      </c>
      <c r="M27" s="181" t="n">
        <f aca="false">$B$13/(1-K27)</f>
        <v>-1.97368421052632</v>
      </c>
      <c r="N27" s="181" t="n">
        <f aca="false">M27+L27</f>
        <v>-1.97368421052632</v>
      </c>
      <c r="O27" s="181" t="n">
        <f aca="false">-1/M27</f>
        <v>0.506666666666667</v>
      </c>
      <c r="P27" s="181" t="n">
        <f aca="false">-1/N27</f>
        <v>0.506666666666667</v>
      </c>
      <c r="Q27" s="181" t="n">
        <f aca="false">(D27-D28)/(N27-N28)</f>
        <v>0.336453683441869</v>
      </c>
      <c r="R27" s="181" t="n">
        <f aca="false">(E27-E28)/(N27-N28)</f>
        <v>0.284999999999998</v>
      </c>
      <c r="S27" s="181" t="n">
        <f aca="false">(F27-F28)/(N27-N28)</f>
        <v>0.0514536834418684</v>
      </c>
      <c r="T27" s="181" t="n">
        <f aca="false">100/(1+EXP($B$19/25*(N27-$B$18)))</f>
        <v>11.378674481771</v>
      </c>
      <c r="U27" s="181" t="n">
        <f aca="false">MAX(IF(H27/100&gt;($B$25),$B$41,$B$41*(1+(H27/100-$B$25)*$V$1)),0)</f>
        <v>2.703</v>
      </c>
      <c r="V27" s="181" t="n">
        <f aca="false">MAX(IF(H27/100&gt;$B$25,$B$41,$B$41*EXP((H27/100-$B$25)*$V$1)),0)</f>
        <v>2.71722812407065</v>
      </c>
      <c r="W27" s="181" t="n">
        <v>0.869127996056641</v>
      </c>
      <c r="X27" s="181"/>
    </row>
    <row r="28" customFormat="false" ht="15.75" hidden="false" customHeight="false" outlineLevel="0" collapsed="false">
      <c r="A28" s="586" t="s">
        <v>2110</v>
      </c>
      <c r="B28" s="151" t="s">
        <v>2111</v>
      </c>
      <c r="C28" s="151" t="s">
        <v>2112</v>
      </c>
      <c r="D28" s="181" t="n">
        <f aca="false">E28+F28</f>
        <v>0.782699269494471</v>
      </c>
      <c r="E28" s="181" t="n">
        <f aca="false">$B$7*$B$11*H28/100</f>
        <v>0.5625</v>
      </c>
      <c r="F28" s="181" t="n">
        <f aca="false">$B$7*$B$12*(100-T28)/100</f>
        <v>0.220199269494471</v>
      </c>
      <c r="G28" s="181" t="n">
        <f aca="false">100*D28/$B$7</f>
        <v>78.2699269494471</v>
      </c>
      <c r="H28" s="181" t="n">
        <f aca="false">(1-K28)*100</f>
        <v>75</v>
      </c>
      <c r="I28" s="181" t="n">
        <f aca="false">F28/($B$7*$B$12)*100</f>
        <v>88.0797077977882</v>
      </c>
      <c r="J28" s="181" t="n">
        <f aca="false">H28/100</f>
        <v>0.75</v>
      </c>
      <c r="K28" s="581" t="n">
        <f aca="false">K27+0.01</f>
        <v>0.25</v>
      </c>
      <c r="L28" s="181" t="n">
        <f aca="false">MAX(-$B$13-$B$10*(K28),0)</f>
        <v>0</v>
      </c>
      <c r="M28" s="181" t="n">
        <f aca="false">$B$13/(1-K28)</f>
        <v>-2</v>
      </c>
      <c r="N28" s="181" t="n">
        <f aca="false">M28+L28</f>
        <v>-2</v>
      </c>
      <c r="O28" s="181" t="n">
        <f aca="false">-1/M28</f>
        <v>0.5</v>
      </c>
      <c r="P28" s="181" t="n">
        <f aca="false">-1/N28</f>
        <v>0.5</v>
      </c>
      <c r="Q28" s="181" t="n">
        <f aca="false">(D28-D29)/(N28-N29)</f>
        <v>0.331086755396121</v>
      </c>
      <c r="R28" s="181" t="n">
        <f aca="false">(E28-E29)/(N28-N29)</f>
        <v>0.277499999999996</v>
      </c>
      <c r="S28" s="181" t="n">
        <f aca="false">(F28-F29)/(N28-N29)</f>
        <v>0.0535867553961274</v>
      </c>
      <c r="T28" s="181" t="n">
        <f aca="false">100/(1+EXP($B$19/25*(N28-$B$18)))</f>
        <v>11.9202922022118</v>
      </c>
      <c r="U28" s="181" t="n">
        <f aca="false">MAX(IF(H28/100&gt;($B$25),$B$41,$B$41*(1+(H28/100-$B$25)*$V$1)),0)</f>
        <v>2.67</v>
      </c>
      <c r="V28" s="181" t="n">
        <f aca="false">MAX(IF(H28/100&gt;$B$25,$B$41,$B$41*EXP((H28/100-$B$25)*$V$1)),0)</f>
        <v>2.68750240588958</v>
      </c>
      <c r="W28" s="181" t="n">
        <v>0.809940951000391</v>
      </c>
      <c r="X28" s="181"/>
    </row>
    <row r="29" customFormat="false" ht="15.75" hidden="false" customHeight="false" outlineLevel="0" collapsed="false">
      <c r="A29" s="152" t="s">
        <v>2113</v>
      </c>
      <c r="B29" s="587" t="n">
        <f aca="false">Q3</f>
        <v>0.0718857118483781</v>
      </c>
      <c r="C29" s="153" t="n">
        <f aca="false">B29/18/B4*10000</f>
        <v>0.399365065824323</v>
      </c>
      <c r="D29" s="181" t="n">
        <f aca="false">E29+F29</f>
        <v>0.773750978808089</v>
      </c>
      <c r="E29" s="181" t="n">
        <f aca="false">$B$7*$B$11*H29/100</f>
        <v>0.555</v>
      </c>
      <c r="F29" s="181" t="n">
        <f aca="false">$B$7*$B$12*(100-T29)/100</f>
        <v>0.218750978808089</v>
      </c>
      <c r="G29" s="181" t="n">
        <f aca="false">100*D29/$B$7</f>
        <v>77.3750978808089</v>
      </c>
      <c r="H29" s="181" t="n">
        <f aca="false">(1-K29)*100</f>
        <v>74</v>
      </c>
      <c r="I29" s="181" t="n">
        <f aca="false">F29/($B$7*$B$12)*100</f>
        <v>87.5003915232355</v>
      </c>
      <c r="J29" s="181" t="n">
        <f aca="false">H29/100</f>
        <v>0.74</v>
      </c>
      <c r="K29" s="581" t="n">
        <f aca="false">K28+0.01</f>
        <v>0.26</v>
      </c>
      <c r="L29" s="181" t="n">
        <f aca="false">MAX(-$B$13-$B$10*(K29),0)</f>
        <v>0</v>
      </c>
      <c r="M29" s="181" t="n">
        <f aca="false">$B$13/(1-K29)</f>
        <v>-2.02702702702703</v>
      </c>
      <c r="N29" s="181" t="n">
        <f aca="false">M29+L29</f>
        <v>-2.02702702702703</v>
      </c>
      <c r="O29" s="181" t="n">
        <f aca="false">-1/M29</f>
        <v>0.493333333333333</v>
      </c>
      <c r="P29" s="181" t="n">
        <f aca="false">-1/N29</f>
        <v>0.493333333333333</v>
      </c>
      <c r="Q29" s="181" t="n">
        <f aca="false">(D29-D30)/(N29-N30)</f>
        <v>0.325934482287791</v>
      </c>
      <c r="R29" s="181" t="n">
        <f aca="false">(E29-E30)/(N29-N30)</f>
        <v>0.270100000000002</v>
      </c>
      <c r="S29" s="181" t="n">
        <f aca="false">(F29-F30)/(N29-N30)</f>
        <v>0.0558344822877884</v>
      </c>
      <c r="T29" s="181" t="n">
        <f aca="false">100/(1+EXP($B$19/25*(N29-$B$18)))</f>
        <v>12.4996084767645</v>
      </c>
      <c r="U29" s="181" t="n">
        <f aca="false">MAX(IF(H29/100&gt;($B$25),$B$41,$B$41*(1+(H29/100-$B$25)*$V$1)),0)</f>
        <v>2.637</v>
      </c>
      <c r="V29" s="181" t="n">
        <f aca="false">MAX(IF(H29/100&gt;$B$25,$B$41,$B$41*EXP((H29/100-$B$25)*$V$1)),0)</f>
        <v>2.65810187877863</v>
      </c>
      <c r="W29" s="181" t="n">
        <v>0.759270404190626</v>
      </c>
      <c r="X29" s="181"/>
    </row>
    <row r="30" customFormat="false" ht="15.75" hidden="false" customHeight="false" outlineLevel="0" collapsed="false">
      <c r="A30" s="152" t="s">
        <v>2114</v>
      </c>
      <c r="B30" s="587" t="n">
        <f aca="false">R3</f>
        <v>0.065131578947368</v>
      </c>
      <c r="C30" s="153" t="n">
        <f aca="false">B30/18/B4*10000</f>
        <v>0.361842105263155</v>
      </c>
      <c r="D30" s="181" t="n">
        <f aca="false">E30+F30</f>
        <v>0.764700595182919</v>
      </c>
      <c r="E30" s="181" t="n">
        <f aca="false">$B$7*$B$11*H30/100</f>
        <v>0.5475</v>
      </c>
      <c r="F30" s="181" t="n">
        <f aca="false">$B$7*$B$12*(100-T30)/100</f>
        <v>0.217200595182919</v>
      </c>
      <c r="G30" s="181" t="n">
        <f aca="false">100*D30/$B$7</f>
        <v>76.4700595182919</v>
      </c>
      <c r="H30" s="181" t="n">
        <f aca="false">(1-K30)*100</f>
        <v>73</v>
      </c>
      <c r="I30" s="181" t="n">
        <f aca="false">F30/($B$7*$B$12)*100</f>
        <v>86.8802380731675</v>
      </c>
      <c r="J30" s="181" t="n">
        <f aca="false">H30/100</f>
        <v>0.73</v>
      </c>
      <c r="K30" s="581" t="n">
        <f aca="false">K29+0.01</f>
        <v>0.27</v>
      </c>
      <c r="L30" s="181" t="n">
        <f aca="false">MAX(-$B$13-$B$10*(K30),0)</f>
        <v>0</v>
      </c>
      <c r="M30" s="181" t="n">
        <f aca="false">$B$13/(1-K30)</f>
        <v>-2.05479452054795</v>
      </c>
      <c r="N30" s="181" t="n">
        <f aca="false">M30+L30</f>
        <v>-2.05479452054795</v>
      </c>
      <c r="O30" s="181" t="n">
        <f aca="false">-1/M30</f>
        <v>0.486666666666667</v>
      </c>
      <c r="P30" s="181" t="n">
        <f aca="false">-1/N30</f>
        <v>0.486666666666667</v>
      </c>
      <c r="Q30" s="181" t="n">
        <f aca="false">(D30-D31)/(N30-N31)</f>
        <v>0.32100177022231</v>
      </c>
      <c r="R30" s="181" t="n">
        <f aca="false">(E30-E31)/(N30-N31)</f>
        <v>0.262799999999999</v>
      </c>
      <c r="S30" s="181" t="n">
        <f aca="false">(F30-F31)/(N30-N31)</f>
        <v>0.0582017702223119</v>
      </c>
      <c r="T30" s="181" t="n">
        <f aca="false">100/(1+EXP($B$19/25*(N30-$B$18)))</f>
        <v>13.1197619268325</v>
      </c>
      <c r="U30" s="181" t="n">
        <f aca="false">MAX(IF(H30/100&gt;($B$25),$B$41,$B$41*(1+(H30/100-$B$25)*$V$1)),0)</f>
        <v>2.604</v>
      </c>
      <c r="V30" s="181" t="n">
        <f aca="false">MAX(IF(H30/100&gt;$B$25,$B$41,$B$41*EXP((H30/100-$B$25)*$V$1)),0)</f>
        <v>2.62902298523812</v>
      </c>
      <c r="W30" s="181" t="n">
        <v>0.716403796368966</v>
      </c>
      <c r="X30" s="181"/>
    </row>
    <row r="31" customFormat="false" ht="15.75" hidden="false" customHeight="false" outlineLevel="0" collapsed="false">
      <c r="A31" s="72"/>
      <c r="B31" s="75"/>
      <c r="C31" s="75"/>
      <c r="D31" s="181" t="n">
        <f aca="false">E31+F31</f>
        <v>0.755539585758766</v>
      </c>
      <c r="E31" s="181" t="n">
        <f aca="false">$B$7*$B$11*H31/100</f>
        <v>0.54</v>
      </c>
      <c r="F31" s="181" t="n">
        <f aca="false">$B$7*$B$12*(100-T31)/100</f>
        <v>0.215539585758766</v>
      </c>
      <c r="G31" s="181" t="n">
        <f aca="false">100*D31/$B$7</f>
        <v>75.5539585758766</v>
      </c>
      <c r="H31" s="181" t="n">
        <f aca="false">(1-K31)*100</f>
        <v>72</v>
      </c>
      <c r="I31" s="181" t="n">
        <f aca="false">F31/($B$7*$B$12)*100</f>
        <v>86.2158343035064</v>
      </c>
      <c r="J31" s="181" t="n">
        <f aca="false">H31/100</f>
        <v>0.72</v>
      </c>
      <c r="K31" s="581" t="n">
        <f aca="false">K30+0.01</f>
        <v>0.28</v>
      </c>
      <c r="L31" s="181" t="n">
        <f aca="false">MAX(-$B$13-$B$10*(K31),0)</f>
        <v>0</v>
      </c>
      <c r="M31" s="181" t="n">
        <f aca="false">$B$13/(1-K31)</f>
        <v>-2.08333333333333</v>
      </c>
      <c r="N31" s="181" t="n">
        <f aca="false">M31+L31</f>
        <v>-2.08333333333333</v>
      </c>
      <c r="O31" s="181" t="n">
        <f aca="false">-1/M31</f>
        <v>0.48</v>
      </c>
      <c r="P31" s="181" t="n">
        <f aca="false">-1/N31</f>
        <v>0.48</v>
      </c>
      <c r="Q31" s="181" t="n">
        <f aca="false">(D31-D32)/(N31-N32)</f>
        <v>0.31629318747363</v>
      </c>
      <c r="R31" s="181" t="n">
        <f aca="false">(E31-E32)/(N31-N32)</f>
        <v>0.255600000000001</v>
      </c>
      <c r="S31" s="181" t="n">
        <f aca="false">(F31-F32)/(N31-N32)</f>
        <v>0.060693187473628</v>
      </c>
      <c r="T31" s="181" t="n">
        <f aca="false">100/(1+EXP($B$19/25*(N31-$B$18)))</f>
        <v>13.7841656964936</v>
      </c>
      <c r="U31" s="181" t="n">
        <f aca="false">MAX(IF(H31/100&gt;($B$25),$B$41,$B$41*(1+(H31/100-$B$25)*$V$1)),0)</f>
        <v>2.571</v>
      </c>
      <c r="V31" s="181" t="n">
        <f aca="false">MAX(IF(H31/100&gt;$B$25,$B$41,$B$41*EXP((H31/100-$B$25)*$V$1)),0)</f>
        <v>2.60026220668647</v>
      </c>
      <c r="W31" s="181" t="n">
        <v>0.680305421093944</v>
      </c>
      <c r="X31" s="181"/>
    </row>
    <row r="32" customFormat="false" ht="15.75" hidden="false" customHeight="false" outlineLevel="0" collapsed="false">
      <c r="A32" s="152" t="s">
        <v>2115</v>
      </c>
      <c r="B32" s="587" t="n">
        <f aca="false">MAX(Q3:Q103)</f>
        <v>0.393578466635523</v>
      </c>
      <c r="C32" s="153" t="n">
        <f aca="false">B32/18/B4*10000</f>
        <v>2.18654703686402</v>
      </c>
      <c r="D32" s="181" t="n">
        <f aca="false">E32+F32</f>
        <v>0.746258682370455</v>
      </c>
      <c r="E32" s="181" t="n">
        <f aca="false">$B$7*$B$11*H32/100</f>
        <v>0.5325</v>
      </c>
      <c r="F32" s="181" t="n">
        <f aca="false">$B$7*$B$12*(100-T32)/100</f>
        <v>0.213758682370455</v>
      </c>
      <c r="G32" s="181" t="n">
        <f aca="false">100*D32/$B$7</f>
        <v>74.6258682370455</v>
      </c>
      <c r="H32" s="181" t="n">
        <f aca="false">(1-K32)*100</f>
        <v>71</v>
      </c>
      <c r="I32" s="181" t="n">
        <f aca="false">F32/($B$7*$B$12)*100</f>
        <v>85.5034729481821</v>
      </c>
      <c r="J32" s="181" t="n">
        <f aca="false">H32/100</f>
        <v>0.71</v>
      </c>
      <c r="K32" s="581" t="n">
        <f aca="false">K31+0.01</f>
        <v>0.29</v>
      </c>
      <c r="L32" s="181" t="n">
        <f aca="false">MAX(-$B$13-$B$10*(K32),0)</f>
        <v>0</v>
      </c>
      <c r="M32" s="181" t="n">
        <f aca="false">$B$13/(1-K32)</f>
        <v>-2.11267605633803</v>
      </c>
      <c r="N32" s="181" t="n">
        <f aca="false">M32+L32</f>
        <v>-2.11267605633803</v>
      </c>
      <c r="O32" s="181" t="n">
        <f aca="false">-1/M32</f>
        <v>0.473333333333333</v>
      </c>
      <c r="P32" s="181" t="n">
        <f aca="false">-1/N32</f>
        <v>0.473333333333333</v>
      </c>
      <c r="Q32" s="181" t="n">
        <f aca="false">(D32-D33)/(N32-N33)</f>
        <v>0.31181278298755</v>
      </c>
      <c r="R32" s="181" t="n">
        <f aca="false">(E32-E33)/(N32-N33)</f>
        <v>0.248500000000001</v>
      </c>
      <c r="S32" s="181" t="n">
        <f aca="false">(F32-F33)/(N32-N33)</f>
        <v>0.0633127829875489</v>
      </c>
      <c r="T32" s="181" t="n">
        <f aca="false">100/(1+EXP($B$19/25*(N32-$B$18)))</f>
        <v>14.4965270518179</v>
      </c>
      <c r="U32" s="181" t="n">
        <f aca="false">MAX(IF(H32/100&gt;($B$25),$B$41,$B$41*(1+(H32/100-$B$25)*$V$1)),0)</f>
        <v>2.538</v>
      </c>
      <c r="V32" s="181" t="n">
        <f aca="false">MAX(IF(H32/100&gt;$B$25,$B$41,$B$41*EXP((H32/100-$B$25)*$V$1)),0)</f>
        <v>2.57181606303437</v>
      </c>
      <c r="W32" s="181" t="n">
        <v>0.649837175230383</v>
      </c>
      <c r="X32" s="181"/>
    </row>
    <row r="33" customFormat="false" ht="15.75" hidden="false" customHeight="false" outlineLevel="0" collapsed="false">
      <c r="A33" s="152" t="s">
        <v>2116</v>
      </c>
      <c r="B33" s="587" t="n">
        <f aca="false">MAX(R3:R102)</f>
        <v>0.356999999999995</v>
      </c>
      <c r="C33" s="153" t="n">
        <f aca="false">B33/18/B4*10000</f>
        <v>1.98333333333331</v>
      </c>
      <c r="D33" s="181" t="n">
        <f aca="false">E33+F33</f>
        <v>0.736847833789342</v>
      </c>
      <c r="E33" s="181" t="n">
        <f aca="false">$B$7*$B$11*H33/100</f>
        <v>0.525</v>
      </c>
      <c r="F33" s="181" t="n">
        <f aca="false">$B$7*$B$12*(100-T33)/100</f>
        <v>0.211847833789342</v>
      </c>
      <c r="G33" s="181" t="n">
        <f aca="false">100*D33/$B$7</f>
        <v>73.6847833789342</v>
      </c>
      <c r="H33" s="181" t="n">
        <f aca="false">(1-K33)*100</f>
        <v>70</v>
      </c>
      <c r="I33" s="181" t="n">
        <f aca="false">F33/($B$7*$B$12)*100</f>
        <v>84.7391335157369</v>
      </c>
      <c r="J33" s="181" t="n">
        <f aca="false">H33/100</f>
        <v>0.7</v>
      </c>
      <c r="K33" s="581" t="n">
        <f aca="false">K32+0.01</f>
        <v>0.3</v>
      </c>
      <c r="L33" s="181" t="n">
        <f aca="false">MAX(-$B$13-$B$10*(K33),0)</f>
        <v>0</v>
      </c>
      <c r="M33" s="181" t="n">
        <f aca="false">$B$13/(1-K33)</f>
        <v>-2.14285714285714</v>
      </c>
      <c r="N33" s="181" t="n">
        <f aca="false">M33+L33</f>
        <v>-2.14285714285714</v>
      </c>
      <c r="O33" s="181" t="n">
        <f aca="false">-1/M33</f>
        <v>0.466666666666667</v>
      </c>
      <c r="P33" s="181" t="n">
        <f aca="false">-1/N33</f>
        <v>0.466666666666667</v>
      </c>
      <c r="Q33" s="181" t="n">
        <f aca="false">(D33-D34)/(N33-N34)</f>
        <v>0.307563859247595</v>
      </c>
      <c r="R33" s="181" t="n">
        <f aca="false">(E33-E34)/(N33-N34)</f>
        <v>0.241499999999999</v>
      </c>
      <c r="S33" s="181" t="n">
        <f aca="false">(F33-F34)/(N33-N34)</f>
        <v>0.0660638592475974</v>
      </c>
      <c r="T33" s="181" t="n">
        <f aca="false">100/(1+EXP($B$19/25*(N33-$B$18)))</f>
        <v>15.2608664842631</v>
      </c>
      <c r="U33" s="181" t="n">
        <f aca="false">MAX(IF(H33/100&gt;($B$25),$B$41,$B$41*(1+(H33/100-$B$25)*$V$1)),0)</f>
        <v>2.505</v>
      </c>
      <c r="V33" s="181" t="n">
        <f aca="false">MAX(IF(H33/100&gt;$B$25,$B$41,$B$41*EXP((H33/100-$B$25)*$V$1)),0)</f>
        <v>2.54368111226375</v>
      </c>
      <c r="W33" s="181" t="n">
        <v>0.623909479751177</v>
      </c>
      <c r="X33" s="181"/>
    </row>
    <row r="34" customFormat="false" ht="15.75" hidden="false" customHeight="false" outlineLevel="0" collapsed="false">
      <c r="D34" s="181" t="n">
        <f aca="false">E34+F34</f>
        <v>0.727296161141901</v>
      </c>
      <c r="E34" s="181" t="n">
        <f aca="false">$B$7*$B$11*H34/100</f>
        <v>0.5175</v>
      </c>
      <c r="F34" s="181" t="n">
        <f aca="false">$B$7*$B$12*(100-T34)/100</f>
        <v>0.209796161141901</v>
      </c>
      <c r="G34" s="181" t="n">
        <f aca="false">100*D34/$B$7</f>
        <v>72.7296161141901</v>
      </c>
      <c r="H34" s="181" t="n">
        <f aca="false">(1-K34)*100</f>
        <v>69</v>
      </c>
      <c r="I34" s="181" t="n">
        <f aca="false">F34/($B$7*$B$12)*100</f>
        <v>83.9184644567605</v>
      </c>
      <c r="J34" s="181" t="n">
        <f aca="false">H34/100</f>
        <v>0.69</v>
      </c>
      <c r="K34" s="581" t="n">
        <f aca="false">K33+0.01</f>
        <v>0.31</v>
      </c>
      <c r="L34" s="181" t="n">
        <f aca="false">MAX(-$B$13-$B$10*(K34),0)</f>
        <v>0</v>
      </c>
      <c r="M34" s="181" t="n">
        <f aca="false">$B$13/(1-K34)</f>
        <v>-2.17391304347826</v>
      </c>
      <c r="N34" s="181" t="n">
        <f aca="false">M34+L34</f>
        <v>-2.17391304347826</v>
      </c>
      <c r="O34" s="181" t="n">
        <f aca="false">-1/M34</f>
        <v>0.46</v>
      </c>
      <c r="P34" s="181" t="n">
        <f aca="false">-1/N34</f>
        <v>0.46</v>
      </c>
      <c r="Q34" s="181" t="n">
        <f aca="false">(D34-D35)/(N34-N35)</f>
        <v>0.303548690780619</v>
      </c>
      <c r="R34" s="181" t="n">
        <f aca="false">(E34-E35)/(N34-N35)</f>
        <v>0.2346</v>
      </c>
      <c r="S34" s="181" t="n">
        <f aca="false">(F34-F35)/(N34-N35)</f>
        <v>0.0689486907806166</v>
      </c>
      <c r="T34" s="181" t="n">
        <f aca="false">100/(1+EXP($B$19/25*(N34-$B$18)))</f>
        <v>16.0815355432395</v>
      </c>
      <c r="U34" s="181" t="n">
        <f aca="false">MAX(IF(H34/100&gt;($B$25),$B$41,$B$41*(1+(H34/100-$B$25)*$V$1)),0)</f>
        <v>2.472</v>
      </c>
      <c r="V34" s="181" t="n">
        <f aca="false">MAX(IF(H34/100&gt;$B$25,$B$41,$B$41*EXP((H34/100-$B$25)*$V$1)),0)</f>
        <v>2.51585395001122</v>
      </c>
      <c r="W34" s="181" t="n">
        <v>0.606483837050928</v>
      </c>
      <c r="X34" s="181"/>
    </row>
    <row r="35" customFormat="false" ht="15.75" hidden="false" customHeight="false" outlineLevel="0" collapsed="false">
      <c r="A35" s="121" t="s">
        <v>2117</v>
      </c>
      <c r="B35" s="121" t="n">
        <v>0.415</v>
      </c>
      <c r="D35" s="181" t="n">
        <f aca="false">E35+F35</f>
        <v>0.717591919109273</v>
      </c>
      <c r="E35" s="181" t="n">
        <f aca="false">$B$7*$B$11*H35/100</f>
        <v>0.51</v>
      </c>
      <c r="F35" s="181" t="n">
        <f aca="false">$B$7*$B$12*(100-T35)/100</f>
        <v>0.207591919109273</v>
      </c>
      <c r="G35" s="181" t="n">
        <f aca="false">100*D35/$B$7</f>
        <v>71.7591919109273</v>
      </c>
      <c r="H35" s="181" t="n">
        <f aca="false">(1-K35)*100</f>
        <v>68</v>
      </c>
      <c r="I35" s="181" t="n">
        <f aca="false">F35/($B$7*$B$12)*100</f>
        <v>83.0367676437092</v>
      </c>
      <c r="J35" s="181" t="n">
        <f aca="false">H35/100</f>
        <v>0.68</v>
      </c>
      <c r="K35" s="581" t="n">
        <f aca="false">K34+0.01</f>
        <v>0.32</v>
      </c>
      <c r="L35" s="181" t="n">
        <f aca="false">MAX(-$B$13-$B$10*(K35),0)</f>
        <v>0</v>
      </c>
      <c r="M35" s="181" t="n">
        <f aca="false">$B$13/(1-K35)</f>
        <v>-2.20588235294118</v>
      </c>
      <c r="N35" s="181" t="n">
        <f aca="false">M35+L35</f>
        <v>-2.20588235294118</v>
      </c>
      <c r="O35" s="181" t="n">
        <f aca="false">-1/M35</f>
        <v>0.453333333333333</v>
      </c>
      <c r="P35" s="181" t="n">
        <f aca="false">-1/N35</f>
        <v>0.453333333333333</v>
      </c>
      <c r="Q35" s="181" t="n">
        <f aca="false">(D35-D36)/(N35-N36)</f>
        <v>0.299768178617914</v>
      </c>
      <c r="R35" s="181" t="n">
        <f aca="false">(E35-E36)/(N35-N36)</f>
        <v>0.227800000000001</v>
      </c>
      <c r="S35" s="181" t="n">
        <f aca="false">(F35-F36)/(N35-N36)</f>
        <v>0.0719681786179156</v>
      </c>
      <c r="T35" s="181" t="n">
        <f aca="false">100/(1+EXP($B$19/25*(N35-$B$18)))</f>
        <v>16.9632323562908</v>
      </c>
      <c r="U35" s="181" t="n">
        <f aca="false">MAX(IF(H35/100&gt;($B$25),$B$41,$B$41*(1+(H35/100-$B$25)*$V$1)),0)</f>
        <v>2.439</v>
      </c>
      <c r="V35" s="181" t="n">
        <f aca="false">MAX(IF(H35/100&gt;$B$25,$B$41,$B$41*EXP((H35/100-$B$25)*$V$1)),0)</f>
        <v>2.48833120915621</v>
      </c>
      <c r="W35" s="181" t="n">
        <v>0.589812488664807</v>
      </c>
      <c r="X35" s="181"/>
    </row>
    <row r="36" customFormat="false" ht="15.75" hidden="false" customHeight="false" outlineLevel="0" collapsed="false">
      <c r="A36" s="121" t="s">
        <v>2118</v>
      </c>
      <c r="B36" s="588" t="n">
        <f aca="false">-B13*B35*0.88</f>
        <v>0.5478</v>
      </c>
      <c r="D36" s="181" t="n">
        <f aca="false">E36+F36</f>
        <v>0.707722466345294</v>
      </c>
      <c r="E36" s="181" t="n">
        <f aca="false">$B$7*$B$11*H36/100</f>
        <v>0.5025</v>
      </c>
      <c r="F36" s="181" t="n">
        <f aca="false">$B$7*$B$12*(100-T36)/100</f>
        <v>0.205222466345294</v>
      </c>
      <c r="G36" s="181" t="n">
        <f aca="false">100*D36/$B$7</f>
        <v>70.7722466345294</v>
      </c>
      <c r="H36" s="181" t="n">
        <f aca="false">(1-K36)*100</f>
        <v>67</v>
      </c>
      <c r="I36" s="181" t="n">
        <f aca="false">F36/($B$7*$B$12)*100</f>
        <v>82.0889865381177</v>
      </c>
      <c r="J36" s="181" t="n">
        <f aca="false">H36/100</f>
        <v>0.67</v>
      </c>
      <c r="K36" s="581" t="n">
        <f aca="false">K35+0.01</f>
        <v>0.33</v>
      </c>
      <c r="L36" s="181" t="n">
        <f aca="false">MAX(-$B$13-$B$10*(K36),0)</f>
        <v>0</v>
      </c>
      <c r="M36" s="181" t="n">
        <f aca="false">$B$13/(1-K36)</f>
        <v>-2.23880597014925</v>
      </c>
      <c r="N36" s="181" t="n">
        <f aca="false">M36+L36</f>
        <v>-2.23880597014925</v>
      </c>
      <c r="O36" s="181" t="n">
        <f aca="false">-1/M36</f>
        <v>0.446666666666667</v>
      </c>
      <c r="P36" s="181" t="n">
        <f aca="false">-1/N36</f>
        <v>0.446666666666667</v>
      </c>
      <c r="Q36" s="181" t="n">
        <f aca="false">(D36-D37)/(N36-N37)</f>
        <v>0.296221430284345</v>
      </c>
      <c r="R36" s="181" t="n">
        <f aca="false">(E36-E37)/(N36-N37)</f>
        <v>0.221100000000002</v>
      </c>
      <c r="S36" s="181" t="n">
        <f aca="false">(F36-F37)/(N36-N37)</f>
        <v>0.0751214302843396</v>
      </c>
      <c r="T36" s="181" t="n">
        <f aca="false">100/(1+EXP($B$19/25*(N36-$B$18)))</f>
        <v>17.9110134618823</v>
      </c>
      <c r="U36" s="181" t="n">
        <f aca="false">MAX(IF(H36/100&gt;($B$25),$B$41,$B$41*(1+(H36/100-$B$25)*$V$1)),0)</f>
        <v>2.406</v>
      </c>
      <c r="V36" s="181" t="n">
        <f aca="false">MAX(IF(H36/100&gt;$B$25,$B$41,$B$41*EXP((H36/100-$B$25)*$V$1)),0)</f>
        <v>2.46110955941349</v>
      </c>
      <c r="W36" s="181" t="n">
        <v>0.57385280503426</v>
      </c>
      <c r="X36" s="181"/>
    </row>
    <row r="37" customFormat="false" ht="15.75" hidden="false" customHeight="false" outlineLevel="0" collapsed="false">
      <c r="A37" s="121" t="s">
        <v>2107</v>
      </c>
      <c r="B37" s="588" t="n">
        <f aca="false">-B13*B35*0.12</f>
        <v>0.0747</v>
      </c>
      <c r="D37" s="181" t="n">
        <f aca="false">E37+F37</f>
        <v>0.697674249578525</v>
      </c>
      <c r="E37" s="181" t="n">
        <f aca="false">$B$7*$B$11*H37/100</f>
        <v>0.495</v>
      </c>
      <c r="F37" s="181" t="n">
        <f aca="false">$B$7*$B$12*(100-T37)/100</f>
        <v>0.202674249578525</v>
      </c>
      <c r="G37" s="181" t="n">
        <f aca="false">100*D37/$B$7</f>
        <v>69.7674249578525</v>
      </c>
      <c r="H37" s="181" t="n">
        <f aca="false">(1-K37)*100</f>
        <v>66</v>
      </c>
      <c r="I37" s="181" t="n">
        <f aca="false">F37/($B$7*$B$12)*100</f>
        <v>81.0696998314102</v>
      </c>
      <c r="J37" s="181" t="n">
        <f aca="false">H37/100</f>
        <v>0.66</v>
      </c>
      <c r="K37" s="581" t="n">
        <f aca="false">K36+0.01</f>
        <v>0.34</v>
      </c>
      <c r="L37" s="181" t="n">
        <f aca="false">MAX(-$B$13-$B$10*(K37),0)</f>
        <v>0</v>
      </c>
      <c r="M37" s="181" t="n">
        <f aca="false">$B$13/(1-K37)</f>
        <v>-2.27272727272727</v>
      </c>
      <c r="N37" s="181" t="n">
        <f aca="false">M37+L37</f>
        <v>-2.27272727272727</v>
      </c>
      <c r="O37" s="181" t="n">
        <f aca="false">-1/M37</f>
        <v>0.44</v>
      </c>
      <c r="P37" s="181" t="n">
        <f aca="false">-1/N37</f>
        <v>0.44</v>
      </c>
      <c r="Q37" s="181" t="n">
        <f aca="false">(D37-D38)/(N37-N38)</f>
        <v>0.292905254570662</v>
      </c>
      <c r="R37" s="181" t="n">
        <f aca="false">(E37-E38)/(N37-N38)</f>
        <v>0.2145</v>
      </c>
      <c r="S37" s="181" t="n">
        <f aca="false">(F37-F38)/(N37-N38)</f>
        <v>0.0784052545706649</v>
      </c>
      <c r="T37" s="181" t="n">
        <f aca="false">100/(1+EXP($B$19/25*(N37-$B$18)))</f>
        <v>18.9303001685898</v>
      </c>
      <c r="U37" s="181" t="n">
        <f aca="false">MAX(IF(H37/100&gt;($B$25),$B$41,$B$41*(1+(H37/100-$B$25)*$V$1)),0)</f>
        <v>2.373</v>
      </c>
      <c r="V37" s="181" t="n">
        <f aca="false">MAX(IF(H37/100&gt;$B$25,$B$41,$B$41*EXP((H37/100-$B$25)*$V$1)),0)</f>
        <v>2.43418570693023</v>
      </c>
      <c r="W37" s="181" t="n">
        <v>0.558563402327327</v>
      </c>
      <c r="X37" s="181"/>
    </row>
    <row r="38" customFormat="false" ht="15.75" hidden="false" customHeight="false" outlineLevel="0" collapsed="false">
      <c r="A38" s="121" t="s">
        <v>2119</v>
      </c>
      <c r="B38" s="588" t="n">
        <f aca="false">-B13*B35*0.88+B10*B13/(B10+B13-B13*B35*0.88)</f>
        <v>-1.11006157961051</v>
      </c>
      <c r="D38" s="181" t="n">
        <f aca="false">E38+F38</f>
        <v>0.68743280711102</v>
      </c>
      <c r="E38" s="181" t="n">
        <f aca="false">$B$7*$B$11*H38/100</f>
        <v>0.4875</v>
      </c>
      <c r="F38" s="181" t="n">
        <f aca="false">$B$7*$B$12*(100-T38)/100</f>
        <v>0.19993280711102</v>
      </c>
      <c r="G38" s="181" t="n">
        <f aca="false">100*D38/$B$7</f>
        <v>68.743280711102</v>
      </c>
      <c r="H38" s="181" t="n">
        <f aca="false">(1-K38)*100</f>
        <v>65</v>
      </c>
      <c r="I38" s="181" t="n">
        <f aca="false">F38/($B$7*$B$12)*100</f>
        <v>79.9731228444079</v>
      </c>
      <c r="J38" s="181" t="n">
        <f aca="false">H38/100</f>
        <v>0.65</v>
      </c>
      <c r="K38" s="581" t="n">
        <f aca="false">K37+0.01</f>
        <v>0.35</v>
      </c>
      <c r="L38" s="181" t="n">
        <f aca="false">MAX(-$B$13-$B$10*(K38),0)</f>
        <v>0</v>
      </c>
      <c r="M38" s="181" t="n">
        <f aca="false">$B$13/(1-K38)</f>
        <v>-2.30769230769231</v>
      </c>
      <c r="N38" s="181" t="n">
        <f aca="false">M38+L38</f>
        <v>-2.30769230769231</v>
      </c>
      <c r="O38" s="181" t="n">
        <f aca="false">-1/M38</f>
        <v>0.433333333333333</v>
      </c>
      <c r="P38" s="181" t="n">
        <f aca="false">-1/N38</f>
        <v>0.433333333333333</v>
      </c>
      <c r="Q38" s="181" t="n">
        <f aca="false">(D38-D39)/(N38-N39)</f>
        <v>0.289813560754876</v>
      </c>
      <c r="R38" s="181" t="n">
        <f aca="false">(E38-E39)/(N38-N39)</f>
        <v>0.207999999999997</v>
      </c>
      <c r="S38" s="181" t="n">
        <f aca="false">(F38-F39)/(N38-N39)</f>
        <v>0.081813560754877</v>
      </c>
      <c r="T38" s="181" t="n">
        <f aca="false">100/(1+EXP($B$19/25*(N38-$B$18)))</f>
        <v>20.0268771555921</v>
      </c>
      <c r="U38" s="181" t="n">
        <f aca="false">MAX(IF(H38/100&gt;($B$25),$B$41,$B$41*(1+(H38/100-$B$25)*$V$1)),0)</f>
        <v>2.34</v>
      </c>
      <c r="V38" s="181" t="n">
        <f aca="false">MAX(IF(H38/100&gt;$B$25,$B$41,$B$41*EXP((H38/100-$B$25)*$V$1)),0)</f>
        <v>2.40755639388744</v>
      </c>
      <c r="W38" s="181" t="n">
        <v>0.543904322667223</v>
      </c>
      <c r="X38" s="181"/>
    </row>
    <row r="39" customFormat="false" ht="15.75" hidden="false" customHeight="false" outlineLevel="0" collapsed="false">
      <c r="A39" s="121" t="s">
        <v>2120</v>
      </c>
      <c r="B39" s="588" t="n">
        <f aca="false">-B13*B35*0.12+B10*B13/(B10+B13-B13*B35*0.12)</f>
        <v>-1.6746323381576</v>
      </c>
      <c r="D39" s="181" t="n">
        <f aca="false">E39+F39</f>
        <v>0.676982798910724</v>
      </c>
      <c r="E39" s="181" t="n">
        <f aca="false">$B$7*$B$11*H39/100</f>
        <v>0.48</v>
      </c>
      <c r="F39" s="181" t="n">
        <f aca="false">$B$7*$B$12*(100-T39)/100</f>
        <v>0.196982798910724</v>
      </c>
      <c r="G39" s="181" t="n">
        <f aca="false">100*D39/$B$7</f>
        <v>67.6982798910724</v>
      </c>
      <c r="H39" s="181" t="n">
        <f aca="false">(1-K39)*100</f>
        <v>64</v>
      </c>
      <c r="I39" s="181" t="n">
        <f aca="false">F39/($B$7*$B$12)*100</f>
        <v>78.7931195642895</v>
      </c>
      <c r="J39" s="181" t="n">
        <f aca="false">H39/100</f>
        <v>0.64</v>
      </c>
      <c r="K39" s="581" t="n">
        <f aca="false">K38+0.01</f>
        <v>0.36</v>
      </c>
      <c r="L39" s="181" t="n">
        <f aca="false">MAX(-$B$13-$B$10*(K39),0)</f>
        <v>0</v>
      </c>
      <c r="M39" s="181" t="n">
        <f aca="false">$B$13/(1-K39)</f>
        <v>-2.34375</v>
      </c>
      <c r="N39" s="181" t="n">
        <f aca="false">M39+L39</f>
        <v>-2.34375</v>
      </c>
      <c r="O39" s="181" t="n">
        <f aca="false">-1/M39</f>
        <v>0.426666666666667</v>
      </c>
      <c r="P39" s="181" t="n">
        <f aca="false">-1/N39</f>
        <v>0.426666666666667</v>
      </c>
      <c r="Q39" s="181" t="n">
        <f aca="false">(D39-D40)/(N39-N40)</f>
        <v>0.286936653494055</v>
      </c>
      <c r="R39" s="181" t="n">
        <f aca="false">(E39-E40)/(N39-N40)</f>
        <v>0.201600000000002</v>
      </c>
      <c r="S39" s="181" t="n">
        <f aca="false">(F39-F40)/(N39-N40)</f>
        <v>0.0853366534940551</v>
      </c>
      <c r="T39" s="181" t="n">
        <f aca="false">100/(1+EXP($B$19/25*(N39-$B$18)))</f>
        <v>21.2068804357105</v>
      </c>
      <c r="U39" s="181" t="n">
        <f aca="false">MAX(IF(H39/100&gt;($B$25),$B$41,$B$41*(1+(H39/100-$B$25)*$V$1)),0)</f>
        <v>2.307</v>
      </c>
      <c r="V39" s="181" t="n">
        <f aca="false">MAX(IF(H39/100&gt;$B$25,$B$41,$B$41*EXP((H39/100-$B$25)*$V$1)),0)</f>
        <v>2.38121839810573</v>
      </c>
      <c r="W39" s="181" t="n">
        <v>0.529837185813677</v>
      </c>
      <c r="X39" s="181"/>
    </row>
    <row r="40" customFormat="false" ht="15.75" hidden="false" customHeight="false" outlineLevel="0" collapsed="false">
      <c r="D40" s="181" t="n">
        <f aca="false">E40+F40</f>
        <v>0.666308072218236</v>
      </c>
      <c r="E40" s="181" t="n">
        <f aca="false">$B$7*$B$11*H40/100</f>
        <v>0.4725</v>
      </c>
      <c r="F40" s="181" t="n">
        <f aca="false">$B$7*$B$12*(100-T40)/100</f>
        <v>0.193808072218236</v>
      </c>
      <c r="G40" s="181" t="n">
        <f aca="false">100*D40/$B$7</f>
        <v>66.6308072218236</v>
      </c>
      <c r="H40" s="181" t="n">
        <f aca="false">(1-K40)*100</f>
        <v>63</v>
      </c>
      <c r="I40" s="181" t="n">
        <f aca="false">F40/($B$7*$B$12)*100</f>
        <v>77.5232288872946</v>
      </c>
      <c r="J40" s="181" t="n">
        <f aca="false">H40/100</f>
        <v>0.63</v>
      </c>
      <c r="K40" s="581" t="n">
        <f aca="false">K39+0.01</f>
        <v>0.37</v>
      </c>
      <c r="L40" s="181" t="n">
        <f aca="false">MAX(-$B$13-$B$10*(K40),0)</f>
        <v>0</v>
      </c>
      <c r="M40" s="181" t="n">
        <f aca="false">$B$13/(1-K40)</f>
        <v>-2.38095238095238</v>
      </c>
      <c r="N40" s="181" t="n">
        <f aca="false">M40+L40</f>
        <v>-2.38095238095238</v>
      </c>
      <c r="O40" s="181" t="n">
        <f aca="false">-1/M40</f>
        <v>0.42</v>
      </c>
      <c r="P40" s="181" t="n">
        <f aca="false">-1/N40</f>
        <v>0.42</v>
      </c>
      <c r="Q40" s="181" t="n">
        <f aca="false">(D40-D41)/(N40-N41)</f>
        <v>0.284260417873306</v>
      </c>
      <c r="R40" s="181" t="n">
        <f aca="false">(E40-E41)/(N40-N41)</f>
        <v>0.1953</v>
      </c>
      <c r="S40" s="181" t="n">
        <f aca="false">(F40-F41)/(N40-N41)</f>
        <v>0.0889604178733062</v>
      </c>
      <c r="T40" s="181" t="n">
        <f aca="false">100/(1+EXP($B$19/25*(N40-$B$18)))</f>
        <v>22.4767711127054</v>
      </c>
      <c r="U40" s="181" t="n">
        <f aca="false">MAX(IF(H40/100&gt;($B$25),$B$41,$B$41*(1+(H40/100-$B$25)*$V$1)),0)</f>
        <v>2.274</v>
      </c>
      <c r="V40" s="181" t="n">
        <f aca="false">MAX(IF(H40/100&gt;$B$25,$B$41,$B$41*EXP((H40/100-$B$25)*$V$1)),0)</f>
        <v>2.35516853265549</v>
      </c>
      <c r="W40" s="181" t="n">
        <v>0.516325312176693</v>
      </c>
      <c r="X40" s="181"/>
    </row>
    <row r="41" customFormat="false" ht="15.75" hidden="false" customHeight="false" outlineLevel="0" collapsed="false">
      <c r="A41" s="589" t="s">
        <v>2078</v>
      </c>
      <c r="B41" s="0" t="n">
        <v>3</v>
      </c>
      <c r="D41" s="181" t="n">
        <f aca="false">E41+F41</f>
        <v>0.655391773528785</v>
      </c>
      <c r="E41" s="181" t="n">
        <f aca="false">$B$7*$B$11*H41/100</f>
        <v>0.465</v>
      </c>
      <c r="F41" s="181" t="n">
        <f aca="false">$B$7*$B$12*(100-T41)/100</f>
        <v>0.190391773528785</v>
      </c>
      <c r="G41" s="181" t="n">
        <f aca="false">100*D41/$B$7</f>
        <v>65.5391773528785</v>
      </c>
      <c r="H41" s="181" t="n">
        <f aca="false">(1-K41)*100</f>
        <v>62</v>
      </c>
      <c r="I41" s="181" t="n">
        <f aca="false">F41/($B$7*$B$12)*100</f>
        <v>76.1567094115142</v>
      </c>
      <c r="J41" s="181" t="n">
        <f aca="false">H41/100</f>
        <v>0.62</v>
      </c>
      <c r="K41" s="581" t="n">
        <f aca="false">K40+0.01</f>
        <v>0.38</v>
      </c>
      <c r="L41" s="181" t="n">
        <f aca="false">MAX(-$B$13-$B$10*(K41),0)</f>
        <v>0</v>
      </c>
      <c r="M41" s="181" t="n">
        <f aca="false">$B$13/(1-K41)</f>
        <v>-2.41935483870968</v>
      </c>
      <c r="N41" s="181" t="n">
        <f aca="false">M41+L41</f>
        <v>-2.41935483870968</v>
      </c>
      <c r="O41" s="181" t="n">
        <f aca="false">-1/M41</f>
        <v>0.413333333333333</v>
      </c>
      <c r="P41" s="181" t="n">
        <f aca="false">-1/N41</f>
        <v>0.413333333333333</v>
      </c>
      <c r="Q41" s="181" t="n">
        <f aca="false">(D41-D42)/(N41-N42)</f>
        <v>0.281765394798184</v>
      </c>
      <c r="R41" s="181" t="n">
        <f aca="false">(E41-E42)/(N41-N42)</f>
        <v>0.1891</v>
      </c>
      <c r="S41" s="181" t="n">
        <f aca="false">(F41-F42)/(N41-N42)</f>
        <v>0.0926653947981833</v>
      </c>
      <c r="T41" s="181" t="n">
        <f aca="false">100/(1+EXP($B$19/25*(N41-$B$18)))</f>
        <v>23.8432905884858</v>
      </c>
      <c r="U41" s="181" t="n">
        <f aca="false">MAX(IF(H41/100&gt;($B$25),$B$41,$B$41*(1+(H41/100-$B$25)*$V$1)),0)</f>
        <v>2.241</v>
      </c>
      <c r="V41" s="181" t="n">
        <f aca="false">MAX(IF(H41/100&gt;$B$25,$B$41,$B$41*EXP((H41/100-$B$25)*$V$1)),0)</f>
        <v>2.32940364547121</v>
      </c>
      <c r="W41" s="181" t="n">
        <v>0.503333817672983</v>
      </c>
      <c r="X41" s="181"/>
    </row>
    <row r="42" customFormat="false" ht="15.75" hidden="false" customHeight="false" outlineLevel="0" collapsed="false">
      <c r="D42" s="181" t="n">
        <f aca="false">E42+F42</f>
        <v>0.644216519901147</v>
      </c>
      <c r="E42" s="181" t="n">
        <f aca="false">$B$7*$B$11*H42/100</f>
        <v>0.4575</v>
      </c>
      <c r="F42" s="181" t="n">
        <f aca="false">$B$7*$B$12*(100-T42)/100</f>
        <v>0.186716519901147</v>
      </c>
      <c r="G42" s="181" t="n">
        <f aca="false">100*D42/$B$7</f>
        <v>64.4216519901147</v>
      </c>
      <c r="H42" s="181" t="n">
        <f aca="false">(1-K42)*100</f>
        <v>61</v>
      </c>
      <c r="I42" s="181" t="n">
        <f aca="false">F42/($B$7*$B$12)*100</f>
        <v>74.6866079604589</v>
      </c>
      <c r="J42" s="181" t="n">
        <f aca="false">H42/100</f>
        <v>0.61</v>
      </c>
      <c r="K42" s="581" t="n">
        <f aca="false">K41+0.01</f>
        <v>0.39</v>
      </c>
      <c r="L42" s="181" t="n">
        <f aca="false">MAX(-$B$13-$B$10*(K42),0)</f>
        <v>0</v>
      </c>
      <c r="M42" s="181" t="n">
        <f aca="false">$B$13/(1-K42)</f>
        <v>-2.45901639344262</v>
      </c>
      <c r="N42" s="181" t="n">
        <f aca="false">M42+L42</f>
        <v>-2.45901639344262</v>
      </c>
      <c r="O42" s="181" t="n">
        <f aca="false">-1/M42</f>
        <v>0.406666666666667</v>
      </c>
      <c r="P42" s="181" t="n">
        <f aca="false">-1/N42</f>
        <v>0.406666666666667</v>
      </c>
      <c r="Q42" s="181" t="n">
        <f aca="false">(D42-D43)/(N42-N43)</f>
        <v>0.279425755944965</v>
      </c>
      <c r="R42" s="181" t="n">
        <f aca="false">(E42-E43)/(N42-N43)</f>
        <v>0.183</v>
      </c>
      <c r="S42" s="181" t="n">
        <f aca="false">(F42-F43)/(N42-N43)</f>
        <v>0.0964257559449642</v>
      </c>
      <c r="T42" s="181" t="n">
        <f aca="false">100/(1+EXP($B$19/25*(N42-$B$18)))</f>
        <v>25.3133920395411</v>
      </c>
      <c r="U42" s="181" t="n">
        <f aca="false">MAX(IF(H42/100&gt;($B$25),$B$41,$B$41*(1+(H42/100-$B$25)*$V$1)),0)</f>
        <v>2.208</v>
      </c>
      <c r="V42" s="181" t="n">
        <f aca="false">MAX(IF(H42/100&gt;$B$25,$B$41,$B$41*EXP((H42/100-$B$25)*$V$1)),0)</f>
        <v>2.30392061897012</v>
      </c>
      <c r="W42" s="181" t="n">
        <v>0.490829681472322</v>
      </c>
      <c r="X42" s="181"/>
    </row>
    <row r="43" customFormat="false" ht="15.75" hidden="false" customHeight="false" outlineLevel="0" collapsed="false">
      <c r="D43" s="181" t="n">
        <f aca="false">E43+F43</f>
        <v>0.632764644657501</v>
      </c>
      <c r="E43" s="181" t="n">
        <f aca="false">$B$7*$B$11*H43/100</f>
        <v>0.45</v>
      </c>
      <c r="F43" s="181" t="n">
        <f aca="false">$B$7*$B$12*(100-T43)/100</f>
        <v>0.182764644657501</v>
      </c>
      <c r="G43" s="181" t="n">
        <f aca="false">100*D43/$B$7</f>
        <v>63.2764644657501</v>
      </c>
      <c r="H43" s="181" t="n">
        <f aca="false">(1-K43)*100</f>
        <v>60</v>
      </c>
      <c r="I43" s="181" t="n">
        <f aca="false">F43/($B$7*$B$12)*100</f>
        <v>73.1058578630005</v>
      </c>
      <c r="J43" s="181" t="n">
        <f aca="false">H43/100</f>
        <v>0.6</v>
      </c>
      <c r="K43" s="581" t="n">
        <f aca="false">K42+0.01</f>
        <v>0.4</v>
      </c>
      <c r="L43" s="181" t="n">
        <f aca="false">MAX(-$B$13-$B$10*(K43),0)</f>
        <v>0</v>
      </c>
      <c r="M43" s="181" t="n">
        <f aca="false">$B$13/(1-K43)</f>
        <v>-2.5</v>
      </c>
      <c r="N43" s="181" t="n">
        <f aca="false">M43+L43</f>
        <v>-2.5</v>
      </c>
      <c r="O43" s="181" t="n">
        <f aca="false">-1/M43</f>
        <v>0.4</v>
      </c>
      <c r="P43" s="181" t="n">
        <f aca="false">-1/N43</f>
        <v>0.4</v>
      </c>
      <c r="Q43" s="181" t="n">
        <f aca="false">(D43-D44)/(N43-N44)</f>
        <v>0.277208200868102</v>
      </c>
      <c r="R43" s="181" t="n">
        <f aca="false">(E43-E44)/(N43-N44)</f>
        <v>0.176999999999999</v>
      </c>
      <c r="S43" s="181" t="n">
        <f aca="false">(F43-F44)/(N43-N44)</f>
        <v>0.100208200868102</v>
      </c>
      <c r="T43" s="181" t="n">
        <f aca="false">100/(1+EXP($B$19/25*(N43-$B$18)))</f>
        <v>26.8941421369995</v>
      </c>
      <c r="U43" s="181" t="n">
        <f aca="false">MAX(IF(H43/100&gt;($B$25),$B$41,$B$41*(1+(H43/100-$B$25)*$V$1)),0)</f>
        <v>2.175</v>
      </c>
      <c r="V43" s="181" t="n">
        <f aca="false">MAX(IF(H43/100&gt;$B$25,$B$41,$B$41*EXP((H43/100-$B$25)*$V$1)),0)</f>
        <v>2.2787163696749</v>
      </c>
      <c r="W43" s="181" t="n">
        <v>0.478781788120589</v>
      </c>
      <c r="X43" s="181"/>
    </row>
    <row r="44" customFormat="false" ht="15.75" hidden="false" customHeight="false" outlineLevel="0" collapsed="false">
      <c r="D44" s="181" t="n">
        <f aca="false">E44+F44</f>
        <v>0.621018534451225</v>
      </c>
      <c r="E44" s="181" t="n">
        <f aca="false">$B$7*$B$11*H44/100</f>
        <v>0.4425</v>
      </c>
      <c r="F44" s="181" t="n">
        <f aca="false">$B$7*$B$12*(100-T44)/100</f>
        <v>0.178518534451226</v>
      </c>
      <c r="G44" s="181" t="n">
        <f aca="false">100*D44/$B$7</f>
        <v>62.1018534451225</v>
      </c>
      <c r="H44" s="181" t="n">
        <f aca="false">(1-K44)*100</f>
        <v>59</v>
      </c>
      <c r="I44" s="181" t="n">
        <f aca="false">F44/($B$7*$B$12)*100</f>
        <v>71.4074137804903</v>
      </c>
      <c r="J44" s="181" t="n">
        <f aca="false">H44/100</f>
        <v>0.59</v>
      </c>
      <c r="K44" s="581" t="n">
        <f aca="false">K43+0.01</f>
        <v>0.41</v>
      </c>
      <c r="L44" s="181" t="n">
        <f aca="false">MAX(-$B$13-$B$10*(K44),0)</f>
        <v>0</v>
      </c>
      <c r="M44" s="181" t="n">
        <f aca="false">$B$13/(1-K44)</f>
        <v>-2.54237288135593</v>
      </c>
      <c r="N44" s="181" t="n">
        <f aca="false">M44+L44</f>
        <v>-2.54237288135593</v>
      </c>
      <c r="O44" s="181" t="n">
        <f aca="false">-1/M44</f>
        <v>0.393333333333333</v>
      </c>
      <c r="P44" s="181" t="n">
        <f aca="false">-1/N44</f>
        <v>0.393333333333333</v>
      </c>
      <c r="Q44" s="181" t="n">
        <f aca="false">(D44-D45)/(N44-N45)</f>
        <v>0.275070817678938</v>
      </c>
      <c r="R44" s="181" t="n">
        <f aca="false">(E44-E45)/(N44-N45)</f>
        <v>0.171100000000001</v>
      </c>
      <c r="S44" s="181" t="n">
        <f aca="false">(F44-F45)/(N44-N45)</f>
        <v>0.103970817678937</v>
      </c>
      <c r="T44" s="181" t="n">
        <f aca="false">100/(1+EXP($B$19/25*(N44-$B$18)))</f>
        <v>28.5925862195097</v>
      </c>
      <c r="U44" s="181" t="n">
        <f aca="false">MAX(IF(H44/100&gt;($B$25),$B$41,$B$41*(1+(H44/100-$B$25)*$V$1)),0)</f>
        <v>2.142</v>
      </c>
      <c r="V44" s="181" t="n">
        <f aca="false">MAX(IF(H44/100&gt;$B$25,$B$41,$B$41*EXP((H44/100-$B$25)*$V$1)),0)</f>
        <v>2.25378784784066</v>
      </c>
      <c r="W44" s="181" t="n">
        <v>0.467160945868947</v>
      </c>
      <c r="X44" s="181"/>
    </row>
    <row r="45" customFormat="false" ht="15.75" hidden="false" customHeight="false" outlineLevel="0" collapsed="false">
      <c r="D45" s="181" t="n">
        <f aca="false">E45+F45</f>
        <v>0.608961076049168</v>
      </c>
      <c r="E45" s="181" t="n">
        <f aca="false">$B$7*$B$11*H45/100</f>
        <v>0.435</v>
      </c>
      <c r="F45" s="181" t="n">
        <f aca="false">$B$7*$B$12*(100-T45)/100</f>
        <v>0.173961076049168</v>
      </c>
      <c r="G45" s="181" t="n">
        <f aca="false">100*D45/$B$7</f>
        <v>60.8961076049168</v>
      </c>
      <c r="H45" s="181" t="n">
        <f aca="false">(1-K45)*100</f>
        <v>58</v>
      </c>
      <c r="I45" s="181" t="n">
        <f aca="false">F45/($B$7*$B$12)*100</f>
        <v>69.5844304196673</v>
      </c>
      <c r="J45" s="181" t="n">
        <f aca="false">H45/100</f>
        <v>0.58</v>
      </c>
      <c r="K45" s="581" t="n">
        <f aca="false">K44+0.01</f>
        <v>0.42</v>
      </c>
      <c r="L45" s="181" t="n">
        <f aca="false">MAX(-$B$13-$B$10*(K45),0)</f>
        <v>0</v>
      </c>
      <c r="M45" s="181" t="n">
        <f aca="false">$B$13/(1-K45)</f>
        <v>-2.58620689655172</v>
      </c>
      <c r="N45" s="181" t="n">
        <f aca="false">M45+L45</f>
        <v>-2.58620689655172</v>
      </c>
      <c r="O45" s="181" t="n">
        <f aca="false">-1/M45</f>
        <v>0.386666666666667</v>
      </c>
      <c r="P45" s="181" t="n">
        <f aca="false">-1/N45</f>
        <v>0.386666666666667</v>
      </c>
      <c r="Q45" s="181" t="n">
        <f aca="false">(D45-D46)/(N45-N46)</f>
        <v>0.272961973886431</v>
      </c>
      <c r="R45" s="181" t="n">
        <f aca="false">(E45-E46)/(N45-N46)</f>
        <v>0.165299999999998</v>
      </c>
      <c r="S45" s="181" t="n">
        <f aca="false">(F45-F46)/(N45-N46)</f>
        <v>0.107661973886433</v>
      </c>
      <c r="T45" s="181" t="n">
        <f aca="false">100/(1+EXP($B$19/25*(N45-$B$18)))</f>
        <v>30.4155695803327</v>
      </c>
      <c r="U45" s="181" t="n">
        <f aca="false">MAX(IF(H45/100&gt;($B$25),$B$41,$B$41*(1+(H45/100-$B$25)*$V$1)),0)</f>
        <v>2.109</v>
      </c>
      <c r="V45" s="181" t="n">
        <f aca="false">MAX(IF(H45/100&gt;$B$25,$B$41,$B$41*EXP((H45/100-$B$25)*$V$1)),0)</f>
        <v>2.22913203708582</v>
      </c>
      <c r="W45" s="181" t="n">
        <v>0.455939883288902</v>
      </c>
      <c r="X45" s="181"/>
    </row>
    <row r="46" customFormat="false" ht="15.75" hidden="false" customHeight="false" outlineLevel="0" collapsed="false">
      <c r="D46" s="181" t="n">
        <f aca="false">E46+F46</f>
        <v>0.596576231498967</v>
      </c>
      <c r="E46" s="181" t="n">
        <f aca="false">$B$7*$B$11*H46/100</f>
        <v>0.4275</v>
      </c>
      <c r="F46" s="181" t="n">
        <f aca="false">$B$7*$B$12*(100-T46)/100</f>
        <v>0.169076231498967</v>
      </c>
      <c r="G46" s="181" t="n">
        <f aca="false">100*D46/$B$7</f>
        <v>59.6576231498967</v>
      </c>
      <c r="H46" s="181" t="n">
        <f aca="false">(1-K46)*100</f>
        <v>57</v>
      </c>
      <c r="I46" s="181" t="n">
        <f aca="false">F46/($B$7*$B$12)*100</f>
        <v>67.6304925995868</v>
      </c>
      <c r="J46" s="181" t="n">
        <f aca="false">H46/100</f>
        <v>0.57</v>
      </c>
      <c r="K46" s="581" t="n">
        <f aca="false">K45+0.01</f>
        <v>0.43</v>
      </c>
      <c r="L46" s="181" t="n">
        <f aca="false">MAX(-$B$13-$B$10*(K46),0)</f>
        <v>0</v>
      </c>
      <c r="M46" s="181" t="n">
        <f aca="false">$B$13/(1-K46)</f>
        <v>-2.63157894736842</v>
      </c>
      <c r="N46" s="181" t="n">
        <f aca="false">M46+L46</f>
        <v>-2.63157894736842</v>
      </c>
      <c r="O46" s="181" t="n">
        <f aca="false">-1/M46</f>
        <v>0.38</v>
      </c>
      <c r="P46" s="181" t="n">
        <f aca="false">-1/N46</f>
        <v>0.38</v>
      </c>
      <c r="Q46" s="181" t="n">
        <f aca="false">(D46-D47)/(N46-N47)</f>
        <v>0.270819335994888</v>
      </c>
      <c r="R46" s="181" t="n">
        <f aca="false">(E46-E47)/(N46-N47)</f>
        <v>0.1596</v>
      </c>
      <c r="S46" s="181" t="n">
        <f aca="false">(F46-F47)/(N46-N47)</f>
        <v>0.111219335994889</v>
      </c>
      <c r="T46" s="181" t="n">
        <f aca="false">100/(1+EXP($B$19/25*(N46-$B$18)))</f>
        <v>32.3695074004132</v>
      </c>
      <c r="U46" s="181" t="n">
        <f aca="false">MAX(IF(H46/100&gt;($B$25),$B$41,$B$41*(1+(H46/100-$B$25)*$V$1)),0)</f>
        <v>2.076</v>
      </c>
      <c r="V46" s="181" t="n">
        <f aca="false">MAX(IF(H46/100&gt;$B$25,$B$41,$B$41*EXP((H46/100-$B$25)*$V$1)),0)</f>
        <v>2.20474595402721</v>
      </c>
      <c r="W46" s="181" t="n">
        <v>0.445093226418061</v>
      </c>
      <c r="X46" s="181"/>
    </row>
    <row r="47" customFormat="false" ht="15.75" hidden="false" customHeight="false" outlineLevel="0" collapsed="false">
      <c r="D47" s="181" t="n">
        <f aca="false">E47+F47</f>
        <v>0.583849758942816</v>
      </c>
      <c r="E47" s="181" t="n">
        <f aca="false">$B$7*$B$11*H47/100</f>
        <v>0.42</v>
      </c>
      <c r="F47" s="181" t="n">
        <f aca="false">$B$7*$B$12*(100-T47)/100</f>
        <v>0.163849758942816</v>
      </c>
      <c r="G47" s="181" t="n">
        <f aca="false">100*D47/$B$7</f>
        <v>58.3849758942816</v>
      </c>
      <c r="H47" s="181" t="n">
        <f aca="false">(1-K47)*100</f>
        <v>56</v>
      </c>
      <c r="I47" s="181" t="n">
        <f aca="false">F47/($B$7*$B$12)*100</f>
        <v>65.5399035771265</v>
      </c>
      <c r="J47" s="181" t="n">
        <f aca="false">H47/100</f>
        <v>0.56</v>
      </c>
      <c r="K47" s="581" t="n">
        <f aca="false">K46+0.01</f>
        <v>0.44</v>
      </c>
      <c r="L47" s="181" t="n">
        <f aca="false">MAX(-$B$13-$B$10*(K47),0)</f>
        <v>0</v>
      </c>
      <c r="M47" s="181" t="n">
        <f aca="false">$B$13/(1-K47)</f>
        <v>-2.67857142857143</v>
      </c>
      <c r="N47" s="181" t="n">
        <f aca="false">M47+L47</f>
        <v>-2.67857142857143</v>
      </c>
      <c r="O47" s="181" t="n">
        <f aca="false">-1/M47</f>
        <v>0.373333333333333</v>
      </c>
      <c r="P47" s="181" t="n">
        <f aca="false">-1/N47</f>
        <v>0.373333333333333</v>
      </c>
      <c r="Q47" s="181" t="n">
        <f aca="false">(D47-D48)/(N47-N48)</f>
        <v>0.268569154784357</v>
      </c>
      <c r="R47" s="181" t="n">
        <f aca="false">(E47-E48)/(N47-N48)</f>
        <v>0.154</v>
      </c>
      <c r="S47" s="181" t="n">
        <f aca="false">(F47-F48)/(N47-N48)</f>
        <v>0.114569154784355</v>
      </c>
      <c r="T47" s="181" t="n">
        <f aca="false">100/(1+EXP($B$19/25*(N47-$B$18)))</f>
        <v>34.4600964228735</v>
      </c>
      <c r="U47" s="181" t="n">
        <f aca="false">MAX(IF(H47/100&gt;($B$25),$B$41,$B$41*(1+(H47/100-$B$25)*$V$1)),0)</f>
        <v>2.043</v>
      </c>
      <c r="V47" s="181" t="n">
        <f aca="false">MAX(IF(H47/100&gt;$B$25,$B$41,$B$41*EXP((H47/100-$B$25)*$V$1)),0)</f>
        <v>2.18062664791901</v>
      </c>
      <c r="W47" s="181" t="n">
        <v>0.434597458770469</v>
      </c>
      <c r="X47" s="181"/>
    </row>
    <row r="48" customFormat="false" ht="15.75" hidden="false" customHeight="false" outlineLevel="0" collapsed="false">
      <c r="D48" s="181" t="n">
        <f aca="false">E48+F48</f>
        <v>0.570770092313708</v>
      </c>
      <c r="E48" s="181" t="n">
        <f aca="false">$B$7*$B$11*H48/100</f>
        <v>0.4125</v>
      </c>
      <c r="F48" s="181" t="n">
        <f aca="false">$B$7*$B$12*(100-T48)/100</f>
        <v>0.158270092313708</v>
      </c>
      <c r="G48" s="181" t="n">
        <f aca="false">100*D48/$B$7</f>
        <v>57.0770092313708</v>
      </c>
      <c r="H48" s="181" t="n">
        <f aca="false">(1-K48)*100</f>
        <v>55</v>
      </c>
      <c r="I48" s="181" t="n">
        <f aca="false">F48/($B$7*$B$12)*100</f>
        <v>63.3080369254832</v>
      </c>
      <c r="J48" s="181" t="n">
        <f aca="false">H48/100</f>
        <v>0.55</v>
      </c>
      <c r="K48" s="581" t="n">
        <f aca="false">K47+0.01</f>
        <v>0.45</v>
      </c>
      <c r="L48" s="181" t="n">
        <f aca="false">MAX(-$B$13-$B$10*(K48),0)</f>
        <v>0</v>
      </c>
      <c r="M48" s="181" t="n">
        <f aca="false">$B$13/(1-K48)</f>
        <v>-2.72727272727273</v>
      </c>
      <c r="N48" s="181" t="n">
        <f aca="false">M48+L48</f>
        <v>-2.72727272727273</v>
      </c>
      <c r="O48" s="181" t="n">
        <f aca="false">-1/M48</f>
        <v>0.366666666666667</v>
      </c>
      <c r="P48" s="181" t="n">
        <f aca="false">-1/N48</f>
        <v>0.366666666666667</v>
      </c>
      <c r="Q48" s="181" t="n">
        <f aca="false">(D48-D49)/(N48-N49)</f>
        <v>0.266125995685795</v>
      </c>
      <c r="R48" s="181" t="n">
        <f aca="false">(E48-E49)/(N48-N49)</f>
        <v>0.1485</v>
      </c>
      <c r="S48" s="181" t="n">
        <f aca="false">(F48-F49)/(N48-N49)</f>
        <v>0.117625995685796</v>
      </c>
      <c r="T48" s="181" t="n">
        <f aca="false">100/(1+EXP($B$19/25*(N48-$B$18)))</f>
        <v>36.6919630745168</v>
      </c>
      <c r="U48" s="181" t="n">
        <f aca="false">MAX(IF(H48/100&gt;($B$25),$B$41,$B$41*(1+(H48/100-$B$25)*$V$1)),0)</f>
        <v>2.01</v>
      </c>
      <c r="V48" s="181" t="n">
        <f aca="false">MAX(IF(H48/100&gt;$B$25,$B$41,$B$41*EXP((H48/100-$B$25)*$V$1)),0)</f>
        <v>2.15677120029578</v>
      </c>
      <c r="W48" s="181" t="n">
        <v>0.424430866568588</v>
      </c>
      <c r="X48" s="181"/>
    </row>
    <row r="49" customFormat="false" ht="15.75" hidden="false" customHeight="false" outlineLevel="0" collapsed="false">
      <c r="D49" s="181" t="n">
        <f aca="false">E49+F49</f>
        <v>0.55732938546089</v>
      </c>
      <c r="E49" s="181" t="n">
        <f aca="false">$B$7*$B$11*H49/100</f>
        <v>0.405</v>
      </c>
      <c r="F49" s="181" t="n">
        <f aca="false">$B$7*$B$12*(100-T49)/100</f>
        <v>0.15232938546089</v>
      </c>
      <c r="G49" s="181" t="n">
        <f aca="false">100*D49/$B$7</f>
        <v>55.732938546089</v>
      </c>
      <c r="H49" s="181" t="n">
        <f aca="false">(1-K49)*100</f>
        <v>54</v>
      </c>
      <c r="I49" s="181" t="n">
        <f aca="false">F49/($B$7*$B$12)*100</f>
        <v>60.931754184356</v>
      </c>
      <c r="J49" s="181" t="n">
        <f aca="false">H49/100</f>
        <v>0.54</v>
      </c>
      <c r="K49" s="581" t="n">
        <f aca="false">K48+0.01</f>
        <v>0.46</v>
      </c>
      <c r="L49" s="181" t="n">
        <f aca="false">MAX(-$B$13-$B$10*(K49),0)</f>
        <v>0</v>
      </c>
      <c r="M49" s="181" t="n">
        <f aca="false">$B$13/(1-K49)</f>
        <v>-2.77777777777778</v>
      </c>
      <c r="N49" s="181" t="n">
        <f aca="false">M49+L49</f>
        <v>-2.77777777777778</v>
      </c>
      <c r="O49" s="181" t="n">
        <f aca="false">-1/M49</f>
        <v>0.36</v>
      </c>
      <c r="P49" s="181" t="n">
        <f aca="false">-1/N49</f>
        <v>0.36</v>
      </c>
      <c r="Q49" s="181" t="n">
        <f aca="false">(D49-D50)/(N49-N50)</f>
        <v>0.263393135598837</v>
      </c>
      <c r="R49" s="181" t="n">
        <f aca="false">(E49-E50)/(N49-N50)</f>
        <v>0.143099999999999</v>
      </c>
      <c r="S49" s="181" t="n">
        <f aca="false">(F49-F50)/(N49-N50)</f>
        <v>0.120293135598837</v>
      </c>
      <c r="T49" s="181" t="n">
        <f aca="false">100/(1+EXP($B$19/25*(N49-$B$18)))</f>
        <v>39.068245815644</v>
      </c>
      <c r="U49" s="181" t="n">
        <f aca="false">MAX(IF(H49/100&gt;($B$25),$B$41,$B$41*(1+(H49/100-$B$25)*$V$1)),0)</f>
        <v>1.977</v>
      </c>
      <c r="V49" s="181" t="n">
        <f aca="false">MAX(IF(H49/100&gt;$B$25,$B$41,$B$41*EXP((H49/100-$B$25)*$V$1)),0)</f>
        <v>2.13317672461923</v>
      </c>
      <c r="W49" s="181" t="n">
        <v>0.414573471522351</v>
      </c>
      <c r="X49" s="181"/>
    </row>
    <row r="50" customFormat="false" ht="15.75" hidden="false" customHeight="false" outlineLevel="0" collapsed="false">
      <c r="D50" s="181" t="n">
        <f aca="false">E50+F50</f>
        <v>0.543524713783802</v>
      </c>
      <c r="E50" s="181" t="n">
        <f aca="false">$B$7*$B$11*H50/100</f>
        <v>0.3975</v>
      </c>
      <c r="F50" s="181" t="n">
        <f aca="false">$B$7*$B$12*(100-T50)/100</f>
        <v>0.146024713783802</v>
      </c>
      <c r="G50" s="181" t="n">
        <f aca="false">100*D50/$B$7</f>
        <v>54.3524713783802</v>
      </c>
      <c r="H50" s="181" t="n">
        <f aca="false">(1-K50)*100</f>
        <v>53</v>
      </c>
      <c r="I50" s="181" t="n">
        <f aca="false">F50/($B$7*$B$12)*100</f>
        <v>58.4098855135209</v>
      </c>
      <c r="J50" s="181" t="n">
        <f aca="false">H50/100</f>
        <v>0.53</v>
      </c>
      <c r="K50" s="581" t="n">
        <f aca="false">K49+0.01</f>
        <v>0.47</v>
      </c>
      <c r="L50" s="181" t="n">
        <f aca="false">MAX(-$B$13-$B$10*(K50),0)</f>
        <v>0</v>
      </c>
      <c r="M50" s="181" t="n">
        <f aca="false">$B$13/(1-K50)</f>
        <v>-2.83018867924528</v>
      </c>
      <c r="N50" s="181" t="n">
        <f aca="false">M50+L50</f>
        <v>-2.83018867924528</v>
      </c>
      <c r="O50" s="181" t="n">
        <f aca="false">-1/M50</f>
        <v>0.353333333333333</v>
      </c>
      <c r="P50" s="181" t="n">
        <f aca="false">-1/N50</f>
        <v>0.353333333333333</v>
      </c>
      <c r="Q50" s="181" t="n">
        <f aca="false">(D50-D51)/(N50-N51)</f>
        <v>0.260263880748454</v>
      </c>
      <c r="R50" s="181" t="n">
        <f aca="false">(E50-E51)/(N50-N51)</f>
        <v>0.1378</v>
      </c>
      <c r="S50" s="181" t="n">
        <f aca="false">(F50-F51)/(N50-N51)</f>
        <v>0.122463880748456</v>
      </c>
      <c r="T50" s="181" t="n">
        <f aca="false">100/(1+EXP($B$19/25*(N50-$B$18)))</f>
        <v>41.5901144864791</v>
      </c>
      <c r="U50" s="181" t="n">
        <f aca="false">MAX(IF(H50/100&gt;($B$25),$B$41,$B$41*(1+(H50/100-$B$25)*$V$1)),0)</f>
        <v>1.944</v>
      </c>
      <c r="V50" s="181" t="n">
        <f aca="false">MAX(IF(H50/100&gt;$B$25,$B$41,$B$41*EXP((H50/100-$B$25)*$V$1)),0)</f>
        <v>2.10984036592902</v>
      </c>
      <c r="W50" s="181" t="n">
        <v>0.405006953404645</v>
      </c>
      <c r="X50" s="181"/>
    </row>
    <row r="51" customFormat="false" ht="15.75" hidden="false" customHeight="false" outlineLevel="0" collapsed="false">
      <c r="D51" s="181" t="n">
        <f aca="false">E51+F51</f>
        <v>0.529359408227827</v>
      </c>
      <c r="E51" s="181" t="n">
        <f aca="false">$B$7*$B$11*H51/100</f>
        <v>0.39</v>
      </c>
      <c r="F51" s="181" t="n">
        <f aca="false">$B$7*$B$12*(100-T51)/100</f>
        <v>0.139359408227827</v>
      </c>
      <c r="G51" s="181" t="n">
        <f aca="false">100*D51/$B$7</f>
        <v>52.9359408227827</v>
      </c>
      <c r="H51" s="181" t="n">
        <f aca="false">(1-K51)*100</f>
        <v>52</v>
      </c>
      <c r="I51" s="181" t="n">
        <f aca="false">F51/($B$7*$B$12)*100</f>
        <v>55.7437632911307</v>
      </c>
      <c r="J51" s="181" t="n">
        <f aca="false">H51/100</f>
        <v>0.52</v>
      </c>
      <c r="K51" s="581" t="n">
        <f aca="false">K50+0.01</f>
        <v>0.48</v>
      </c>
      <c r="L51" s="181" t="n">
        <f aca="false">MAX(-$B$13-$B$10*(K51),0)</f>
        <v>0</v>
      </c>
      <c r="M51" s="181" t="n">
        <f aca="false">$B$13/(1-K51)</f>
        <v>-2.88461538461539</v>
      </c>
      <c r="N51" s="181" t="n">
        <f aca="false">M51+L51</f>
        <v>-2.88461538461539</v>
      </c>
      <c r="O51" s="181" t="n">
        <f aca="false">-1/M51</f>
        <v>0.346666666666666</v>
      </c>
      <c r="P51" s="181" t="n">
        <f aca="false">-1/N51</f>
        <v>0.346666666666666</v>
      </c>
      <c r="Q51" s="181" t="n">
        <f aca="false">(D51-D52)/(N51-N52)</f>
        <v>0.256624072555471</v>
      </c>
      <c r="R51" s="181" t="n">
        <f aca="false">(E51-E52)/(N51-N52)</f>
        <v>0.132600000000001</v>
      </c>
      <c r="S51" s="181" t="n">
        <f aca="false">(F51-F52)/(N51-N52)</f>
        <v>0.12402407255547</v>
      </c>
      <c r="T51" s="181" t="n">
        <f aca="false">100/(1+EXP($B$19/25*(N51-$B$18)))</f>
        <v>44.2562367088693</v>
      </c>
      <c r="U51" s="181" t="n">
        <f aca="false">MAX(IF(H51/100&gt;($B$25),$B$41,$B$41*(1+(H51/100-$B$25)*$V$1)),0)</f>
        <v>1.911</v>
      </c>
      <c r="V51" s="181" t="n">
        <f aca="false">MAX(IF(H51/100&gt;$B$25,$B$41,$B$41*EXP((H51/100-$B$25)*$V$1)),0)</f>
        <v>2.08675930049728</v>
      </c>
      <c r="W51" s="181" t="n">
        <v>0.395714564562573</v>
      </c>
      <c r="X51" s="181"/>
    </row>
    <row r="52" customFormat="false" ht="15.75" hidden="false" customHeight="false" outlineLevel="0" collapsed="false">
      <c r="D52" s="181" t="n">
        <f aca="false">E52+F52</f>
        <v>0.514844471997314</v>
      </c>
      <c r="E52" s="181" t="n">
        <f aca="false">$B$7*$B$11*H52/100</f>
        <v>0.3825</v>
      </c>
      <c r="F52" s="181" t="n">
        <f aca="false">$B$7*$B$12*(100-T52)/100</f>
        <v>0.132344471997314</v>
      </c>
      <c r="G52" s="181" t="n">
        <f aca="false">100*D52/$B$7</f>
        <v>51.4844471997314</v>
      </c>
      <c r="H52" s="181" t="n">
        <f aca="false">(1-K52)*100</f>
        <v>51</v>
      </c>
      <c r="I52" s="181" t="n">
        <f aca="false">F52/($B$7*$B$12)*100</f>
        <v>52.9377887989255</v>
      </c>
      <c r="J52" s="181" t="n">
        <f aca="false">H52/100</f>
        <v>0.51</v>
      </c>
      <c r="K52" s="581" t="n">
        <f aca="false">K51+0.01</f>
        <v>0.49</v>
      </c>
      <c r="L52" s="181" t="n">
        <f aca="false">MAX(-$B$13-$B$10*(K52),0)</f>
        <v>0</v>
      </c>
      <c r="M52" s="181" t="n">
        <f aca="false">$B$13/(1-K52)</f>
        <v>-2.94117647058824</v>
      </c>
      <c r="N52" s="181" t="n">
        <f aca="false">M52+L52</f>
        <v>-2.94117647058824</v>
      </c>
      <c r="O52" s="181" t="n">
        <f aca="false">-1/M52</f>
        <v>0.34</v>
      </c>
      <c r="P52" s="181" t="n">
        <f aca="false">-1/N52</f>
        <v>0.34</v>
      </c>
      <c r="Q52" s="181" t="n">
        <f aca="false">(D52-D53)/(N52-N53)</f>
        <v>0.252356023954332</v>
      </c>
      <c r="R52" s="181" t="n">
        <f aca="false">(E52-E53)/(N52-N53)</f>
        <v>0.1275</v>
      </c>
      <c r="S52" s="181" t="n">
        <f aca="false">(F52-F53)/(N52-N53)</f>
        <v>0.124856023954332</v>
      </c>
      <c r="T52" s="181" t="n">
        <f aca="false">100/(1+EXP($B$19/25*(N52-$B$18)))</f>
        <v>47.0622112010745</v>
      </c>
      <c r="U52" s="181" t="n">
        <f aca="false">MAX(IF(H52/100&gt;($B$25),$B$41,$B$41*(1+(H52/100-$B$25)*$V$1)),0)</f>
        <v>1.878</v>
      </c>
      <c r="V52" s="181" t="n">
        <f aca="false">MAX(IF(H52/100&gt;$B$25,$B$41,$B$41*EXP((H52/100-$B$25)*$V$1)),0)</f>
        <v>2.06393073548694</v>
      </c>
      <c r="W52" s="181" t="n">
        <v>0.386681038368907</v>
      </c>
      <c r="X52" s="181"/>
    </row>
    <row r="53" customFormat="false" ht="15.75" hidden="false" customHeight="false" outlineLevel="0" collapsed="false">
      <c r="D53" s="181" t="n">
        <f aca="false">E53+F53</f>
        <v>0.5</v>
      </c>
      <c r="E53" s="181" t="n">
        <f aca="false">$B$7*$B$11*H53/100</f>
        <v>0.375</v>
      </c>
      <c r="F53" s="181" t="n">
        <f aca="false">$B$7*$B$12*(100-T53)/100</f>
        <v>0.125</v>
      </c>
      <c r="G53" s="181" t="n">
        <f aca="false">100*D53/$B$7</f>
        <v>50</v>
      </c>
      <c r="H53" s="181" t="n">
        <f aca="false">(1-K53)*100</f>
        <v>50</v>
      </c>
      <c r="I53" s="181" t="n">
        <f aca="false">F53/($B$7*$B$12)*100</f>
        <v>50</v>
      </c>
      <c r="J53" s="181" t="n">
        <f aca="false">H53/100</f>
        <v>0.5</v>
      </c>
      <c r="K53" s="581" t="n">
        <f aca="false">K52+0.01</f>
        <v>0.5</v>
      </c>
      <c r="L53" s="181" t="n">
        <f aca="false">MAX(-$B$13-$B$10*(K53),0)</f>
        <v>0</v>
      </c>
      <c r="M53" s="181" t="n">
        <f aca="false">$B$13/(1-K53)</f>
        <v>-3</v>
      </c>
      <c r="N53" s="181" t="n">
        <f aca="false">M53+L53</f>
        <v>-3</v>
      </c>
      <c r="O53" s="181" t="n">
        <f aca="false">-1/M53</f>
        <v>0.333333333333333</v>
      </c>
      <c r="P53" s="181" t="n">
        <f aca="false">-1/N53</f>
        <v>0.333333333333333</v>
      </c>
      <c r="Q53" s="181" t="n">
        <f aca="false">(D53-D54)/(N53-N54)</f>
        <v>0.247344048902097</v>
      </c>
      <c r="R53" s="181" t="n">
        <f aca="false">(E53-E54)/(N53-N54)</f>
        <v>0.122499999999999</v>
      </c>
      <c r="S53" s="181" t="n">
        <f aca="false">(F53-F54)/(N53-N54)</f>
        <v>0.124844048902099</v>
      </c>
      <c r="T53" s="181" t="n">
        <f aca="false">100/(1+EXP($B$19/25*(N53-$B$18)))</f>
        <v>50</v>
      </c>
      <c r="U53" s="181" t="n">
        <f aca="false">MAX(IF(H53/100&gt;($B$25),$B$41,$B$41*(1+(H53/100-$B$25)*$V$1)),0)</f>
        <v>1.845</v>
      </c>
      <c r="V53" s="181" t="n">
        <f aca="false">MAX(IF(H53/100&gt;$B$25,$B$41,$B$41*EXP((H53/100-$B$25)*$V$1)),0)</f>
        <v>2.04135190861376</v>
      </c>
      <c r="W53" s="181" t="n">
        <v>0.377892493466752</v>
      </c>
      <c r="X53" s="181"/>
    </row>
    <row r="54" customFormat="false" ht="15.75" hidden="false" customHeight="false" outlineLevel="0" collapsed="false">
      <c r="D54" s="181" t="n">
        <f aca="false">E54+F54</f>
        <v>0.484856486801912</v>
      </c>
      <c r="E54" s="181" t="n">
        <f aca="false">$B$7*$B$11*H54/100</f>
        <v>0.3675</v>
      </c>
      <c r="F54" s="181" t="n">
        <f aca="false">$B$7*$B$12*(100-T54)/100</f>
        <v>0.117356486801912</v>
      </c>
      <c r="G54" s="181" t="n">
        <f aca="false">100*D54/$B$7</f>
        <v>48.4856486801912</v>
      </c>
      <c r="H54" s="181" t="n">
        <f aca="false">(1-K54)*100</f>
        <v>49</v>
      </c>
      <c r="I54" s="181" t="n">
        <f aca="false">F54/($B$7*$B$12)*100</f>
        <v>46.9425947207649</v>
      </c>
      <c r="J54" s="181" t="n">
        <f aca="false">H54/100</f>
        <v>0.49</v>
      </c>
      <c r="K54" s="581" t="n">
        <f aca="false">K53+0.01</f>
        <v>0.51</v>
      </c>
      <c r="L54" s="181" t="n">
        <f aca="false">MAX(-$B$13-$B$10*(K54),0)</f>
        <v>0</v>
      </c>
      <c r="M54" s="181" t="n">
        <f aca="false">$B$13/(1-K54)</f>
        <v>-3.06122448979592</v>
      </c>
      <c r="N54" s="181" t="n">
        <f aca="false">M54+L54</f>
        <v>-3.06122448979592</v>
      </c>
      <c r="O54" s="181" t="n">
        <f aca="false">-1/M54</f>
        <v>0.326666666666666</v>
      </c>
      <c r="P54" s="181" t="n">
        <f aca="false">-1/N54</f>
        <v>0.326666666666666</v>
      </c>
      <c r="Q54" s="181" t="n">
        <f aca="false">(D54-D55)/(N54-N55)</f>
        <v>0.241481596526317</v>
      </c>
      <c r="R54" s="181" t="n">
        <f aca="false">(E54-E55)/(N54-N55)</f>
        <v>0.1176</v>
      </c>
      <c r="S54" s="181" t="n">
        <f aca="false">(F54-F55)/(N54-N55)</f>
        <v>0.123881596526316</v>
      </c>
      <c r="T54" s="181" t="n">
        <f aca="false">100/(1+EXP($B$19/25*(N54-$B$18)))</f>
        <v>53.0574052792351</v>
      </c>
      <c r="U54" s="181" t="n">
        <f aca="false">MAX(IF(H54/100&gt;($B$25),$B$41,$B$41*(1+(H54/100-$B$25)*$V$1)),0)</f>
        <v>1.812</v>
      </c>
      <c r="V54" s="181" t="n">
        <f aca="false">MAX(IF(H54/100&gt;$B$25,$B$41,$B$41*EXP((H54/100-$B$25)*$V$1)),0)</f>
        <v>2.01902008781216</v>
      </c>
      <c r="W54" s="181" t="n">
        <v>0.369336335499376</v>
      </c>
      <c r="X54" s="181"/>
    </row>
    <row r="55" customFormat="false" ht="15.75" hidden="false" customHeight="false" outlineLevel="0" collapsed="false">
      <c r="D55" s="181" t="n">
        <f aca="false">E55+F55</f>
        <v>0.46945587477855</v>
      </c>
      <c r="E55" s="181" t="n">
        <f aca="false">$B$7*$B$11*H55/100</f>
        <v>0.36</v>
      </c>
      <c r="F55" s="181" t="n">
        <f aca="false">$B$7*$B$12*(100-T55)/100</f>
        <v>0.10945587477855</v>
      </c>
      <c r="G55" s="181" t="n">
        <f aca="false">100*D55/$B$7</f>
        <v>46.945587477855</v>
      </c>
      <c r="H55" s="181" t="n">
        <f aca="false">(1-K55)*100</f>
        <v>48</v>
      </c>
      <c r="I55" s="181" t="n">
        <f aca="false">F55/($B$7*$B$12)*100</f>
        <v>43.7823499114201</v>
      </c>
      <c r="J55" s="181" t="n">
        <f aca="false">H55/100</f>
        <v>0.48</v>
      </c>
      <c r="K55" s="581" t="n">
        <f aca="false">K54+0.01</f>
        <v>0.52</v>
      </c>
      <c r="L55" s="181" t="n">
        <f aca="false">MAX(-$B$13-$B$10*(K55),0)</f>
        <v>0</v>
      </c>
      <c r="M55" s="181" t="n">
        <f aca="false">$B$13/(1-K55)</f>
        <v>-3.125</v>
      </c>
      <c r="N55" s="181" t="n">
        <f aca="false">M55+L55</f>
        <v>-3.125</v>
      </c>
      <c r="O55" s="181" t="n">
        <f aca="false">-1/M55</f>
        <v>0.32</v>
      </c>
      <c r="P55" s="181" t="n">
        <f aca="false">-1/N55</f>
        <v>0.32</v>
      </c>
      <c r="Q55" s="181" t="n">
        <f aca="false">(D55-D56)/(N55-N56)</f>
        <v>0.234679770386815</v>
      </c>
      <c r="R55" s="181" t="n">
        <f aca="false">(E55-E56)/(N55-N56)</f>
        <v>0.112800000000001</v>
      </c>
      <c r="S55" s="181" t="n">
        <f aca="false">(F55-F56)/(N55-N56)</f>
        <v>0.121879770386814</v>
      </c>
      <c r="T55" s="181" t="n">
        <f aca="false">100/(1+EXP($B$19/25*(N55-$B$18)))</f>
        <v>56.2176500885799</v>
      </c>
      <c r="U55" s="181" t="n">
        <f aca="false">MAX(IF(H55/100&gt;($B$25),$B$41,$B$41*(1+(H55/100-$B$25)*$V$1)),0)</f>
        <v>1.779</v>
      </c>
      <c r="V55" s="181" t="n">
        <f aca="false">MAX(IF(H55/100&gt;$B$25,$B$41,$B$41*EXP((H55/100-$B$25)*$V$1)),0)</f>
        <v>1.99693257090456</v>
      </c>
      <c r="W55" s="181" t="n">
        <v>0.36100115785225</v>
      </c>
      <c r="X55" s="181"/>
      <c r="AA55" s="142"/>
      <c r="AB55" s="142"/>
      <c r="AC55" s="142"/>
    </row>
    <row r="56" customFormat="false" ht="15.75" hidden="false" customHeight="false" outlineLevel="0" collapsed="false">
      <c r="D56" s="181" t="n">
        <f aca="false">E56+F56</f>
        <v>0.453852166641129</v>
      </c>
      <c r="E56" s="181" t="n">
        <f aca="false">$B$7*$B$11*H56/100</f>
        <v>0.3525</v>
      </c>
      <c r="F56" s="181" t="n">
        <f aca="false">$B$7*$B$12*(100-T56)/100</f>
        <v>0.101352166641129</v>
      </c>
      <c r="G56" s="181" t="n">
        <f aca="false">100*D56/$B$7</f>
        <v>45.3852166641129</v>
      </c>
      <c r="H56" s="181" t="n">
        <f aca="false">(1-K56)*100</f>
        <v>47</v>
      </c>
      <c r="I56" s="181" t="n">
        <f aca="false">F56/($B$7*$B$12)*100</f>
        <v>40.5408666564516</v>
      </c>
      <c r="J56" s="181" t="n">
        <f aca="false">H56/100</f>
        <v>0.47</v>
      </c>
      <c r="K56" s="581" t="n">
        <f aca="false">K55+0.01</f>
        <v>0.53</v>
      </c>
      <c r="L56" s="181" t="n">
        <f aca="false">MAX(-$B$13-$B$10*(K56),0)</f>
        <v>0</v>
      </c>
      <c r="M56" s="181" t="n">
        <f aca="false">$B$13/(1-K56)</f>
        <v>-3.19148936170213</v>
      </c>
      <c r="N56" s="181" t="n">
        <f aca="false">M56+L56</f>
        <v>-3.19148936170213</v>
      </c>
      <c r="O56" s="181" t="n">
        <f aca="false">-1/M56</f>
        <v>0.313333333333333</v>
      </c>
      <c r="P56" s="181" t="n">
        <f aca="false">-1/N56</f>
        <v>0.313333333333333</v>
      </c>
      <c r="Q56" s="181" t="n">
        <f aca="false">(D56-D57)/(N56-N57)</f>
        <v>0.226876711734578</v>
      </c>
      <c r="R56" s="181" t="n">
        <f aca="false">(E56-E57)/(N56-N57)</f>
        <v>0.1081</v>
      </c>
      <c r="S56" s="181" t="n">
        <f aca="false">(F56-F57)/(N56-N57)</f>
        <v>0.118776711734579</v>
      </c>
      <c r="T56" s="181" t="n">
        <f aca="false">100/(1+EXP($B$19/25*(N56-$B$18)))</f>
        <v>59.4591333435484</v>
      </c>
      <c r="U56" s="181" t="n">
        <f aca="false">MAX(IF(H56/100&gt;($B$25),$B$41,$B$41*(1+(H56/100-$B$25)*$V$1)),0)</f>
        <v>1.746</v>
      </c>
      <c r="V56" s="181" t="n">
        <f aca="false">MAX(IF(H56/100&gt;$B$25,$B$41,$B$41*EXP((H56/100-$B$25)*$V$1)),0)</f>
        <v>1.97508668527448</v>
      </c>
      <c r="W56" s="181" t="n">
        <v>0.352876642769809</v>
      </c>
      <c r="X56" s="181"/>
      <c r="AA56" s="142"/>
      <c r="AC56" s="142"/>
    </row>
    <row r="57" customFormat="false" ht="15.75" hidden="false" customHeight="false" outlineLevel="0" collapsed="false">
      <c r="D57" s="181" t="n">
        <f aca="false">E57+F57</f>
        <v>0.43811141420811</v>
      </c>
      <c r="E57" s="181" t="n">
        <f aca="false">$B$7*$B$11*H57/100</f>
        <v>0.345</v>
      </c>
      <c r="F57" s="181" t="n">
        <f aca="false">$B$7*$B$12*(100-T57)/100</f>
        <v>0.0931114142081102</v>
      </c>
      <c r="G57" s="181" t="n">
        <f aca="false">100*D57/$B$7</f>
        <v>43.811141420811</v>
      </c>
      <c r="H57" s="181" t="n">
        <f aca="false">(1-K57)*100</f>
        <v>46</v>
      </c>
      <c r="I57" s="181" t="n">
        <f aca="false">F57/($B$7*$B$12)*100</f>
        <v>37.2445656832441</v>
      </c>
      <c r="J57" s="181" t="n">
        <f aca="false">H57/100</f>
        <v>0.46</v>
      </c>
      <c r="K57" s="581" t="n">
        <f aca="false">K56+0.01</f>
        <v>0.54</v>
      </c>
      <c r="L57" s="181" t="n">
        <f aca="false">MAX(-$B$13-$B$10*(K57),0)</f>
        <v>0</v>
      </c>
      <c r="M57" s="181" t="n">
        <f aca="false">$B$13/(1-K57)</f>
        <v>-3.26086956521739</v>
      </c>
      <c r="N57" s="181" t="n">
        <f aca="false">M57+L57</f>
        <v>-3.26086956521739</v>
      </c>
      <c r="O57" s="181" t="n">
        <f aca="false">-1/M57</f>
        <v>0.306666666666666</v>
      </c>
      <c r="P57" s="181" t="n">
        <f aca="false">-1/N57</f>
        <v>0.306666666666666</v>
      </c>
      <c r="Q57" s="181" t="n">
        <f aca="false">(D57-D58)/(N57-N58)</f>
        <v>0.218046988313993</v>
      </c>
      <c r="R57" s="181" t="n">
        <f aca="false">(E57-E58)/(N57-N58)</f>
        <v>0.1035</v>
      </c>
      <c r="S57" s="181" t="n">
        <f aca="false">(F57-F58)/(N57-N58)</f>
        <v>0.114546988313993</v>
      </c>
      <c r="T57" s="181" t="n">
        <f aca="false">100/(1+EXP($B$19/25*(N57-$B$18)))</f>
        <v>62.7554343167559</v>
      </c>
      <c r="U57" s="181" t="n">
        <f aca="false">MAX(IF(H57/100&gt;($B$25),$B$41,$B$41*(1+(H57/100-$B$25)*$V$1)),0)</f>
        <v>1.713</v>
      </c>
      <c r="V57" s="181" t="n">
        <f aca="false">MAX(IF(H57/100&gt;$B$25,$B$41,$B$41*EXP((H57/100-$B$25)*$V$1)),0)</f>
        <v>1.9534797875431</v>
      </c>
      <c r="W57" s="181" t="n">
        <v>0.34495346404868</v>
      </c>
      <c r="X57" s="181"/>
      <c r="AA57" s="142"/>
      <c r="AC57" s="142"/>
    </row>
    <row r="58" customFormat="false" ht="15.75" hidden="false" customHeight="false" outlineLevel="0" collapsed="false">
      <c r="D58" s="181" t="n">
        <f aca="false">E58+F58</f>
        <v>0.422310907808545</v>
      </c>
      <c r="E58" s="181" t="n">
        <f aca="false">$B$7*$B$11*H58/100</f>
        <v>0.3375</v>
      </c>
      <c r="F58" s="181" t="n">
        <f aca="false">$B$7*$B$12*(100-T58)/100</f>
        <v>0.0848109078085455</v>
      </c>
      <c r="G58" s="181" t="n">
        <f aca="false">100*D58/$B$7</f>
        <v>42.2310907808545</v>
      </c>
      <c r="H58" s="181" t="n">
        <f aca="false">(1-K58)*100</f>
        <v>45</v>
      </c>
      <c r="I58" s="181" t="n">
        <f aca="false">F58/($B$7*$B$12)*100</f>
        <v>33.9243631234182</v>
      </c>
      <c r="J58" s="181" t="n">
        <f aca="false">H58/100</f>
        <v>0.45</v>
      </c>
      <c r="K58" s="581" t="n">
        <f aca="false">K57+0.01</f>
        <v>0.55</v>
      </c>
      <c r="L58" s="181" t="n">
        <f aca="false">MAX(-$B$13-$B$10*(K58),0)</f>
        <v>0</v>
      </c>
      <c r="M58" s="181" t="n">
        <f aca="false">$B$13/(1-K58)</f>
        <v>-3.33333333333334</v>
      </c>
      <c r="N58" s="181" t="n">
        <f aca="false">M58+L58</f>
        <v>-3.33333333333334</v>
      </c>
      <c r="O58" s="181" t="n">
        <f aca="false">-1/M58</f>
        <v>0.3</v>
      </c>
      <c r="P58" s="181" t="n">
        <f aca="false">-1/N58</f>
        <v>0.3</v>
      </c>
      <c r="Q58" s="181" t="n">
        <f aca="false">(D58-D59)/(N58-N59)</f>
        <v>0.208209822363872</v>
      </c>
      <c r="R58" s="181" t="n">
        <f aca="false">(E58-E59)/(N58-N59)</f>
        <v>0.0989999999999996</v>
      </c>
      <c r="S58" s="181" t="n">
        <f aca="false">(F58-F59)/(N58-N59)</f>
        <v>0.109209822363872</v>
      </c>
      <c r="T58" s="181" t="n">
        <f aca="false">100/(1+EXP($B$19/25*(N58-$B$18)))</f>
        <v>66.0756368765818</v>
      </c>
      <c r="U58" s="181" t="n">
        <f aca="false">MAX(IF(H58/100&gt;($B$25),$B$41,$B$41*(1+(H58/100-$B$25)*$V$1)),0)</f>
        <v>1.68</v>
      </c>
      <c r="V58" s="181" t="n">
        <f aca="false">MAX(IF(H58/100&gt;$B$25,$B$41,$B$41*EXP((H58/100-$B$25)*$V$1)),0)</f>
        <v>1.93210926324942</v>
      </c>
      <c r="W58" s="181" t="n">
        <v>0.337223192353922</v>
      </c>
      <c r="X58" s="181"/>
      <c r="AA58" s="142"/>
      <c r="AC58" s="142"/>
    </row>
    <row r="59" customFormat="false" ht="15.75" hidden="false" customHeight="false" outlineLevel="0" collapsed="false">
      <c r="D59" s="181" t="n">
        <f aca="false">E59+F59</f>
        <v>0.406537436417343</v>
      </c>
      <c r="E59" s="181" t="n">
        <f aca="false">$B$7*$B$11*H59/100</f>
        <v>0.33</v>
      </c>
      <c r="F59" s="181" t="n">
        <f aca="false">$B$7*$B$12*(100-T59)/100</f>
        <v>0.076537436417343</v>
      </c>
      <c r="G59" s="181" t="n">
        <f aca="false">100*D59/$B$7</f>
        <v>40.6537436417343</v>
      </c>
      <c r="H59" s="181" t="n">
        <f aca="false">(1-K59)*100</f>
        <v>44</v>
      </c>
      <c r="I59" s="181" t="n">
        <f aca="false">F59/($B$7*$B$12)*100</f>
        <v>30.6149745669372</v>
      </c>
      <c r="J59" s="181" t="n">
        <f aca="false">H59/100</f>
        <v>0.44</v>
      </c>
      <c r="K59" s="581" t="n">
        <f aca="false">K58+0.01</f>
        <v>0.56</v>
      </c>
      <c r="L59" s="181" t="n">
        <f aca="false">MAX(-$B$13-$B$10*(K59),0)</f>
        <v>0</v>
      </c>
      <c r="M59" s="181" t="n">
        <f aca="false">$B$13/(1-K59)</f>
        <v>-3.40909090909091</v>
      </c>
      <c r="N59" s="181" t="n">
        <f aca="false">M59+L59</f>
        <v>-3.40909090909091</v>
      </c>
      <c r="O59" s="181" t="n">
        <f aca="false">-1/M59</f>
        <v>0.293333333333333</v>
      </c>
      <c r="P59" s="181" t="n">
        <f aca="false">-1/N59</f>
        <v>0.293333333333333</v>
      </c>
      <c r="Q59" s="181" t="n">
        <f aca="false">(D59-D60)/(N59-N60)</f>
        <v>0.197434803518092</v>
      </c>
      <c r="R59" s="181" t="n">
        <f aca="false">(E59-E60)/(N59-N60)</f>
        <v>0.0946000000000002</v>
      </c>
      <c r="S59" s="181" t="n">
        <f aca="false">(F59-F60)/(N59-N60)</f>
        <v>0.102834803518092</v>
      </c>
      <c r="T59" s="181" t="n">
        <f aca="false">100/(1+EXP($B$19/25*(N59-$B$18)))</f>
        <v>69.3850254330628</v>
      </c>
      <c r="U59" s="181" t="n">
        <f aca="false">MAX(IF(H59/100&gt;($B$25),$B$41,$B$41*(1+(H59/100-$B$25)*$V$1)),0)</f>
        <v>1.647</v>
      </c>
      <c r="V59" s="181" t="n">
        <f aca="false">MAX(IF(H59/100&gt;$B$25,$B$41,$B$41*EXP((H59/100-$B$25)*$V$1)),0)</f>
        <v>1.91097252653395</v>
      </c>
      <c r="W59" s="181" t="n">
        <v>0.329678204056506</v>
      </c>
      <c r="X59" s="181"/>
      <c r="AA59" s="142"/>
      <c r="AC59" s="142"/>
    </row>
    <row r="60" customFormat="false" ht="15.75" hidden="false" customHeight="false" outlineLevel="0" collapsed="false">
      <c r="D60" s="181" t="n">
        <f aca="false">E60+F60</f>
        <v>0.390884571444978</v>
      </c>
      <c r="E60" s="181" t="n">
        <f aca="false">$B$7*$B$11*H60/100</f>
        <v>0.3225</v>
      </c>
      <c r="F60" s="181" t="n">
        <f aca="false">$B$7*$B$12*(100-T60)/100</f>
        <v>0.0683845714449785</v>
      </c>
      <c r="G60" s="181" t="n">
        <f aca="false">100*D60/$B$7</f>
        <v>39.0884571444978</v>
      </c>
      <c r="H60" s="181" t="n">
        <f aca="false">(1-K60)*100</f>
        <v>43</v>
      </c>
      <c r="I60" s="181" t="n">
        <f aca="false">F60/($B$7*$B$12)*100</f>
        <v>27.3538285779914</v>
      </c>
      <c r="J60" s="181" t="n">
        <f aca="false">H60/100</f>
        <v>0.43</v>
      </c>
      <c r="K60" s="581" t="n">
        <f aca="false">K59+0.01</f>
        <v>0.57</v>
      </c>
      <c r="L60" s="181" t="n">
        <f aca="false">MAX(-$B$13-$B$10*(K60),0)</f>
        <v>0</v>
      </c>
      <c r="M60" s="181" t="n">
        <f aca="false">$B$13/(1-K60)</f>
        <v>-3.48837209302326</v>
      </c>
      <c r="N60" s="181" t="n">
        <f aca="false">M60+L60</f>
        <v>-3.48837209302326</v>
      </c>
      <c r="O60" s="181" t="n">
        <f aca="false">-1/M60</f>
        <v>0.286666666666666</v>
      </c>
      <c r="P60" s="181" t="n">
        <f aca="false">-1/N60</f>
        <v>0.286666666666666</v>
      </c>
      <c r="Q60" s="181" t="n">
        <f aca="false">(D60-D61)/(N60-N61)</f>
        <v>0.185843761251238</v>
      </c>
      <c r="R60" s="181" t="n">
        <f aca="false">(E60-E61)/(N60-N61)</f>
        <v>0.0902999999999999</v>
      </c>
      <c r="S60" s="181" t="n">
        <f aca="false">(F60-F61)/(N60-N61)</f>
        <v>0.0955437612512384</v>
      </c>
      <c r="T60" s="181" t="n">
        <f aca="false">100/(1+EXP($B$19/25*(N60-$B$18)))</f>
        <v>72.6461714220086</v>
      </c>
      <c r="U60" s="181" t="n">
        <f aca="false">MAX(IF(H60/100&gt;($B$25),$B$41,$B$41*(1+(H60/100-$B$25)*$V$1)),0)</f>
        <v>1.614</v>
      </c>
      <c r="V60" s="181" t="n">
        <f aca="false">MAX(IF(H60/100&gt;$B$25,$B$41,$B$41*EXP((H60/100-$B$25)*$V$1)),0)</f>
        <v>1.89006701982574</v>
      </c>
      <c r="W60" s="181" t="n">
        <v>0.322311594349018</v>
      </c>
      <c r="X60" s="181"/>
    </row>
    <row r="61" customFormat="false" ht="15.75" hidden="false" customHeight="false" outlineLevel="0" collapsed="false">
      <c r="D61" s="181" t="n">
        <f aca="false">E61+F61</f>
        <v>0.375449043101852</v>
      </c>
      <c r="E61" s="181" t="n">
        <f aca="false">$B$7*$B$11*H61/100</f>
        <v>0.315</v>
      </c>
      <c r="F61" s="181" t="n">
        <f aca="false">$B$7*$B$12*(100-T61)/100</f>
        <v>0.0604490431018523</v>
      </c>
      <c r="G61" s="181" t="n">
        <f aca="false">100*D61/$B$7</f>
        <v>37.5449043101852</v>
      </c>
      <c r="H61" s="181" t="n">
        <f aca="false">(1-K61)*100</f>
        <v>42</v>
      </c>
      <c r="I61" s="181" t="n">
        <f aca="false">F61/($B$7*$B$12)*100</f>
        <v>24.1796172407409</v>
      </c>
      <c r="J61" s="181" t="n">
        <f aca="false">H61/100</f>
        <v>0.42</v>
      </c>
      <c r="K61" s="581" t="n">
        <f aca="false">K60+0.01</f>
        <v>0.58</v>
      </c>
      <c r="L61" s="181" t="n">
        <f aca="false">MAX(-$B$13-$B$10*(K61),0)</f>
        <v>0</v>
      </c>
      <c r="M61" s="181" t="n">
        <f aca="false">$B$13/(1-K61)</f>
        <v>-3.57142857142857</v>
      </c>
      <c r="N61" s="181" t="n">
        <f aca="false">M61+L61</f>
        <v>-3.57142857142857</v>
      </c>
      <c r="O61" s="181" t="n">
        <f aca="false">-1/M61</f>
        <v>0.28</v>
      </c>
      <c r="P61" s="181" t="n">
        <f aca="false">-1/N61</f>
        <v>0.28</v>
      </c>
      <c r="Q61" s="181" t="n">
        <f aca="false">(D61-D62)/(N61-N62)</f>
        <v>0.173607788565822</v>
      </c>
      <c r="R61" s="181" t="n">
        <f aca="false">(E61-E62)/(N61-N62)</f>
        <v>0.0860999999999997</v>
      </c>
      <c r="S61" s="181" t="n">
        <f aca="false">(F61-F62)/(N61-N62)</f>
        <v>0.0875077885658226</v>
      </c>
      <c r="T61" s="181" t="n">
        <f aca="false">100/(1+EXP($B$19/25*(N61-$B$18)))</f>
        <v>75.8203827592591</v>
      </c>
      <c r="U61" s="181" t="n">
        <f aca="false">MAX(IF(H61/100&gt;($B$25),$B$41,$B$41*(1+(H61/100-$B$25)*$V$1)),0)</f>
        <v>1.581</v>
      </c>
      <c r="V61" s="181" t="n">
        <f aca="false">MAX(IF(H61/100&gt;$B$25,$B$41,$B$41*EXP((H61/100-$B$25)*$V$1)),0)</f>
        <v>1.86939021353297</v>
      </c>
      <c r="W61" s="181" t="n">
        <v>0.315117095262175</v>
      </c>
      <c r="X61" s="181"/>
      <c r="Z61" s="142"/>
      <c r="AA61" s="142"/>
      <c r="AB61" s="142"/>
      <c r="AC61" s="142"/>
    </row>
    <row r="62" customFormat="false" ht="15.75" hidden="false" customHeight="false" outlineLevel="0" collapsed="false">
      <c r="D62" s="181" t="n">
        <f aca="false">E62+F62</f>
        <v>0.36032641343584</v>
      </c>
      <c r="E62" s="181" t="n">
        <f aca="false">$B$7*$B$11*H62/100</f>
        <v>0.3075</v>
      </c>
      <c r="F62" s="181" t="n">
        <f aca="false">$B$7*$B$12*(100-T62)/100</f>
        <v>0.0528264134358399</v>
      </c>
      <c r="G62" s="181" t="n">
        <f aca="false">100*D62/$B$7</f>
        <v>36.032641343584</v>
      </c>
      <c r="H62" s="181" t="n">
        <f aca="false">(1-K62)*100</f>
        <v>41</v>
      </c>
      <c r="I62" s="181" t="n">
        <f aca="false">F62/($B$7*$B$12)*100</f>
        <v>21.1305653743359</v>
      </c>
      <c r="J62" s="181" t="n">
        <f aca="false">H62/100</f>
        <v>0.41</v>
      </c>
      <c r="K62" s="581" t="n">
        <f aca="false">K61+0.01</f>
        <v>0.59</v>
      </c>
      <c r="L62" s="181" t="n">
        <f aca="false">MAX(-$B$13-$B$10*(K62),0)</f>
        <v>0</v>
      </c>
      <c r="M62" s="181" t="n">
        <f aca="false">$B$13/(1-K62)</f>
        <v>-3.65853658536586</v>
      </c>
      <c r="N62" s="181" t="n">
        <f aca="false">M62+L62</f>
        <v>-3.65853658536586</v>
      </c>
      <c r="O62" s="181" t="n">
        <f aca="false">-1/M62</f>
        <v>0.273333333333333</v>
      </c>
      <c r="P62" s="181" t="n">
        <f aca="false">-1/N62</f>
        <v>0.273333333333333</v>
      </c>
      <c r="Q62" s="181" t="n">
        <f aca="false">(D62-D63)/(N62-N63)</f>
        <v>0.160939021827811</v>
      </c>
      <c r="R62" s="181" t="n">
        <f aca="false">(E62-E63)/(N62-N63)</f>
        <v>0.0819999999999998</v>
      </c>
      <c r="S62" s="181" t="n">
        <f aca="false">(F62-F63)/(N62-N63)</f>
        <v>0.0789390218278111</v>
      </c>
      <c r="T62" s="181" t="n">
        <f aca="false">100/(1+EXP($B$19/25*(N62-$B$18)))</f>
        <v>78.8694346256641</v>
      </c>
      <c r="U62" s="181" t="n">
        <f aca="false">MAX(IF(H62/100&gt;($B$25),$B$41,$B$41*(1+(H62/100-$B$25)*$V$1)),0)</f>
        <v>1.548</v>
      </c>
      <c r="V62" s="181" t="n">
        <f aca="false">MAX(IF(H62/100&gt;$B$25,$B$41,$B$41*EXP((H62/100-$B$25)*$V$1)),0)</f>
        <v>1.84893960573687</v>
      </c>
      <c r="W62" s="181" t="n">
        <v>0.30808899907654</v>
      </c>
      <c r="X62" s="181"/>
      <c r="Z62" s="142"/>
      <c r="AA62" s="142"/>
      <c r="AC62" s="142"/>
    </row>
    <row r="63" customFormat="false" ht="15.75" hidden="false" customHeight="false" outlineLevel="0" collapsed="false">
      <c r="D63" s="181" t="n">
        <f aca="false">E63+F63</f>
        <v>0.345606380951589</v>
      </c>
      <c r="E63" s="181" t="n">
        <f aca="false">$B$7*$B$11*H63/100</f>
        <v>0.3</v>
      </c>
      <c r="F63" s="181" t="n">
        <f aca="false">$B$7*$B$12*(100-T63)/100</f>
        <v>0.0456063809515888</v>
      </c>
      <c r="G63" s="181" t="n">
        <f aca="false">100*D63/$B$7</f>
        <v>34.5606380951589</v>
      </c>
      <c r="H63" s="181" t="n">
        <f aca="false">(1-K63)*100</f>
        <v>40</v>
      </c>
      <c r="I63" s="181" t="n">
        <f aca="false">F63/($B$7*$B$12)*100</f>
        <v>18.2425523806355</v>
      </c>
      <c r="J63" s="181" t="n">
        <f aca="false">H63/100</f>
        <v>0.4</v>
      </c>
      <c r="K63" s="581" t="n">
        <f aca="false">K62+0.01</f>
        <v>0.6</v>
      </c>
      <c r="L63" s="181" t="n">
        <f aca="false">MAX(-$B$13-$B$10*(K63),0)</f>
        <v>0</v>
      </c>
      <c r="M63" s="181" t="n">
        <f aca="false">$B$13/(1-K63)</f>
        <v>-3.75</v>
      </c>
      <c r="N63" s="181" t="n">
        <f aca="false">M63+L63</f>
        <v>-3.75</v>
      </c>
      <c r="O63" s="181" t="n">
        <f aca="false">-1/M63</f>
        <v>0.266666666666666</v>
      </c>
      <c r="P63" s="181" t="n">
        <f aca="false">-1/N63</f>
        <v>0.266666666666666</v>
      </c>
      <c r="Q63" s="181" t="n">
        <f aca="false">(D63-D64)/(N63-N64)</f>
        <v>0.148077609290097</v>
      </c>
      <c r="R63" s="181" t="n">
        <f aca="false">(E63-E64)/(N63-N64)</f>
        <v>0.078</v>
      </c>
      <c r="S63" s="181" t="n">
        <f aca="false">(F63-F64)/(N63-N64)</f>
        <v>0.0700776092900974</v>
      </c>
      <c r="T63" s="181" t="n">
        <f aca="false">100/(1+EXP($B$19/25*(N63-$B$18)))</f>
        <v>81.7574476193645</v>
      </c>
      <c r="U63" s="181" t="n">
        <f aca="false">MAX(IF(H63/100&gt;($B$25),$B$41,$B$41*(1+(H63/100-$B$25)*$V$1)),0)</f>
        <v>1.515</v>
      </c>
      <c r="V63" s="181" t="n">
        <f aca="false">MAX(IF(H63/100&gt;$B$25,$B$41,$B$41*EXP((H63/100-$B$25)*$V$1)),0)</f>
        <v>1.82871272188893</v>
      </c>
      <c r="W63" s="181" t="n">
        <v>0.301222087501119</v>
      </c>
      <c r="X63" s="181"/>
      <c r="Z63" s="142"/>
      <c r="AA63" s="142"/>
      <c r="AC63" s="142"/>
    </row>
    <row r="64" customFormat="false" ht="15.75" hidden="false" customHeight="false" outlineLevel="0" collapsed="false">
      <c r="D64" s="181" t="n">
        <f aca="false">E64+F64</f>
        <v>0.331368149289079</v>
      </c>
      <c r="E64" s="181" t="n">
        <f aca="false">$B$7*$B$11*H64/100</f>
        <v>0.2925</v>
      </c>
      <c r="F64" s="181" t="n">
        <f aca="false">$B$7*$B$12*(100-T64)/100</f>
        <v>0.0388681492890794</v>
      </c>
      <c r="G64" s="181" t="n">
        <f aca="false">100*D64/$B$7</f>
        <v>33.1368149289079</v>
      </c>
      <c r="H64" s="181" t="n">
        <f aca="false">(1-K64)*100</f>
        <v>39</v>
      </c>
      <c r="I64" s="181" t="n">
        <f aca="false">F64/($B$7*$B$12)*100</f>
        <v>15.5472597156318</v>
      </c>
      <c r="J64" s="181" t="n">
        <f aca="false">H64/100</f>
        <v>0.39</v>
      </c>
      <c r="K64" s="581" t="n">
        <f aca="false">K63+0.01</f>
        <v>0.61</v>
      </c>
      <c r="L64" s="181" t="n">
        <f aca="false">MAX(-$B$13-$B$10*(K64),0)</f>
        <v>0</v>
      </c>
      <c r="M64" s="181" t="n">
        <f aca="false">$B$13/(1-K64)</f>
        <v>-3.84615384615385</v>
      </c>
      <c r="N64" s="181" t="n">
        <f aca="false">M64+L64</f>
        <v>-3.84615384615385</v>
      </c>
      <c r="O64" s="181" t="n">
        <f aca="false">-1/M64</f>
        <v>0.26</v>
      </c>
      <c r="P64" s="181" t="n">
        <f aca="false">-1/N64</f>
        <v>0.26</v>
      </c>
      <c r="Q64" s="181" t="n">
        <f aca="false">(D64-D65)/(N64-N65)</f>
        <v>0.135275173343905</v>
      </c>
      <c r="R64" s="181" t="n">
        <f aca="false">(E64-E65)/(N64-N65)</f>
        <v>0.0741000000000005</v>
      </c>
      <c r="S64" s="181" t="n">
        <f aca="false">(F64-F65)/(N64-N65)</f>
        <v>0.0611751733439046</v>
      </c>
      <c r="T64" s="181" t="n">
        <f aca="false">100/(1+EXP($B$19/25*(N64-$B$18)))</f>
        <v>84.4527402843682</v>
      </c>
      <c r="U64" s="181" t="n">
        <f aca="false">MAX(IF(H64/100&gt;($B$25),$B$41,$B$41*(1+(H64/100-$B$25)*$V$1)),0)</f>
        <v>1.482</v>
      </c>
      <c r="V64" s="181" t="n">
        <f aca="false">MAX(IF(H64/100&gt;$B$25,$B$41,$B$41*EXP((H64/100-$B$25)*$V$1)),0)</f>
        <v>1.80870711451153</v>
      </c>
      <c r="W64" s="181" t="n">
        <v>0.294511566872468</v>
      </c>
      <c r="X64" s="181"/>
      <c r="Z64" s="142"/>
      <c r="AA64" s="142"/>
      <c r="AC64" s="142"/>
    </row>
    <row r="65" customFormat="false" ht="15.75" hidden="false" customHeight="false" outlineLevel="0" collapsed="false">
      <c r="D65" s="181" t="n">
        <f aca="false">E65+F65</f>
        <v>0.317676330124716</v>
      </c>
      <c r="E65" s="181" t="n">
        <f aca="false">$B$7*$B$11*H65/100</f>
        <v>0.285</v>
      </c>
      <c r="F65" s="181" t="n">
        <f aca="false">$B$7*$B$12*(100-T65)/100</f>
        <v>0.0326763301247166</v>
      </c>
      <c r="G65" s="181" t="n">
        <f aca="false">100*D65/$B$7</f>
        <v>31.7676330124716</v>
      </c>
      <c r="H65" s="181" t="n">
        <f aca="false">(1-K65)*100</f>
        <v>38</v>
      </c>
      <c r="I65" s="181" t="n">
        <f aca="false">F65/($B$7*$B$12)*100</f>
        <v>13.0705320498867</v>
      </c>
      <c r="J65" s="181" t="n">
        <f aca="false">H65/100</f>
        <v>0.38</v>
      </c>
      <c r="K65" s="581" t="n">
        <f aca="false">K64+0.01</f>
        <v>0.62</v>
      </c>
      <c r="L65" s="181" t="n">
        <f aca="false">MAX(-$B$13-$B$10*(K65),0)</f>
        <v>0</v>
      </c>
      <c r="M65" s="181" t="n">
        <f aca="false">$B$13/(1-K65)</f>
        <v>-3.94736842105263</v>
      </c>
      <c r="N65" s="181" t="n">
        <f aca="false">M65+L65</f>
        <v>-3.94736842105263</v>
      </c>
      <c r="O65" s="181" t="n">
        <f aca="false">-1/M65</f>
        <v>0.253333333333333</v>
      </c>
      <c r="P65" s="181" t="n">
        <f aca="false">-1/N65</f>
        <v>0.253333333333333</v>
      </c>
      <c r="Q65" s="181" t="n">
        <f aca="false">(D65-D66)/(N65-N66)</f>
        <v>0.122776771444886</v>
      </c>
      <c r="R65" s="181" t="n">
        <f aca="false">(E65-E66)/(N65-N66)</f>
        <v>0.0702999999999997</v>
      </c>
      <c r="S65" s="181" t="n">
        <f aca="false">(F65-F66)/(N65-N66)</f>
        <v>0.0524767714448864</v>
      </c>
      <c r="T65" s="181" t="n">
        <f aca="false">100/(1+EXP($B$19/25*(N65-$B$18)))</f>
        <v>86.9294679501133</v>
      </c>
      <c r="U65" s="181" t="n">
        <f aca="false">MAX(IF(H65/100&gt;($B$25),$B$41,$B$41*(1+(H65/100-$B$25)*$V$1)),0)</f>
        <v>1.449</v>
      </c>
      <c r="V65" s="181" t="n">
        <f aca="false">MAX(IF(H65/100&gt;$B$25,$B$41,$B$41*EXP((H65/100-$B$25)*$V$1)),0)</f>
        <v>1.78892036290176</v>
      </c>
      <c r="W65" s="181" t="n">
        <v>0.287953009514184</v>
      </c>
      <c r="X65" s="181"/>
      <c r="Z65" s="142"/>
      <c r="AA65" s="142"/>
      <c r="AC65" s="142"/>
    </row>
    <row r="66" customFormat="false" ht="15.75" hidden="false" customHeight="false" outlineLevel="0" collapsed="false">
      <c r="D66" s="181" t="n">
        <f aca="false">E66+F66</f>
        <v>0.304577812545248</v>
      </c>
      <c r="E66" s="181" t="n">
        <f aca="false">$B$7*$B$11*H66/100</f>
        <v>0.2775</v>
      </c>
      <c r="F66" s="181" t="n">
        <f aca="false">$B$7*$B$12*(100-T66)/100</f>
        <v>0.0270778125452479</v>
      </c>
      <c r="G66" s="181" t="n">
        <f aca="false">100*D66/$B$7</f>
        <v>30.4577812545248</v>
      </c>
      <c r="H66" s="181" t="n">
        <f aca="false">(1-K66)*100</f>
        <v>37</v>
      </c>
      <c r="I66" s="181" t="n">
        <f aca="false">F66/($B$7*$B$12)*100</f>
        <v>10.8311250180992</v>
      </c>
      <c r="J66" s="181" t="n">
        <f aca="false">H66/100</f>
        <v>0.37</v>
      </c>
      <c r="K66" s="581" t="n">
        <f aca="false">K65+0.01</f>
        <v>0.63</v>
      </c>
      <c r="L66" s="181" t="n">
        <f aca="false">MAX(-$B$13-$B$10*(K66),0)</f>
        <v>0</v>
      </c>
      <c r="M66" s="181" t="n">
        <f aca="false">$B$13/(1-K66)</f>
        <v>-4.05405405405406</v>
      </c>
      <c r="N66" s="181" t="n">
        <f aca="false">M66+L66</f>
        <v>-4.05405405405406</v>
      </c>
      <c r="O66" s="181" t="n">
        <f aca="false">-1/M66</f>
        <v>0.246666666666666</v>
      </c>
      <c r="P66" s="181" t="n">
        <f aca="false">-1/N66</f>
        <v>0.246666666666666</v>
      </c>
      <c r="Q66" s="181" t="n">
        <f aca="false">(D66-D67)/(N66-N67)</f>
        <v>0.110803692002133</v>
      </c>
      <c r="R66" s="181" t="n">
        <f aca="false">(E66-E67)/(N66-N67)</f>
        <v>0.0665999999999996</v>
      </c>
      <c r="S66" s="181" t="n">
        <f aca="false">(F66-F67)/(N66-N67)</f>
        <v>0.0442036920021332</v>
      </c>
      <c r="T66" s="181" t="n">
        <f aca="false">100/(1+EXP($B$19/25*(N66-$B$18)))</f>
        <v>89.1688749819008</v>
      </c>
      <c r="U66" s="181" t="n">
        <f aca="false">MAX(IF(H66/100&gt;($B$25),$B$41,$B$41*(1+(H66/100-$B$25)*$V$1)),0)</f>
        <v>1.416</v>
      </c>
      <c r="V66" s="181" t="n">
        <f aca="false">MAX(IF(H66/100&gt;$B$25,$B$41,$B$41*EXP((H66/100-$B$25)*$V$1)),0)</f>
        <v>1.76935007283855</v>
      </c>
      <c r="W66" s="181" t="n">
        <v>0.281542301287093</v>
      </c>
      <c r="X66" s="181"/>
    </row>
    <row r="67" customFormat="false" ht="15.75" hidden="false" customHeight="false" outlineLevel="0" collapsed="false">
      <c r="D67" s="181" t="n">
        <f aca="false">E67+F67</f>
        <v>0.292099919301764</v>
      </c>
      <c r="E67" s="181" t="n">
        <f aca="false">$B$7*$B$11*H67/100</f>
        <v>0.27</v>
      </c>
      <c r="F67" s="181" t="n">
        <f aca="false">$B$7*$B$12*(100-T67)/100</f>
        <v>0.0220999193017645</v>
      </c>
      <c r="G67" s="181" t="n">
        <f aca="false">100*D67/$B$7</f>
        <v>29.2099919301764</v>
      </c>
      <c r="H67" s="181" t="n">
        <f aca="false">(1-K67)*100</f>
        <v>36</v>
      </c>
      <c r="I67" s="181" t="n">
        <f aca="false">F67/($B$7*$B$12)*100</f>
        <v>8.83996772070579</v>
      </c>
      <c r="J67" s="181" t="n">
        <f aca="false">H67/100</f>
        <v>0.36</v>
      </c>
      <c r="K67" s="581" t="n">
        <f aca="false">K66+0.01</f>
        <v>0.64</v>
      </c>
      <c r="L67" s="181" t="n">
        <f aca="false">MAX(-$B$13-$B$10*(K67),0)</f>
        <v>0</v>
      </c>
      <c r="M67" s="181" t="n">
        <f aca="false">$B$13/(1-K67)</f>
        <v>-4.16666666666667</v>
      </c>
      <c r="N67" s="181" t="n">
        <f aca="false">M67+L67</f>
        <v>-4.16666666666667</v>
      </c>
      <c r="O67" s="181" t="n">
        <f aca="false">-1/M67</f>
        <v>0.24</v>
      </c>
      <c r="P67" s="181" t="n">
        <f aca="false">-1/N67</f>
        <v>0.24</v>
      </c>
      <c r="Q67" s="181" t="n">
        <f aca="false">(D67-D68)/(N67-N68)</f>
        <v>0.099539281918144</v>
      </c>
      <c r="R67" s="181" t="n">
        <f aca="false">(E67-E68)/(N67-N68)</f>
        <v>0.0629999999999998</v>
      </c>
      <c r="S67" s="181" t="n">
        <f aca="false">(F67-F68)/(N67-N68)</f>
        <v>0.0365392819181444</v>
      </c>
      <c r="T67" s="181" t="n">
        <f aca="false">100/(1+EXP($B$19/25*(N67-$B$18)))</f>
        <v>91.1600322792942</v>
      </c>
      <c r="U67" s="181" t="n">
        <f aca="false">MAX(IF(H67/100&gt;($B$25),$B$41,$B$41*(1+(H67/100-$B$25)*$V$1)),0)</f>
        <v>1.383</v>
      </c>
      <c r="V67" s="181" t="n">
        <f aca="false">MAX(IF(H67/100&gt;$B$25,$B$41,$B$41*EXP((H67/100-$B$25)*$V$1)),0)</f>
        <v>1.74999387629292</v>
      </c>
      <c r="W67" s="181" t="n">
        <v>0.275275595255541</v>
      </c>
      <c r="X67" s="181"/>
    </row>
    <row r="68" customFormat="false" ht="15.75" hidden="false" customHeight="false" outlineLevel="0" collapsed="false">
      <c r="D68" s="181" t="n">
        <f aca="false">E68+F68</f>
        <v>0.280250004787699</v>
      </c>
      <c r="E68" s="181" t="n">
        <f aca="false">$B$7*$B$11*H68/100</f>
        <v>0.2625</v>
      </c>
      <c r="F68" s="181" t="n">
        <f aca="false">$B$7*$B$12*(100-T68)/100</f>
        <v>0.0177500047876996</v>
      </c>
      <c r="G68" s="181" t="n">
        <f aca="false">100*D68/$B$7</f>
        <v>28.0250004787699</v>
      </c>
      <c r="H68" s="181" t="n">
        <f aca="false">(1-K68)*100</f>
        <v>35</v>
      </c>
      <c r="I68" s="181" t="n">
        <f aca="false">F68/($B$7*$B$12)*100</f>
        <v>7.10000191507986</v>
      </c>
      <c r="J68" s="181" t="n">
        <f aca="false">H68/100</f>
        <v>0.35</v>
      </c>
      <c r="K68" s="581" t="n">
        <f aca="false">K67+0.01</f>
        <v>0.65</v>
      </c>
      <c r="L68" s="181" t="n">
        <f aca="false">MAX(-$B$13-$B$10*(K68),0)</f>
        <v>0</v>
      </c>
      <c r="M68" s="181" t="n">
        <f aca="false">$B$13/(1-K68)</f>
        <v>-4.28571428571429</v>
      </c>
      <c r="N68" s="181" t="n">
        <f aca="false">M68+L68</f>
        <v>-4.28571428571429</v>
      </c>
      <c r="O68" s="181" t="n">
        <f aca="false">-1/M68</f>
        <v>0.233333333333333</v>
      </c>
      <c r="P68" s="181" t="n">
        <f aca="false">-1/N68</f>
        <v>0.233333333333333</v>
      </c>
      <c r="Q68" s="181" t="n">
        <f aca="false">(D68-D69)/(N68-N69)</f>
        <v>0.0891194246901337</v>
      </c>
      <c r="R68" s="181" t="n">
        <f aca="false">(E68-E69)/(N68-N69)</f>
        <v>0.0594999999999998</v>
      </c>
      <c r="S68" s="181" t="n">
        <f aca="false">(F68-F69)/(N68-N69)</f>
        <v>0.0296194246901337</v>
      </c>
      <c r="T68" s="181" t="n">
        <f aca="false">100/(1+EXP($B$19/25*(N68-$B$18)))</f>
        <v>92.8999980849201</v>
      </c>
      <c r="U68" s="181" t="n">
        <f aca="false">MAX(IF(H68/100&gt;($B$25),$B$41,$B$41*(1+(H68/100-$B$25)*$V$1)),0)</f>
        <v>1.35</v>
      </c>
      <c r="V68" s="181" t="n">
        <f aca="false">MAX(IF(H68/100&gt;$B$25,$B$41,$B$41*EXP((H68/100-$B$25)*$V$1)),0)</f>
        <v>1.73084943114146</v>
      </c>
      <c r="W68" s="181" t="n">
        <v>0.269149271296049</v>
      </c>
      <c r="X68" s="181"/>
    </row>
    <row r="69" customFormat="false" ht="15.75" hidden="false" customHeight="false" outlineLevel="0" collapsed="false">
      <c r="D69" s="181" t="n">
        <f aca="false">E69+F69</f>
        <v>0.269016463860372</v>
      </c>
      <c r="E69" s="181" t="n">
        <f aca="false">$B$7*$B$11*H69/100</f>
        <v>0.255</v>
      </c>
      <c r="F69" s="181" t="n">
        <f aca="false">$B$7*$B$12*(100-T69)/100</f>
        <v>0.0140164638603719</v>
      </c>
      <c r="G69" s="181" t="n">
        <f aca="false">100*D69/$B$7</f>
        <v>26.9016463860372</v>
      </c>
      <c r="H69" s="181" t="n">
        <f aca="false">(1-K69)*100</f>
        <v>34</v>
      </c>
      <c r="I69" s="181" t="n">
        <f aca="false">F69/($B$7*$B$12)*100</f>
        <v>5.60658554414874</v>
      </c>
      <c r="J69" s="181" t="n">
        <f aca="false">H69/100</f>
        <v>0.34</v>
      </c>
      <c r="K69" s="581" t="n">
        <f aca="false">K68+0.01</f>
        <v>0.66</v>
      </c>
      <c r="L69" s="181" t="n">
        <f aca="false">MAX(-$B$13-$B$10*(K69),0)</f>
        <v>0</v>
      </c>
      <c r="M69" s="181" t="n">
        <f aca="false">$B$13/(1-K69)</f>
        <v>-4.41176470588236</v>
      </c>
      <c r="N69" s="181" t="n">
        <f aca="false">M69+L69</f>
        <v>-4.41176470588236</v>
      </c>
      <c r="O69" s="181" t="n">
        <f aca="false">-1/M69</f>
        <v>0.226666666666666</v>
      </c>
      <c r="P69" s="181" t="n">
        <f aca="false">-1/N69</f>
        <v>0.226666666666666</v>
      </c>
      <c r="Q69" s="181" t="n">
        <f aca="false">(D69-D70)/(N69-N70)</f>
        <v>0.0796284297035426</v>
      </c>
      <c r="R69" s="181" t="n">
        <f aca="false">(E69-E70)/(N69-N70)</f>
        <v>0.0561</v>
      </c>
      <c r="S69" s="181" t="n">
        <f aca="false">(F69-F70)/(N69-N70)</f>
        <v>0.0235284297035424</v>
      </c>
      <c r="T69" s="181" t="n">
        <f aca="false">100/(1+EXP($B$19/25*(N69-$B$18)))</f>
        <v>94.3934144558513</v>
      </c>
      <c r="U69" s="181" t="n">
        <f aca="false">MAX(IF(H69/100&gt;($B$25),$B$41,$B$41*(1+(H69/100-$B$25)*$V$1)),0)</f>
        <v>1.317</v>
      </c>
      <c r="V69" s="181" t="n">
        <f aca="false">MAX(IF(H69/100&gt;$B$25,$B$41,$B$41*EXP((H69/100-$B$25)*$V$1)),0)</f>
        <v>1.71191442088296</v>
      </c>
      <c r="W69" s="181" t="n">
        <v>0.263159901382854</v>
      </c>
      <c r="X69" s="181"/>
    </row>
    <row r="70" customFormat="false" ht="15.75" hidden="false" customHeight="false" outlineLevel="0" collapsed="false">
      <c r="D70" s="181" t="n">
        <f aca="false">E70+F70</f>
        <v>0.258370951867919</v>
      </c>
      <c r="E70" s="181" t="n">
        <f aca="false">$B$7*$B$11*H70/100</f>
        <v>0.2475</v>
      </c>
      <c r="F70" s="181" t="n">
        <f aca="false">$B$7*$B$12*(100-T70)/100</f>
        <v>0.0108709518679197</v>
      </c>
      <c r="G70" s="181" t="n">
        <f aca="false">100*D70/$B$7</f>
        <v>25.8370951867919</v>
      </c>
      <c r="H70" s="181" t="n">
        <f aca="false">(1-K70)*100</f>
        <v>33</v>
      </c>
      <c r="I70" s="181" t="n">
        <f aca="false">F70/($B$7*$B$12)*100</f>
        <v>4.34838074716787</v>
      </c>
      <c r="J70" s="181" t="n">
        <f aca="false">H70/100</f>
        <v>0.33</v>
      </c>
      <c r="K70" s="581" t="n">
        <f aca="false">K69+0.01</f>
        <v>0.67</v>
      </c>
      <c r="L70" s="181" t="n">
        <f aca="false">MAX(-$B$13-$B$10*(K70),0)</f>
        <v>0</v>
      </c>
      <c r="M70" s="181" t="n">
        <f aca="false">$B$13/(1-K70)</f>
        <v>-4.54545454545455</v>
      </c>
      <c r="N70" s="181" t="n">
        <f aca="false">M70+L70</f>
        <v>-4.54545454545455</v>
      </c>
      <c r="O70" s="181" t="n">
        <f aca="false">-1/M70</f>
        <v>0.22</v>
      </c>
      <c r="P70" s="181" t="n">
        <f aca="false">-1/N70</f>
        <v>0.22</v>
      </c>
      <c r="Q70" s="181" t="n">
        <f aca="false">(D70-D71)/(N70-N71)</f>
        <v>0.0711001791860353</v>
      </c>
      <c r="R70" s="181" t="n">
        <f aca="false">(E70-E71)/(N70-N71)</f>
        <v>0.0527999999999999</v>
      </c>
      <c r="S70" s="181" t="n">
        <f aca="false">(F70-F71)/(N70-N71)</f>
        <v>0.0183001791860356</v>
      </c>
      <c r="T70" s="181" t="n">
        <f aca="false">100/(1+EXP($B$19/25*(N70-$B$18)))</f>
        <v>95.6516192528321</v>
      </c>
      <c r="U70" s="181" t="n">
        <f aca="false">MAX(IF(H70/100&gt;($B$25),$B$41,$B$41*(1+(H70/100-$B$25)*$V$1)),0)</f>
        <v>1.284</v>
      </c>
      <c r="V70" s="181" t="n">
        <f aca="false">MAX(IF(H70/100&gt;$B$25,$B$41,$B$41*EXP((H70/100-$B$25)*$V$1)),0)</f>
        <v>1.69318655435807</v>
      </c>
      <c r="W70" s="181" t="n">
        <v>0.257304220202566</v>
      </c>
      <c r="X70" s="181"/>
    </row>
    <row r="71" customFormat="false" ht="15.75" hidden="false" customHeight="false" outlineLevel="0" collapsed="false">
      <c r="D71" s="181" t="n">
        <f aca="false">E71+F71</f>
        <v>0.248271494597176</v>
      </c>
      <c r="E71" s="181" t="n">
        <f aca="false">$B$7*$B$11*H71/100</f>
        <v>0.24</v>
      </c>
      <c r="F71" s="181" t="n">
        <f aca="false">$B$7*$B$12*(100-T71)/100</f>
        <v>0.00827149459717596</v>
      </c>
      <c r="G71" s="181" t="n">
        <f aca="false">100*D71/$B$7</f>
        <v>24.8271494597176</v>
      </c>
      <c r="H71" s="181" t="n">
        <f aca="false">(1-K71)*100</f>
        <v>32</v>
      </c>
      <c r="I71" s="181" t="n">
        <f aca="false">F71/($B$7*$B$12)*100</f>
        <v>3.30859783887038</v>
      </c>
      <c r="J71" s="181" t="n">
        <f aca="false">H71/100</f>
        <v>0.32</v>
      </c>
      <c r="K71" s="581" t="n">
        <f aca="false">K70+0.01</f>
        <v>0.68</v>
      </c>
      <c r="L71" s="181" t="n">
        <f aca="false">MAX(-$B$13-$B$10*(K71),0)</f>
        <v>0</v>
      </c>
      <c r="M71" s="181" t="n">
        <f aca="false">$B$13/(1-K71)</f>
        <v>-4.68750000000001</v>
      </c>
      <c r="N71" s="181" t="n">
        <f aca="false">M71+L71</f>
        <v>-4.68750000000001</v>
      </c>
      <c r="O71" s="181" t="n">
        <f aca="false">-1/M71</f>
        <v>0.213333333333333</v>
      </c>
      <c r="P71" s="181" t="n">
        <f aca="false">-1/N71</f>
        <v>0.213333333333333</v>
      </c>
      <c r="Q71" s="181" t="n">
        <f aca="false">(D71-D72)/(N71-N72)</f>
        <v>0.0635236224313542</v>
      </c>
      <c r="R71" s="181" t="n">
        <f aca="false">(E71-E72)/(N71-N72)</f>
        <v>0.0495999999999997</v>
      </c>
      <c r="S71" s="181" t="n">
        <f aca="false">(F71-F72)/(N71-N72)</f>
        <v>0.0139236224313545</v>
      </c>
      <c r="T71" s="181" t="n">
        <f aca="false">100/(1+EXP($B$19/25*(N71-$B$18)))</f>
        <v>96.6914021611296</v>
      </c>
      <c r="U71" s="181" t="n">
        <f aca="false">MAX(IF(H71/100&gt;($B$25),$B$41,$B$41*(1+(H71/100-$B$25)*$V$1)),0)</f>
        <v>1.251</v>
      </c>
      <c r="V71" s="181" t="n">
        <f aca="false">MAX(IF(H71/100&gt;$B$25,$B$41,$B$41*EXP((H71/100-$B$25)*$V$1)),0)</f>
        <v>1.6746635654721</v>
      </c>
      <c r="W71" s="181" t="n">
        <v>0.25157910067994</v>
      </c>
      <c r="X71" s="181"/>
    </row>
    <row r="72" customFormat="false" ht="15.75" hidden="false" customHeight="false" outlineLevel="0" collapsed="false">
      <c r="D72" s="181" t="n">
        <f aca="false">E72+F72</f>
        <v>0.238666108140822</v>
      </c>
      <c r="E72" s="181" t="n">
        <f aca="false">$B$7*$B$11*H72/100</f>
        <v>0.2325</v>
      </c>
      <c r="F72" s="181" t="n">
        <f aca="false">$B$7*$B$12*(100-T72)/100</f>
        <v>0.00616610814082193</v>
      </c>
      <c r="G72" s="181" t="n">
        <f aca="false">100*D72/$B$7</f>
        <v>23.8666108140822</v>
      </c>
      <c r="H72" s="181" t="n">
        <f aca="false">(1-K72)*100</f>
        <v>31</v>
      </c>
      <c r="I72" s="181" t="n">
        <f aca="false">F72/($B$7*$B$12)*100</f>
        <v>2.46644325632877</v>
      </c>
      <c r="J72" s="181" t="n">
        <f aca="false">H72/100</f>
        <v>0.31</v>
      </c>
      <c r="K72" s="581" t="n">
        <f aca="false">K71+0.01</f>
        <v>0.69</v>
      </c>
      <c r="L72" s="181" t="n">
        <f aca="false">MAX(-$B$13-$B$10*(K72),0)</f>
        <v>0</v>
      </c>
      <c r="M72" s="181" t="n">
        <f aca="false">$B$13/(1-K72)</f>
        <v>-4.83870967741936</v>
      </c>
      <c r="N72" s="181" t="n">
        <f aca="false">M72+L72</f>
        <v>-4.83870967741936</v>
      </c>
      <c r="O72" s="181" t="n">
        <f aca="false">-1/M72</f>
        <v>0.206666666666666</v>
      </c>
      <c r="P72" s="181" t="n">
        <f aca="false">-1/N72</f>
        <v>0.206666666666666</v>
      </c>
      <c r="Q72" s="181" t="n">
        <f aca="false">(D72-D73)/(N72-N73)</f>
        <v>0.0568512450318541</v>
      </c>
      <c r="R72" s="181" t="n">
        <f aca="false">(E72-E73)/(N72-N73)</f>
        <v>0.0464999999999997</v>
      </c>
      <c r="S72" s="181" t="n">
        <f aca="false">(F72-F73)/(N72-N73)</f>
        <v>0.0103512450318543</v>
      </c>
      <c r="T72" s="181" t="n">
        <f aca="false">100/(1+EXP($B$19/25*(N72-$B$18)))</f>
        <v>97.5335567436712</v>
      </c>
      <c r="U72" s="181" t="n">
        <f aca="false">MAX(IF(H72/100&gt;($B$25),$B$41,$B$41*(1+(H72/100-$B$25)*$V$1)),0)</f>
        <v>1.218</v>
      </c>
      <c r="V72" s="181" t="n">
        <f aca="false">MAX(IF(H72/100&gt;$B$25,$B$41,$B$41*EXP((H72/100-$B$25)*$V$1)),0)</f>
        <v>1.65634321292079</v>
      </c>
      <c r="W72" s="181" t="n">
        <v>0.245981533940967</v>
      </c>
      <c r="X72" s="181"/>
    </row>
    <row r="73" customFormat="false" ht="15.75" hidden="false" customHeight="false" outlineLevel="0" collapsed="false">
      <c r="D73" s="181" t="n">
        <f aca="false">E73+F73</f>
        <v>0.229496552490523</v>
      </c>
      <c r="E73" s="181" t="n">
        <f aca="false">$B$7*$B$11*H73/100</f>
        <v>0.225</v>
      </c>
      <c r="F73" s="181" t="n">
        <f aca="false">$B$7*$B$12*(100-T73)/100</f>
        <v>0.00449655249052285</v>
      </c>
      <c r="G73" s="181" t="n">
        <f aca="false">100*D73/$B$7</f>
        <v>22.9496552490523</v>
      </c>
      <c r="H73" s="181" t="n">
        <f aca="false">(1-K73)*100</f>
        <v>30</v>
      </c>
      <c r="I73" s="181" t="n">
        <f aca="false">F73/($B$7*$B$12)*100</f>
        <v>1.79862099620914</v>
      </c>
      <c r="J73" s="181" t="n">
        <f aca="false">H73/100</f>
        <v>0.3</v>
      </c>
      <c r="K73" s="581" t="n">
        <f aca="false">K72+0.01</f>
        <v>0.7</v>
      </c>
      <c r="L73" s="181" t="n">
        <f aca="false">MAX(-$B$13-$B$10*(K73),0)</f>
        <v>0</v>
      </c>
      <c r="M73" s="181" t="n">
        <f aca="false">$B$13/(1-K73)</f>
        <v>-5.00000000000001</v>
      </c>
      <c r="N73" s="181" t="n">
        <f aca="false">M73+L73</f>
        <v>-5.00000000000001</v>
      </c>
      <c r="O73" s="181" t="n">
        <f aca="false">-1/M73</f>
        <v>0.2</v>
      </c>
      <c r="P73" s="181" t="n">
        <f aca="false">-1/N73</f>
        <v>0.2</v>
      </c>
      <c r="Q73" s="181" t="n">
        <f aca="false">(D73-D74)/(N73-N74)</f>
        <v>0.0510090096779206</v>
      </c>
      <c r="R73" s="181" t="n">
        <f aca="false">(E73-E74)/(N73-N74)</f>
        <v>0.0435000000000002</v>
      </c>
      <c r="S73" s="181" t="n">
        <f aca="false">(F73-F74)/(N73-N74)</f>
        <v>0.0075090096779204</v>
      </c>
      <c r="T73" s="181" t="n">
        <f aca="false">100/(1+EXP($B$19/25*(N73-$B$18)))</f>
        <v>98.2013790037909</v>
      </c>
      <c r="U73" s="181" t="n">
        <f aca="false">MAX(IF(H73/100&gt;($B$25),$B$41,$B$41*(1+(H73/100-$B$25)*$V$1)),0)</f>
        <v>1.185</v>
      </c>
      <c r="V73" s="181" t="n">
        <f aca="false">MAX(IF(H73/100&gt;$B$25,$B$41,$B$41*EXP((H73/100-$B$25)*$V$1)),0)</f>
        <v>1.63822327991913</v>
      </c>
      <c r="W73" s="181" t="n">
        <v>0.240508613200535</v>
      </c>
      <c r="X73" s="181"/>
    </row>
    <row r="74" customFormat="false" ht="15.75" hidden="false" customHeight="false" outlineLevel="0" collapsed="false">
      <c r="D74" s="181" t="n">
        <f aca="false">E74+F74</f>
        <v>0.220701895649502</v>
      </c>
      <c r="E74" s="181" t="n">
        <f aca="false">$B$7*$B$11*H74/100</f>
        <v>0.2175</v>
      </c>
      <c r="F74" s="181" t="n">
        <f aca="false">$B$7*$B$12*(100-T74)/100</f>
        <v>0.00320189564950208</v>
      </c>
      <c r="G74" s="181" t="n">
        <f aca="false">100*D74/$B$7</f>
        <v>22.0701895649502</v>
      </c>
      <c r="H74" s="181" t="n">
        <f aca="false">(1-K74)*100</f>
        <v>29</v>
      </c>
      <c r="I74" s="181" t="n">
        <f aca="false">F74/($B$7*$B$12)*100</f>
        <v>1.28075825980083</v>
      </c>
      <c r="J74" s="181" t="n">
        <f aca="false">H74/100</f>
        <v>0.29</v>
      </c>
      <c r="K74" s="581" t="n">
        <f aca="false">K73+0.01</f>
        <v>0.71</v>
      </c>
      <c r="L74" s="181" t="n">
        <f aca="false">MAX(-$B$13-$B$10*(K74),0)</f>
        <v>0</v>
      </c>
      <c r="M74" s="181" t="n">
        <f aca="false">$B$13/(1-K74)</f>
        <v>-5.17241379310346</v>
      </c>
      <c r="N74" s="181" t="n">
        <f aca="false">M74+L74</f>
        <v>-5.17241379310346</v>
      </c>
      <c r="O74" s="181" t="n">
        <f aca="false">-1/M74</f>
        <v>0.193333333333333</v>
      </c>
      <c r="P74" s="181" t="n">
        <f aca="false">-1/N74</f>
        <v>0.193333333333333</v>
      </c>
      <c r="Q74" s="181" t="n">
        <f aca="false">(D74-D75)/(N74-N75)</f>
        <v>0.0459064117161389</v>
      </c>
      <c r="R74" s="181" t="n">
        <f aca="false">(E74-E75)/(N74-N75)</f>
        <v>0.0406</v>
      </c>
      <c r="S74" s="181" t="n">
        <f aca="false">(F74-F75)/(N74-N75)</f>
        <v>0.00530641171613901</v>
      </c>
      <c r="T74" s="181" t="n">
        <f aca="false">100/(1+EXP($B$19/25*(N74-$B$18)))</f>
        <v>98.7192417401992</v>
      </c>
      <c r="U74" s="181" t="n">
        <f aca="false">MAX(IF(H74/100&gt;($B$25),$B$41,$B$41*(1+(H74/100-$B$25)*$V$1)),0)</f>
        <v>1.152</v>
      </c>
      <c r="V74" s="181" t="n">
        <f aca="false">MAX(IF(H74/100&gt;$B$25,$B$41,$B$41*EXP((H74/100-$B$25)*$V$1)),0)</f>
        <v>1.62030157393311</v>
      </c>
      <c r="W74" s="181" t="n">
        <v>0.235157521041477</v>
      </c>
      <c r="X74" s="181"/>
    </row>
    <row r="75" customFormat="false" ht="15.75" hidden="false" customHeight="false" outlineLevel="0" collapsed="false">
      <c r="D75" s="181" t="n">
        <f aca="false">E75+F75</f>
        <v>0.212221647179772</v>
      </c>
      <c r="E75" s="181" t="n">
        <f aca="false">$B$7*$B$11*H75/100</f>
        <v>0.21</v>
      </c>
      <c r="F75" s="181" t="n">
        <f aca="false">$B$7*$B$12*(100-T75)/100</f>
        <v>0.00222164717977197</v>
      </c>
      <c r="G75" s="181" t="n">
        <f aca="false">100*D75/$B$7</f>
        <v>21.2221647179772</v>
      </c>
      <c r="H75" s="181" t="n">
        <f aca="false">(1-K75)*100</f>
        <v>28</v>
      </c>
      <c r="I75" s="181" t="n">
        <f aca="false">F75/($B$7*$B$12)*100</f>
        <v>0.888658871908788</v>
      </c>
      <c r="J75" s="181" t="n">
        <f aca="false">H75/100</f>
        <v>0.28</v>
      </c>
      <c r="K75" s="581" t="n">
        <f aca="false">K74+0.01</f>
        <v>0.72</v>
      </c>
      <c r="L75" s="181" t="n">
        <f aca="false">MAX(-$B$13-$B$10*(K75),0)</f>
        <v>0</v>
      </c>
      <c r="M75" s="181" t="n">
        <f aca="false">$B$13/(1-K75)</f>
        <v>-5.35714285714287</v>
      </c>
      <c r="N75" s="181" t="n">
        <f aca="false">M75+L75</f>
        <v>-5.35714285714287</v>
      </c>
      <c r="O75" s="181" t="n">
        <f aca="false">-1/M75</f>
        <v>0.186666666666666</v>
      </c>
      <c r="P75" s="181" t="n">
        <f aca="false">-1/N75</f>
        <v>0.186666666666666</v>
      </c>
      <c r="Q75" s="181" t="n">
        <f aca="false">(D75-D76)/(N75-N76)</f>
        <v>0.041445613914523</v>
      </c>
      <c r="R75" s="181" t="n">
        <f aca="false">(E75-E76)/(N75-N76)</f>
        <v>0.0377999999999998</v>
      </c>
      <c r="S75" s="181" t="n">
        <f aca="false">(F75-F76)/(N75-N76)</f>
        <v>0.00364561391452318</v>
      </c>
      <c r="T75" s="181" t="n">
        <f aca="false">100/(1+EXP($B$19/25*(N75-$B$18)))</f>
        <v>99.1113411280912</v>
      </c>
      <c r="U75" s="181" t="n">
        <f aca="false">MAX(IF(H75/100&gt;($B$25),$B$41,$B$41*(1+(H75/100-$B$25)*$V$1)),0)</f>
        <v>1.119</v>
      </c>
      <c r="V75" s="181" t="n">
        <f aca="false">MAX(IF(H75/100&gt;$B$25,$B$41,$B$41*EXP((H75/100-$B$25)*$V$1)),0)</f>
        <v>1.60257592641445</v>
      </c>
      <c r="W75" s="181" t="n">
        <v>0.229925519550817</v>
      </c>
      <c r="X75" s="181"/>
    </row>
    <row r="76" customFormat="false" ht="15.75" hidden="false" customHeight="false" outlineLevel="0" collapsed="false">
      <c r="D76" s="181" t="n">
        <f aca="false">E76+F76</f>
        <v>0.20399831108562</v>
      </c>
      <c r="E76" s="181" t="n">
        <f aca="false">$B$7*$B$11*H76/100</f>
        <v>0.2025</v>
      </c>
      <c r="F76" s="181" t="n">
        <f aca="false">$B$7*$B$12*(100-T76)/100</f>
        <v>0.00149831108562054</v>
      </c>
      <c r="G76" s="181" t="n">
        <f aca="false">100*D76/$B$7</f>
        <v>20.399831108562</v>
      </c>
      <c r="H76" s="181" t="n">
        <f aca="false">(1-K76)*100</f>
        <v>27</v>
      </c>
      <c r="I76" s="181" t="n">
        <f aca="false">F76/($B$7*$B$12)*100</f>
        <v>0.599324434248217</v>
      </c>
      <c r="J76" s="181" t="n">
        <f aca="false">H76/100</f>
        <v>0.27</v>
      </c>
      <c r="K76" s="581" t="n">
        <f aca="false">K75+0.01</f>
        <v>0.73</v>
      </c>
      <c r="L76" s="181" t="n">
        <f aca="false">MAX(-$B$13-$B$10*(K76),0)</f>
        <v>0</v>
      </c>
      <c r="M76" s="181" t="n">
        <f aca="false">$B$13/(1-K76)</f>
        <v>-5.55555555555556</v>
      </c>
      <c r="N76" s="181" t="n">
        <f aca="false">M76+L76</f>
        <v>-5.55555555555556</v>
      </c>
      <c r="O76" s="181" t="n">
        <f aca="false">-1/M76</f>
        <v>0.18</v>
      </c>
      <c r="P76" s="181" t="n">
        <f aca="false">-1/N76</f>
        <v>0.18</v>
      </c>
      <c r="Q76" s="181" t="n">
        <f aca="false">(D76-D77)/(N76-N77)</f>
        <v>0.0375290096101658</v>
      </c>
      <c r="R76" s="181" t="n">
        <f aca="false">(E76-E77)/(N76-N77)</f>
        <v>0.0350999999999999</v>
      </c>
      <c r="S76" s="181" t="n">
        <f aca="false">(F76-F77)/(N76-N77)</f>
        <v>0.00242900961016586</v>
      </c>
      <c r="T76" s="181" t="n">
        <f aca="false">100/(1+EXP($B$19/25*(N76-$B$18)))</f>
        <v>99.4006755657518</v>
      </c>
      <c r="U76" s="181" t="n">
        <f aca="false">MAX(IF(H76/100&gt;($B$25),$B$41,$B$41*(1+(H76/100-$B$25)*$V$1)),0)</f>
        <v>1.086</v>
      </c>
      <c r="V76" s="181" t="n">
        <f aca="false">MAX(IF(H76/100&gt;$B$25,$B$41,$B$41*EXP((H76/100-$B$25)*$V$1)),0)</f>
        <v>1.58504419253817</v>
      </c>
      <c r="W76" s="181" t="n">
        <v>0.224809942797003</v>
      </c>
      <c r="X76" s="181"/>
    </row>
    <row r="77" customFormat="false" ht="15.75" hidden="false" customHeight="false" outlineLevel="0" collapsed="false">
      <c r="D77" s="181" t="n">
        <f aca="false">E77+F77</f>
        <v>0.195979291938149</v>
      </c>
      <c r="E77" s="181" t="n">
        <f aca="false">$B$7*$B$11*H77/100</f>
        <v>0.195</v>
      </c>
      <c r="F77" s="181" t="n">
        <f aca="false">$B$7*$B$12*(100-T77)/100</f>
        <v>0.000979291938149203</v>
      </c>
      <c r="G77" s="181" t="n">
        <f aca="false">100*D77/$B$7</f>
        <v>19.5979291938149</v>
      </c>
      <c r="H77" s="181" t="n">
        <f aca="false">(1-K77)*100</f>
        <v>26</v>
      </c>
      <c r="I77" s="181" t="n">
        <f aca="false">F77/($B$7*$B$12)*100</f>
        <v>0.391716775259681</v>
      </c>
      <c r="J77" s="181" t="n">
        <f aca="false">H77/100</f>
        <v>0.26</v>
      </c>
      <c r="K77" s="581" t="n">
        <f aca="false">K76+0.01</f>
        <v>0.74</v>
      </c>
      <c r="L77" s="181" t="n">
        <f aca="false">MAX(-$B$13-$B$10*(K77),0)</f>
        <v>0</v>
      </c>
      <c r="M77" s="181" t="n">
        <f aca="false">$B$13/(1-K77)</f>
        <v>-5.76923076923078</v>
      </c>
      <c r="N77" s="181" t="n">
        <f aca="false">M77+L77</f>
        <v>-5.76923076923078</v>
      </c>
      <c r="O77" s="181" t="n">
        <f aca="false">-1/M77</f>
        <v>0.173333333333333</v>
      </c>
      <c r="P77" s="181" t="n">
        <f aca="false">-1/N77</f>
        <v>0.173333333333333</v>
      </c>
      <c r="Q77" s="181" t="n">
        <f aca="false">(D77-D78)/(N77-N78)</f>
        <v>0.0340649233122922</v>
      </c>
      <c r="R77" s="181" t="n">
        <f aca="false">(E77-E78)/(N77-N78)</f>
        <v>0.0324999999999999</v>
      </c>
      <c r="S77" s="181" t="n">
        <f aca="false">(F77-F78)/(N77-N78)</f>
        <v>0.00156492331229236</v>
      </c>
      <c r="T77" s="181" t="n">
        <f aca="false">100/(1+EXP($B$19/25*(N77-$B$18)))</f>
        <v>99.6082832247403</v>
      </c>
      <c r="U77" s="181" t="n">
        <f aca="false">MAX(IF(H77/100&gt;($B$25),$B$41,$B$41*(1+(H77/100-$B$25)*$V$1)),0)</f>
        <v>1.053</v>
      </c>
      <c r="V77" s="181" t="n">
        <f aca="false">MAX(IF(H77/100&gt;$B$25,$B$41,$B$41*EXP((H77/100-$B$25)*$V$1)),0)</f>
        <v>1.56770425094308</v>
      </c>
      <c r="W77" s="181" t="n">
        <v>0.219808191167391</v>
      </c>
      <c r="X77" s="181"/>
    </row>
    <row r="78" customFormat="false" ht="15.75" hidden="false" customHeight="false" outlineLevel="0" collapsed="false">
      <c r="D78" s="181" t="n">
        <f aca="false">E78+F78</f>
        <v>0.188118155789158</v>
      </c>
      <c r="E78" s="181" t="n">
        <f aca="false">$B$7*$B$11*H78/100</f>
        <v>0.1875</v>
      </c>
      <c r="F78" s="181" t="n">
        <f aca="false">$B$7*$B$12*(100-T78)/100</f>
        <v>0.000618155789158656</v>
      </c>
      <c r="G78" s="181" t="n">
        <f aca="false">100*D78/$B$7</f>
        <v>18.8118155789158</v>
      </c>
      <c r="H78" s="181" t="n">
        <f aca="false">(1-K78)*100</f>
        <v>25</v>
      </c>
      <c r="I78" s="181" t="n">
        <f aca="false">F78/($B$7*$B$12)*100</f>
        <v>0.247262315663463</v>
      </c>
      <c r="J78" s="181" t="n">
        <f aca="false">H78/100</f>
        <v>0.25</v>
      </c>
      <c r="K78" s="581" t="n">
        <f aca="false">K77+0.01</f>
        <v>0.75</v>
      </c>
      <c r="L78" s="181" t="n">
        <f aca="false">MAX(-$B$13-$B$10*(K78),0)</f>
        <v>0</v>
      </c>
      <c r="M78" s="181" t="n">
        <f aca="false">$B$13/(1-K78)</f>
        <v>-6.00000000000001</v>
      </c>
      <c r="N78" s="181" t="n">
        <f aca="false">M78+L78</f>
        <v>-6.00000000000001</v>
      </c>
      <c r="O78" s="181" t="n">
        <f aca="false">-1/M78</f>
        <v>0.166666666666666</v>
      </c>
      <c r="P78" s="181" t="n">
        <f aca="false">-1/N78</f>
        <v>0.166666666666666</v>
      </c>
      <c r="Q78" s="181" t="n">
        <f aca="false">(D78-D79)/(N78-N79)</f>
        <v>0.0309714408998978</v>
      </c>
      <c r="R78" s="181" t="n">
        <f aca="false">(E78-E79)/(N78-N79)</f>
        <v>0.03</v>
      </c>
      <c r="S78" s="181" t="n">
        <f aca="false">(F78-F79)/(N78-N79)</f>
        <v>0.000971440899897683</v>
      </c>
      <c r="T78" s="181" t="n">
        <f aca="false">100/(1+EXP($B$19/25*(N78-$B$18)))</f>
        <v>99.7527376843365</v>
      </c>
      <c r="U78" s="181" t="n">
        <f aca="false">MAX(IF(H78/100&gt;($B$25),$B$41,$B$41*(1+(H78/100-$B$25)*$V$1)),0)</f>
        <v>1.02</v>
      </c>
      <c r="V78" s="181" t="n">
        <f aca="false">MAX(IF(H78/100&gt;$B$25,$B$41,$B$41*EXP((H78/100-$B$25)*$V$1)),0)</f>
        <v>1.5505540034751</v>
      </c>
      <c r="W78" s="181" t="n">
        <v>0.214917727135015</v>
      </c>
      <c r="X78" s="181"/>
    </row>
    <row r="79" customFormat="false" ht="15.75" hidden="false" customHeight="false" outlineLevel="0" collapsed="false">
      <c r="D79" s="181" t="n">
        <f aca="false">E79+F79</f>
        <v>0.180375295564184</v>
      </c>
      <c r="E79" s="181" t="n">
        <f aca="false">$B$7*$B$11*H79/100</f>
        <v>0.18</v>
      </c>
      <c r="F79" s="181" t="n">
        <f aca="false">$B$7*$B$12*(100-T79)/100</f>
        <v>0.000375295564184235</v>
      </c>
      <c r="G79" s="181" t="n">
        <f aca="false">100*D79/$B$7</f>
        <v>18.0375295564184</v>
      </c>
      <c r="H79" s="181" t="n">
        <f aca="false">(1-K79)*100</f>
        <v>24</v>
      </c>
      <c r="I79" s="181" t="n">
        <f aca="false">F79/($B$7*$B$12)*100</f>
        <v>0.150118225673694</v>
      </c>
      <c r="J79" s="181" t="n">
        <f aca="false">H79/100</f>
        <v>0.24</v>
      </c>
      <c r="K79" s="581" t="n">
        <f aca="false">K78+0.01</f>
        <v>0.76</v>
      </c>
      <c r="L79" s="181" t="n">
        <f aca="false">MAX(-$B$13-$B$10*(K79),0)</f>
        <v>0</v>
      </c>
      <c r="M79" s="181" t="n">
        <f aca="false">$B$13/(1-K79)</f>
        <v>-6.25000000000001</v>
      </c>
      <c r="N79" s="181" t="n">
        <f aca="false">M79+L79</f>
        <v>-6.25000000000001</v>
      </c>
      <c r="O79" s="181" t="n">
        <f aca="false">-1/M79</f>
        <v>0.16</v>
      </c>
      <c r="P79" s="181" t="n">
        <f aca="false">-1/N79</f>
        <v>0.16</v>
      </c>
      <c r="Q79" s="181" t="n">
        <f aca="false">(D79-D80)/(N79-N80)</f>
        <v>0.0281785506563328</v>
      </c>
      <c r="R79" s="181" t="n">
        <f aca="false">(E79-E80)/(N79-N80)</f>
        <v>0.0275999999999998</v>
      </c>
      <c r="S79" s="181" t="n">
        <f aca="false">(F79-F80)/(N79-N80)</f>
        <v>0.000578550656333104</v>
      </c>
      <c r="T79" s="181" t="n">
        <f aca="false">100/(1+EXP($B$19/25*(N79-$B$18)))</f>
        <v>99.8498817743263</v>
      </c>
      <c r="U79" s="181" t="n">
        <f aca="false">MAX(IF(H79/100&gt;($B$25),$B$41,$B$41*(1+(H79/100-$B$25)*$V$1)),0)</f>
        <v>0.986999999999999</v>
      </c>
      <c r="V79" s="181" t="n">
        <f aca="false">MAX(IF(H79/100&gt;$B$25,$B$41,$B$41*EXP((H79/100-$B$25)*$V$1)),0)</f>
        <v>1.53359137493334</v>
      </c>
      <c r="W79" s="181" t="n">
        <v>0.210136072083777</v>
      </c>
      <c r="X79" s="181"/>
    </row>
    <row r="80" customFormat="false" ht="15.75" hidden="false" customHeight="false" outlineLevel="0" collapsed="false">
      <c r="D80" s="181" t="n">
        <f aca="false">E80+F80</f>
        <v>0.172718080711919</v>
      </c>
      <c r="E80" s="181" t="n">
        <f aca="false">$B$7*$B$11*H80/100</f>
        <v>0.1725</v>
      </c>
      <c r="F80" s="181" t="n">
        <f aca="false">$B$7*$B$12*(100-T80)/100</f>
        <v>0.000218080711919804</v>
      </c>
      <c r="G80" s="181" t="n">
        <f aca="false">100*D80/$B$7</f>
        <v>17.2718080711919</v>
      </c>
      <c r="H80" s="181" t="n">
        <f aca="false">(1-K80)*100</f>
        <v>23</v>
      </c>
      <c r="I80" s="181" t="n">
        <f aca="false">F80/($B$7*$B$12)*100</f>
        <v>0.0872322847679214</v>
      </c>
      <c r="J80" s="181" t="n">
        <f aca="false">H80/100</f>
        <v>0.23</v>
      </c>
      <c r="K80" s="581" t="n">
        <f aca="false">K79+0.01</f>
        <v>0.77</v>
      </c>
      <c r="L80" s="181" t="n">
        <f aca="false">MAX(-$B$13-$B$10*(K80),0)</f>
        <v>0</v>
      </c>
      <c r="M80" s="181" t="n">
        <f aca="false">$B$13/(1-K80)</f>
        <v>-6.5217391304348</v>
      </c>
      <c r="N80" s="181" t="n">
        <f aca="false">M80+L80</f>
        <v>-6.5217391304348</v>
      </c>
      <c r="O80" s="181" t="n">
        <f aca="false">-1/M80</f>
        <v>0.153333333333333</v>
      </c>
      <c r="P80" s="181" t="n">
        <f aca="false">-1/N80</f>
        <v>0.153333333333333</v>
      </c>
      <c r="Q80" s="181" t="n">
        <f aca="false">(D80-D81)/(N80-N81)</f>
        <v>0.0256288793525507</v>
      </c>
      <c r="R80" s="181" t="n">
        <f aca="false">(E80-E81)/(N80-N81)</f>
        <v>0.0252999999999999</v>
      </c>
      <c r="S80" s="181" t="n">
        <f aca="false">(F80-F81)/(N80-N81)</f>
        <v>0.00032887935255081</v>
      </c>
      <c r="T80" s="181" t="n">
        <f aca="false">100/(1+EXP($B$19/25*(N80-$B$18)))</f>
        <v>99.9127677152321</v>
      </c>
      <c r="U80" s="181" t="n">
        <f aca="false">MAX(IF(H80/100&gt;($B$25),$B$41,$B$41*(1+(H80/100-$B$25)*$V$1)),0)</f>
        <v>0.953999999999999</v>
      </c>
      <c r="V80" s="181" t="n">
        <f aca="false">MAX(IF(H80/100&gt;$B$25,$B$41,$B$41*EXP((H80/100-$B$25)*$V$1)),0)</f>
        <v>1.51681431281907</v>
      </c>
      <c r="W80" s="181" t="n">
        <v>0.205460803886657</v>
      </c>
      <c r="X80" s="181"/>
    </row>
    <row r="81" customFormat="false" ht="15.75" hidden="false" customHeight="false" outlineLevel="0" collapsed="false">
      <c r="D81" s="181" t="n">
        <f aca="false">E81+F81</f>
        <v>0.165120586832705</v>
      </c>
      <c r="E81" s="181" t="n">
        <f aca="false">$B$7*$B$11*H81/100</f>
        <v>0.165</v>
      </c>
      <c r="F81" s="181" t="n">
        <f aca="false">$B$7*$B$12*(100-T81)/100</f>
        <v>0.000120586832705136</v>
      </c>
      <c r="G81" s="181" t="n">
        <f aca="false">100*D81/$B$7</f>
        <v>16.5120586832705</v>
      </c>
      <c r="H81" s="181" t="n">
        <f aca="false">(1-K81)*100</f>
        <v>22</v>
      </c>
      <c r="I81" s="181" t="n">
        <f aca="false">F81/($B$7*$B$12)*100</f>
        <v>0.0482347330820545</v>
      </c>
      <c r="J81" s="181" t="n">
        <f aca="false">H81/100</f>
        <v>0.22</v>
      </c>
      <c r="K81" s="581" t="n">
        <f aca="false">K80+0.01</f>
        <v>0.78</v>
      </c>
      <c r="L81" s="181" t="n">
        <f aca="false">MAX(-$B$13-$B$10*(K81),0)</f>
        <v>0</v>
      </c>
      <c r="M81" s="181" t="n">
        <f aca="false">$B$13/(1-K81)</f>
        <v>-6.81818181818183</v>
      </c>
      <c r="N81" s="181" t="n">
        <f aca="false">M81+L81</f>
        <v>-6.81818181818183</v>
      </c>
      <c r="O81" s="181" t="n">
        <f aca="false">-1/M81</f>
        <v>0.146666666666666</v>
      </c>
      <c r="P81" s="181" t="n">
        <f aca="false">-1/N81</f>
        <v>0.146666666666666</v>
      </c>
      <c r="Q81" s="181" t="n">
        <f aca="false">(D81-D82)/(N81-N82)</f>
        <v>0.0232773451047924</v>
      </c>
      <c r="R81" s="181" t="n">
        <f aca="false">(E81-E82)/(N81-N82)</f>
        <v>0.0230999999999999</v>
      </c>
      <c r="S81" s="181" t="n">
        <f aca="false">(F81-F82)/(N81-N82)</f>
        <v>0.000177345104792574</v>
      </c>
      <c r="T81" s="181" t="n">
        <f aca="false">100/(1+EXP($B$19/25*(N81-$B$18)))</f>
        <v>99.951765266918</v>
      </c>
      <c r="U81" s="181" t="n">
        <f aca="false">MAX(IF(H81/100&gt;($B$25),$B$41,$B$41*(1+(H81/100-$B$25)*$V$1)),0)</f>
        <v>0.920999999999999</v>
      </c>
      <c r="V81" s="181" t="n">
        <f aca="false">MAX(IF(H81/100&gt;$B$25,$B$41,$B$41*EXP((H81/100-$B$25)*$V$1)),0)</f>
        <v>1.5002207870873</v>
      </c>
      <c r="W81" s="181" t="n">
        <v>0.200889554997206</v>
      </c>
      <c r="X81" s="181"/>
    </row>
    <row r="82" customFormat="false" ht="15.75" hidden="false" customHeight="false" outlineLevel="0" collapsed="false">
      <c r="D82" s="181" t="n">
        <f aca="false">E82+F82</f>
        <v>0.157563007253227</v>
      </c>
      <c r="E82" s="181" t="n">
        <f aca="false">$B$7*$B$11*H82/100</f>
        <v>0.1575</v>
      </c>
      <c r="F82" s="181" t="n">
        <f aca="false">$B$7*$B$12*(100-T82)/100</f>
        <v>6.30072532270276E-005</v>
      </c>
      <c r="G82" s="181" t="n">
        <f aca="false">100*D82/$B$7</f>
        <v>15.7563007253227</v>
      </c>
      <c r="H82" s="181" t="n">
        <f aca="false">(1-K82)*100</f>
        <v>21</v>
      </c>
      <c r="I82" s="181" t="n">
        <f aca="false">F82/($B$7*$B$12)*100</f>
        <v>0.025202901290811</v>
      </c>
      <c r="J82" s="181" t="n">
        <f aca="false">H82/100</f>
        <v>0.209999999999999</v>
      </c>
      <c r="K82" s="581" t="n">
        <f aca="false">K81+0.01</f>
        <v>0.790000000000001</v>
      </c>
      <c r="L82" s="181" t="n">
        <f aca="false">MAX(-$B$13-$B$10*(K82),0)</f>
        <v>0</v>
      </c>
      <c r="M82" s="181" t="n">
        <f aca="false">$B$13/(1-K82)</f>
        <v>-7.14285714285716</v>
      </c>
      <c r="N82" s="181" t="n">
        <f aca="false">M82+L82</f>
        <v>-7.14285714285716</v>
      </c>
      <c r="O82" s="181" t="n">
        <f aca="false">-1/M82</f>
        <v>0.14</v>
      </c>
      <c r="P82" s="181" t="n">
        <f aca="false">-1/N82</f>
        <v>0.14</v>
      </c>
      <c r="Q82" s="181" t="n">
        <f aca="false">(D82-D83)/(N82-N83)</f>
        <v>0.0210900441058451</v>
      </c>
      <c r="R82" s="181" t="n">
        <f aca="false">(E82-E83)/(N82-N83)</f>
        <v>0.0209999999999999</v>
      </c>
      <c r="S82" s="181" t="n">
        <f aca="false">(F82-F83)/(N82-N83)</f>
        <v>9.00441058452793E-005</v>
      </c>
      <c r="T82" s="181" t="n">
        <f aca="false">100/(1+EXP($B$19/25*(N82-$B$18)))</f>
        <v>99.9747970987092</v>
      </c>
      <c r="U82" s="181" t="n">
        <f aca="false">MAX(IF(H82/100&gt;($B$25),$B$41,$B$41*(1+(H82/100-$B$25)*$V$1)),0)</f>
        <v>0.887999999999999</v>
      </c>
      <c r="V82" s="181" t="n">
        <f aca="false">MAX(IF(H82/100&gt;$B$25,$B$41,$B$41*EXP((H82/100-$B$25)*$V$1)),0)</f>
        <v>1.48380878990117</v>
      </c>
      <c r="W82" s="181" t="n">
        <v>0.196420010875904</v>
      </c>
      <c r="X82" s="181"/>
    </row>
    <row r="83" customFormat="false" ht="15.75" hidden="false" customHeight="false" outlineLevel="0" collapsed="false">
      <c r="D83" s="181" t="n">
        <f aca="false">E83+F83</f>
        <v>0.150030848643996</v>
      </c>
      <c r="E83" s="181" t="n">
        <f aca="false">$B$7*$B$11*H83/100</f>
        <v>0.15</v>
      </c>
      <c r="F83" s="181" t="n">
        <f aca="false">$B$7*$B$12*(100-T83)/100</f>
        <v>3.08486439965705E-005</v>
      </c>
      <c r="G83" s="181" t="n">
        <f aca="false">100*D83/$B$7</f>
        <v>15.0030848643996</v>
      </c>
      <c r="H83" s="181" t="n">
        <f aca="false">(1-K83)*100</f>
        <v>20</v>
      </c>
      <c r="I83" s="181" t="n">
        <f aca="false">F83/($B$7*$B$12)*100</f>
        <v>0.0123394575986282</v>
      </c>
      <c r="J83" s="181" t="n">
        <f aca="false">H83/100</f>
        <v>0.2</v>
      </c>
      <c r="K83" s="581" t="n">
        <f aca="false">K82+0.01</f>
        <v>0.8</v>
      </c>
      <c r="L83" s="181" t="n">
        <f aca="false">MAX(-$B$13-$B$10*(K83),0)</f>
        <v>0</v>
      </c>
      <c r="M83" s="181" t="n">
        <f aca="false">$B$13/(1-K83)</f>
        <v>-7.50000000000002</v>
      </c>
      <c r="N83" s="181" t="n">
        <f aca="false">M83+L83</f>
        <v>-7.50000000000002</v>
      </c>
      <c r="O83" s="181" t="n">
        <f aca="false">-1/M83</f>
        <v>0.133333333333333</v>
      </c>
      <c r="P83" s="181" t="n">
        <f aca="false">-1/N83</f>
        <v>0.133333333333333</v>
      </c>
      <c r="Q83" s="181" t="n">
        <f aca="false">(D83-D84)/(N83-N84)</f>
        <v>0.0190426609107183</v>
      </c>
      <c r="R83" s="181" t="n">
        <f aca="false">(E83-E84)/(N83-N84)</f>
        <v>0.0189999999999999</v>
      </c>
      <c r="S83" s="181" t="n">
        <f aca="false">(F83-F84)/(N83-N84)</f>
        <v>4.26609107184198E-005</v>
      </c>
      <c r="T83" s="181" t="n">
        <f aca="false">100/(1+EXP($B$19/25*(N83-$B$18)))</f>
        <v>99.9876605424014</v>
      </c>
      <c r="U83" s="181" t="n">
        <f aca="false">MAX(IF(H83/100&gt;($B$25),$B$41,$B$41*(1+(H83/100-$B$25)*$V$1)),0)</f>
        <v>0.854999999999998</v>
      </c>
      <c r="V83" s="181" t="n">
        <f aca="false">MAX(IF(H83/100&gt;$B$25,$B$41,$B$41*EXP((H83/100-$B$25)*$V$1)),0)</f>
        <v>1.46757633538899</v>
      </c>
      <c r="W83" s="181" t="n">
        <v>0.192049908626192</v>
      </c>
      <c r="X83" s="181"/>
    </row>
    <row r="84" customFormat="false" ht="15.75" hidden="false" customHeight="false" outlineLevel="0" collapsed="false">
      <c r="D84" s="181" t="n">
        <f aca="false">E84+F84</f>
        <v>0.142514008810818</v>
      </c>
      <c r="E84" s="181" t="n">
        <f aca="false">$B$7*$B$11*H84/100</f>
        <v>0.1425</v>
      </c>
      <c r="F84" s="181" t="n">
        <f aca="false">$B$7*$B$12*(100-T84)/100</f>
        <v>1.40088108182468E-005</v>
      </c>
      <c r="G84" s="181" t="n">
        <f aca="false">100*D84/$B$7</f>
        <v>14.2514008810818</v>
      </c>
      <c r="H84" s="181" t="n">
        <f aca="false">(1-K84)*100</f>
        <v>19</v>
      </c>
      <c r="I84" s="181" t="n">
        <f aca="false">F84/($B$7*$B$12)*100</f>
        <v>0.00560352432729871</v>
      </c>
      <c r="J84" s="181" t="n">
        <f aca="false">H84/100</f>
        <v>0.19</v>
      </c>
      <c r="K84" s="581" t="n">
        <f aca="false">K83+0.01</f>
        <v>0.810000000000001</v>
      </c>
      <c r="L84" s="181" t="n">
        <f aca="false">MAX(-$B$13-$B$10*(K84),0)</f>
        <v>0</v>
      </c>
      <c r="M84" s="181" t="n">
        <f aca="false">$B$13/(1-K84)</f>
        <v>-7.89473684210528</v>
      </c>
      <c r="N84" s="181" t="n">
        <f aca="false">M84+L84</f>
        <v>-7.89473684210528</v>
      </c>
      <c r="O84" s="181" t="n">
        <f aca="false">-1/M84</f>
        <v>0.126666666666666</v>
      </c>
      <c r="P84" s="181" t="n">
        <f aca="false">-1/N84</f>
        <v>0.126666666666666</v>
      </c>
      <c r="Q84" s="181" t="n">
        <f aca="false">(D84-D85)/(N84-N85)</f>
        <v>0.0171186542106959</v>
      </c>
      <c r="R84" s="181" t="n">
        <f aca="false">(E84-E85)/(N84-N85)</f>
        <v>0.0170999999999999</v>
      </c>
      <c r="S84" s="181" t="n">
        <f aca="false">(F84-F85)/(N84-N85)</f>
        <v>1.86542106959378E-005</v>
      </c>
      <c r="T84" s="181" t="n">
        <f aca="false">100/(1+EXP($B$19/25*(N84-$B$18)))</f>
        <v>99.9943964756727</v>
      </c>
      <c r="U84" s="181" t="n">
        <f aca="false">MAX(IF(H84/100&gt;($B$25),$B$41,$B$41*(1+(H84/100-$B$25)*$V$1)),0)</f>
        <v>0.821999999999998</v>
      </c>
      <c r="V84" s="181" t="n">
        <f aca="false">MAX(IF(H84/100&gt;$B$25,$B$41,$B$41*EXP((H84/100-$B$25)*$V$1)),0)</f>
        <v>1.45152145940397</v>
      </c>
      <c r="W84" s="181" t="n">
        <v>0.187777035757906</v>
      </c>
      <c r="X84" s="181"/>
    </row>
    <row r="85" customFormat="false" ht="15.75" hidden="false" customHeight="false" outlineLevel="0" collapsed="false">
      <c r="D85" s="181" t="n">
        <f aca="false">E85+F85</f>
        <v>0.13500582713946</v>
      </c>
      <c r="E85" s="181" t="n">
        <f aca="false">$B$7*$B$11*H85/100</f>
        <v>0.135</v>
      </c>
      <c r="F85" s="181" t="n">
        <f aca="false">$B$7*$B$12*(100-T85)/100</f>
        <v>5.82713946037927E-006</v>
      </c>
      <c r="G85" s="181" t="n">
        <f aca="false">100*D85/$B$7</f>
        <v>13.500582713946</v>
      </c>
      <c r="H85" s="181" t="n">
        <f aca="false">(1-K85)*100</f>
        <v>18</v>
      </c>
      <c r="I85" s="181" t="n">
        <f aca="false">F85/($B$7*$B$12)*100</f>
        <v>0.00233085578415171</v>
      </c>
      <c r="J85" s="181" t="n">
        <f aca="false">H85/100</f>
        <v>0.18</v>
      </c>
      <c r="K85" s="581" t="n">
        <f aca="false">K84+0.01</f>
        <v>0.82</v>
      </c>
      <c r="L85" s="181" t="n">
        <f aca="false">MAX(-$B$13-$B$10*(K85),0)</f>
        <v>0</v>
      </c>
      <c r="M85" s="181" t="n">
        <f aca="false">$B$13/(1-K85)</f>
        <v>-8.33333333333336</v>
      </c>
      <c r="N85" s="181" t="n">
        <f aca="false">M85+L85</f>
        <v>-8.33333333333336</v>
      </c>
      <c r="O85" s="181" t="n">
        <f aca="false">-1/M85</f>
        <v>0.12</v>
      </c>
      <c r="P85" s="181" t="n">
        <f aca="false">-1/N85</f>
        <v>0.12</v>
      </c>
      <c r="Q85" s="181" t="n">
        <f aca="false">(D85-D86)/(N85-N86)</f>
        <v>0.0153074275889632</v>
      </c>
      <c r="R85" s="181" t="n">
        <f aca="false">(E85-E86)/(N85-N86)</f>
        <v>0.0152999999999999</v>
      </c>
      <c r="S85" s="181" t="n">
        <f aca="false">(F85-F86)/(N85-N86)</f>
        <v>7.42758896333408E-006</v>
      </c>
      <c r="T85" s="181" t="n">
        <f aca="false">100/(1+EXP($B$19/25*(N85-$B$18)))</f>
        <v>99.9976691442159</v>
      </c>
      <c r="U85" s="181" t="n">
        <f aca="false">MAX(IF(H85/100&gt;($B$25),$B$41,$B$41*(1+(H85/100-$B$25)*$V$1)),0)</f>
        <v>0.788999999999998</v>
      </c>
      <c r="V85" s="181" t="n">
        <f aca="false">MAX(IF(H85/100&gt;$B$25,$B$41,$B$41*EXP((H85/100-$B$25)*$V$1)),0)</f>
        <v>1.43564221928652</v>
      </c>
      <c r="W85" s="181" t="n">
        <v>0.183599229027903</v>
      </c>
      <c r="X85" s="181"/>
    </row>
    <row r="86" customFormat="false" ht="15.75" hidden="false" customHeight="false" outlineLevel="0" collapsed="false">
      <c r="D86" s="181" t="n">
        <f aca="false">E86+F86</f>
        <v>0.127502186164478</v>
      </c>
      <c r="E86" s="181" t="n">
        <f aca="false">$B$7*$B$11*H86/100</f>
        <v>0.1275</v>
      </c>
      <c r="F86" s="181" t="n">
        <f aca="false">$B$7*$B$12*(100-T86)/100</f>
        <v>2.18616447835274E-006</v>
      </c>
      <c r="G86" s="181" t="n">
        <f aca="false">100*D86/$B$7</f>
        <v>12.7502186164478</v>
      </c>
      <c r="H86" s="181" t="n">
        <f aca="false">(1-K86)*100</f>
        <v>17</v>
      </c>
      <c r="I86" s="181" t="n">
        <f aca="false">F86/($B$7*$B$12)*100</f>
        <v>0.000874465791341095</v>
      </c>
      <c r="J86" s="181" t="n">
        <f aca="false">H86/100</f>
        <v>0.17</v>
      </c>
      <c r="K86" s="581" t="n">
        <f aca="false">K85+0.01</f>
        <v>0.83</v>
      </c>
      <c r="L86" s="181" t="n">
        <f aca="false">MAX(-$B$13-$B$10*(K86),0)</f>
        <v>0</v>
      </c>
      <c r="M86" s="181" t="n">
        <f aca="false">$B$13/(1-K86)</f>
        <v>-8.82352941176473</v>
      </c>
      <c r="N86" s="181" t="n">
        <f aca="false">M86+L86</f>
        <v>-8.82352941176473</v>
      </c>
      <c r="O86" s="181" t="n">
        <f aca="false">-1/M86</f>
        <v>0.113333333333333</v>
      </c>
      <c r="P86" s="181" t="n">
        <f aca="false">-1/N86</f>
        <v>0.113333333333333</v>
      </c>
      <c r="Q86" s="181" t="n">
        <f aca="false">(D86-D87)/(N86-N87)</f>
        <v>0.0136026485301541</v>
      </c>
      <c r="R86" s="181" t="n">
        <f aca="false">(E86-E87)/(N86-N87)</f>
        <v>0.0135999999999999</v>
      </c>
      <c r="S86" s="181" t="n">
        <f aca="false">(F86-F87)/(N86-N87)</f>
        <v>2.64853015412426E-006</v>
      </c>
      <c r="T86" s="181" t="n">
        <f aca="false">100/(1+EXP($B$19/25*(N86-$B$18)))</f>
        <v>99.9991255342087</v>
      </c>
      <c r="U86" s="181" t="n">
        <f aca="false">MAX(IF(H86/100&gt;($B$25),$B$41,$B$41*(1+(H86/100-$B$25)*$V$1)),0)</f>
        <v>0.755999999999998</v>
      </c>
      <c r="V86" s="181" t="n">
        <f aca="false">MAX(IF(H86/100&gt;$B$25,$B$41,$B$41*EXP((H86/100-$B$25)*$V$1)),0)</f>
        <v>1.41993669362922</v>
      </c>
      <c r="W86" s="181" t="n">
        <v>0.179514373329619</v>
      </c>
      <c r="X86" s="181"/>
    </row>
    <row r="87" customFormat="false" ht="15.75" hidden="false" customHeight="false" outlineLevel="0" collapsed="false">
      <c r="D87" s="181" t="n">
        <f aca="false">E87+F87</f>
        <v>0.120000725577996</v>
      </c>
      <c r="E87" s="181" t="n">
        <f aca="false">$B$7*$B$11*H87/100</f>
        <v>0.12</v>
      </c>
      <c r="F87" s="181" t="n">
        <f aca="false">$B$7*$B$12*(100-T87)/100</f>
        <v>7.2557799629891E-007</v>
      </c>
      <c r="G87" s="181" t="n">
        <f aca="false">100*D87/$B$7</f>
        <v>12.0000725577996</v>
      </c>
      <c r="H87" s="181" t="n">
        <f aca="false">(1-K87)*100</f>
        <v>15.9999999999999</v>
      </c>
      <c r="I87" s="181" t="n">
        <f aca="false">F87/($B$7*$B$12)*100</f>
        <v>0.000290231198519564</v>
      </c>
      <c r="J87" s="181" t="n">
        <f aca="false">H87/100</f>
        <v>0.159999999999999</v>
      </c>
      <c r="K87" s="581" t="n">
        <f aca="false">K86+0.01</f>
        <v>0.84</v>
      </c>
      <c r="L87" s="181" t="n">
        <f aca="false">MAX(-$B$13-$B$10*(K87),0)</f>
        <v>0</v>
      </c>
      <c r="M87" s="181" t="n">
        <f aca="false">$B$13/(1-K87)</f>
        <v>-9.37500000000003</v>
      </c>
      <c r="N87" s="181" t="n">
        <f aca="false">M87+L87</f>
        <v>-9.37500000000003</v>
      </c>
      <c r="O87" s="181" t="n">
        <f aca="false">-1/M87</f>
        <v>0.106666666666666</v>
      </c>
      <c r="P87" s="181" t="n">
        <f aca="false">-1/N87</f>
        <v>0.106666666666666</v>
      </c>
      <c r="Q87" s="181" t="n">
        <f aca="false">(D87-D88)/(N87-N88)</f>
        <v>0.0120008283135829</v>
      </c>
      <c r="R87" s="181" t="n">
        <f aca="false">(E87-E88)/(N87-N88)</f>
        <v>0.0119999999999999</v>
      </c>
      <c r="S87" s="181" t="n">
        <f aca="false">(F87-F88)/(N87-N88)</f>
        <v>8.28313582985622E-007</v>
      </c>
      <c r="T87" s="181" t="n">
        <f aca="false">100/(1+EXP($B$19/25*(N87-$B$18)))</f>
        <v>99.9997097688015</v>
      </c>
      <c r="U87" s="181" t="n">
        <f aca="false">MAX(IF(H87/100&gt;($B$25),$B$41,$B$41*(1+(H87/100-$B$25)*$V$1)),0)</f>
        <v>0.722999999999998</v>
      </c>
      <c r="V87" s="181" t="n">
        <f aca="false">MAX(IF(H87/100&gt;$B$25,$B$41,$B$41*EXP((H87/100-$B$25)*$V$1)),0)</f>
        <v>1.40440298204429</v>
      </c>
      <c r="W87" s="181" t="n">
        <v>0.175520400616999</v>
      </c>
      <c r="X87" s="181"/>
    </row>
    <row r="88" customFormat="false" ht="15.75" hidden="false" customHeight="false" outlineLevel="0" collapsed="false">
      <c r="D88" s="181" t="n">
        <f aca="false">E88+F88</f>
        <v>0.112500207882007</v>
      </c>
      <c r="E88" s="181" t="n">
        <f aca="false">$B$7*$B$11*H88/100</f>
        <v>0.1125</v>
      </c>
      <c r="F88" s="181" t="n">
        <f aca="false">$B$7*$B$12*(100-T88)/100</f>
        <v>2.07882006932891E-007</v>
      </c>
      <c r="G88" s="181" t="n">
        <f aca="false">100*D88/$B$7</f>
        <v>11.2500207882007</v>
      </c>
      <c r="H88" s="181" t="n">
        <f aca="false">(1-K88)*100</f>
        <v>14.9999999999999</v>
      </c>
      <c r="I88" s="181" t="n">
        <f aca="false">F88/($B$7*$B$12)*100</f>
        <v>8.31528027731565E-005</v>
      </c>
      <c r="J88" s="181" t="n">
        <f aca="false">H88/100</f>
        <v>0.149999999999999</v>
      </c>
      <c r="K88" s="581" t="n">
        <f aca="false">K87+0.01</f>
        <v>0.850000000000001</v>
      </c>
      <c r="L88" s="181" t="n">
        <f aca="false">MAX(-$B$13-$B$10*(K88),0)</f>
        <v>0</v>
      </c>
      <c r="M88" s="181" t="n">
        <f aca="false">$B$13/(1-K88)</f>
        <v>-10</v>
      </c>
      <c r="N88" s="181" t="n">
        <f aca="false">M88+L88</f>
        <v>-10</v>
      </c>
      <c r="O88" s="181" t="n">
        <f aca="false">-1/M88</f>
        <v>0.0999999999999996</v>
      </c>
      <c r="P88" s="181" t="n">
        <f aca="false">-1/N88</f>
        <v>0.0999999999999996</v>
      </c>
      <c r="Q88" s="181" t="n">
        <f aca="false">(D88-D89)/(N88-N89)</f>
        <v>0.0105002212879717</v>
      </c>
      <c r="R88" s="181" t="n">
        <f aca="false">(E88-E89)/(N88-N89)</f>
        <v>0.0104999999999999</v>
      </c>
      <c r="S88" s="181" t="n">
        <f aca="false">(F88-F89)/(N88-N89)</f>
        <v>2.21287971832849E-007</v>
      </c>
      <c r="T88" s="181" t="n">
        <f aca="false">100/(1+EXP($B$19/25*(N88-$B$18)))</f>
        <v>99.9999168471972</v>
      </c>
      <c r="U88" s="181" t="n">
        <f aca="false">MAX(IF(H88/100&gt;($B$25),$B$41,$B$41*(1+(H88/100-$B$25)*$V$1)),0)</f>
        <v>0.689999999999998</v>
      </c>
      <c r="V88" s="181" t="n">
        <f aca="false">MAX(IF(H88/100&gt;$B$25,$B$41,$B$41*EXP((H88/100-$B$25)*$V$1)),0)</f>
        <v>1.38903920493368</v>
      </c>
      <c r="W88" s="181" t="n">
        <v>0.171615288855939</v>
      </c>
      <c r="X88" s="181"/>
    </row>
    <row r="89" customFormat="false" ht="15.75" hidden="false" customHeight="false" outlineLevel="0" collapsed="false">
      <c r="D89" s="181" t="n">
        <f aca="false">E89+F89</f>
        <v>0.10500004981917</v>
      </c>
      <c r="E89" s="181" t="n">
        <f aca="false">$B$7*$B$11*H89/100</f>
        <v>0.105</v>
      </c>
      <c r="F89" s="181" t="n">
        <f aca="false">$B$7*$B$12*(100-T89)/100</f>
        <v>4.98191699094264E-008</v>
      </c>
      <c r="G89" s="181" t="n">
        <f aca="false">100*D89/$B$7</f>
        <v>10.500004981917</v>
      </c>
      <c r="H89" s="181" t="n">
        <f aca="false">(1-K89)*100</f>
        <v>13.9999999999999</v>
      </c>
      <c r="I89" s="181" t="n">
        <f aca="false">F89/($B$7*$B$12)*100</f>
        <v>1.99276679637705E-005</v>
      </c>
      <c r="J89" s="181" t="n">
        <f aca="false">H89/100</f>
        <v>0.139999999999999</v>
      </c>
      <c r="K89" s="581" t="n">
        <f aca="false">K88+0.01</f>
        <v>0.860000000000001</v>
      </c>
      <c r="L89" s="181" t="n">
        <f aca="false">MAX(-$B$13-$B$10*(K89),0)</f>
        <v>0</v>
      </c>
      <c r="M89" s="181" t="n">
        <f aca="false">$B$13/(1-K89)</f>
        <v>-10.7142857142858</v>
      </c>
      <c r="N89" s="181" t="n">
        <f aca="false">M89+L89</f>
        <v>-10.7142857142858</v>
      </c>
      <c r="O89" s="181" t="n">
        <f aca="false">-1/M89</f>
        <v>0.093333333333333</v>
      </c>
      <c r="P89" s="181" t="n">
        <f aca="false">-1/N89</f>
        <v>0.093333333333333</v>
      </c>
      <c r="Q89" s="181" t="n">
        <f aca="false">(D89-D90)/(N89-N90)</f>
        <v>0.00910004881921554</v>
      </c>
      <c r="R89" s="181" t="n">
        <f aca="false">(E89-E90)/(N89-N90)</f>
        <v>0.00909999999999994</v>
      </c>
      <c r="S89" s="181" t="n">
        <f aca="false">(F89-F90)/(N89-N90)</f>
        <v>4.88192156036381E-008</v>
      </c>
      <c r="T89" s="181" t="n">
        <f aca="false">100/(1+EXP($B$19/25*(N89-$B$18)))</f>
        <v>99.999980072332</v>
      </c>
      <c r="U89" s="181" t="n">
        <f aca="false">MAX(IF(H89/100&gt;($B$25),$B$41,$B$41*(1+(H89/100-$B$25)*$V$1)),0)</f>
        <v>0.656999999999998</v>
      </c>
      <c r="V89" s="181" t="n">
        <f aca="false">MAX(IF(H89/100&gt;$B$25,$B$41,$B$41*EXP((H89/100-$B$25)*$V$1)),0)</f>
        <v>1.37384350326163</v>
      </c>
      <c r="W89" s="181" t="n">
        <v>0.167797061000186</v>
      </c>
      <c r="X89" s="181"/>
    </row>
    <row r="90" customFormat="false" ht="15.75" hidden="false" customHeight="false" outlineLevel="0" collapsed="false">
      <c r="D90" s="181" t="n">
        <f aca="false">E90+F90</f>
        <v>0.0975000095835522</v>
      </c>
      <c r="E90" s="181" t="n">
        <f aca="false">$B$7*$B$11*H90/100</f>
        <v>0.0974999999999996</v>
      </c>
      <c r="F90" s="181" t="n">
        <f aca="false">$B$7*$B$12*(100-T90)/100</f>
        <v>9.58355265368027E-009</v>
      </c>
      <c r="G90" s="181" t="n">
        <f aca="false">100*D90/$B$7</f>
        <v>9.75000095835522</v>
      </c>
      <c r="H90" s="181" t="n">
        <f aca="false">(1-K90)*100</f>
        <v>12.9999999999999</v>
      </c>
      <c r="I90" s="181" t="n">
        <f aca="false">F90/($B$7*$B$12)*100</f>
        <v>3.83342106147211E-006</v>
      </c>
      <c r="J90" s="181" t="n">
        <f aca="false">H90/100</f>
        <v>0.129999999999999</v>
      </c>
      <c r="K90" s="581" t="n">
        <f aca="false">K89+0.01</f>
        <v>0.87</v>
      </c>
      <c r="L90" s="181" t="n">
        <f aca="false">MAX(-$B$13-$B$10*(K90),0)</f>
        <v>0</v>
      </c>
      <c r="M90" s="181" t="n">
        <f aca="false">$B$13/(1-K90)</f>
        <v>-11.5384615384616</v>
      </c>
      <c r="N90" s="181" t="n">
        <f aca="false">M90+L90</f>
        <v>-11.5384615384616</v>
      </c>
      <c r="O90" s="181" t="n">
        <f aca="false">-1/M90</f>
        <v>0.0866666666666663</v>
      </c>
      <c r="P90" s="181" t="n">
        <f aca="false">-1/N90</f>
        <v>0.0866666666666663</v>
      </c>
      <c r="Q90" s="181" t="n">
        <f aca="false">(D90-D91)/(N90-N91)</f>
        <v>0.00780000851016762</v>
      </c>
      <c r="R90" s="181" t="n">
        <f aca="false">(E90-E91)/(N90-N91)</f>
        <v>0.00779999999999993</v>
      </c>
      <c r="S90" s="181" t="n">
        <f aca="false">(F90-F91)/(N90-N91)</f>
        <v>8.51016768308447E-009</v>
      </c>
      <c r="T90" s="181" t="n">
        <f aca="false">100/(1+EXP($B$19/25*(N90-$B$18)))</f>
        <v>99.9999961665789</v>
      </c>
      <c r="U90" s="181" t="n">
        <f aca="false">MAX(IF(H90/100&gt;($B$25),$B$41,$B$41*(1+(H90/100-$B$25)*$V$1)),0)</f>
        <v>0.623999999999998</v>
      </c>
      <c r="V90" s="181" t="n">
        <f aca="false">MAX(IF(H90/100&gt;$B$25,$B$41,$B$41*EXP((H90/100-$B$25)*$V$1)),0)</f>
        <v>1.35881403832967</v>
      </c>
      <c r="W90" s="181" t="n">
        <v>0.164063783990337</v>
      </c>
      <c r="X90" s="181"/>
    </row>
    <row r="91" customFormat="false" ht="15.75" hidden="false" customHeight="false" outlineLevel="0" collapsed="false">
      <c r="D91" s="181" t="n">
        <f aca="false">E91+F91</f>
        <v>0.0900000014006987</v>
      </c>
      <c r="E91" s="181" t="n">
        <f aca="false">$B$7*$B$11*H91/100</f>
        <v>0.0899999999999996</v>
      </c>
      <c r="F91" s="181" t="n">
        <f aca="false">$B$7*$B$12*(100-T91)/100</f>
        <v>1.40069911225282E-009</v>
      </c>
      <c r="G91" s="181" t="n">
        <f aca="false">100*D91/$B$7</f>
        <v>9.00000014006987</v>
      </c>
      <c r="H91" s="181" t="n">
        <f aca="false">(1-K91)*100</f>
        <v>11.9999999999999</v>
      </c>
      <c r="I91" s="181" t="n">
        <f aca="false">F91/($B$7*$B$12)*100</f>
        <v>5.60279644901129E-007</v>
      </c>
      <c r="J91" s="181" t="n">
        <f aca="false">H91/100</f>
        <v>0.119999999999999</v>
      </c>
      <c r="K91" s="581" t="n">
        <f aca="false">K90+0.01</f>
        <v>0.88</v>
      </c>
      <c r="L91" s="181" t="n">
        <f aca="false">MAX(-$B$13-$B$10*(K91),0)</f>
        <v>0</v>
      </c>
      <c r="M91" s="181" t="n">
        <f aca="false">$B$13/(1-K91)</f>
        <v>-12.5000000000001</v>
      </c>
      <c r="N91" s="181" t="n">
        <f aca="false">M91+L91</f>
        <v>-12.5000000000001</v>
      </c>
      <c r="O91" s="181" t="n">
        <f aca="false">-1/M91</f>
        <v>0.0799999999999996</v>
      </c>
      <c r="P91" s="181" t="n">
        <f aca="false">-1/N91</f>
        <v>0.0799999999999996</v>
      </c>
      <c r="Q91" s="181" t="n">
        <f aca="false">(D91-D92)/(N91-N92)</f>
        <v>0.00660000110561781</v>
      </c>
      <c r="R91" s="181" t="n">
        <f aca="false">(E91-E92)/(N91-N92)</f>
        <v>0.00659999999999994</v>
      </c>
      <c r="S91" s="181" t="n">
        <f aca="false">(F91-F92)/(N91-N92)</f>
        <v>1.10561786641482E-009</v>
      </c>
      <c r="T91" s="181" t="n">
        <f aca="false">100/(1+EXP($B$19/25*(N91-$B$18)))</f>
        <v>99.9999994397204</v>
      </c>
      <c r="U91" s="181" t="n">
        <f aca="false">MAX(IF(H91/100&gt;($B$25),$B$41,$B$41*(1+(H91/100-$B$25)*$V$1)),0)</f>
        <v>0.590999999999998</v>
      </c>
      <c r="V91" s="181" t="n">
        <f aca="false">MAX(IF(H91/100&gt;$B$25,$B$41,$B$41*EXP((H91/100-$B$25)*$V$1)),0)</f>
        <v>1.34394899155423</v>
      </c>
      <c r="W91" s="181" t="n">
        <v>0.160413567775173</v>
      </c>
      <c r="X91" s="181"/>
    </row>
    <row r="92" customFormat="false" ht="15.75" hidden="false" customHeight="false" outlineLevel="0" collapsed="false">
      <c r="D92" s="181" t="n">
        <f aca="false">E92+F92</f>
        <v>0.0825000001443148</v>
      </c>
      <c r="E92" s="181" t="n">
        <f aca="false">$B$7*$B$11*H92/100</f>
        <v>0.0824999999999996</v>
      </c>
      <c r="F92" s="181" t="n">
        <f aca="false">$B$7*$B$12*(100-T92)/100</f>
        <v>1.4431517314506E-010</v>
      </c>
      <c r="G92" s="181" t="n">
        <f aca="false">100*D92/$B$7</f>
        <v>8.25000001443148</v>
      </c>
      <c r="H92" s="181" t="n">
        <f aca="false">(1-K92)*100</f>
        <v>10.9999999999999</v>
      </c>
      <c r="I92" s="181" t="n">
        <f aca="false">F92/($B$7*$B$12)*100</f>
        <v>5.77260692580239E-008</v>
      </c>
      <c r="J92" s="181" t="n">
        <f aca="false">H92/100</f>
        <v>0.109999999999999</v>
      </c>
      <c r="K92" s="581" t="n">
        <f aca="false">K91+0.01</f>
        <v>0.890000000000001</v>
      </c>
      <c r="L92" s="181" t="n">
        <f aca="false">MAX(-$B$13-$B$10*(K92),0)</f>
        <v>0</v>
      </c>
      <c r="M92" s="181" t="n">
        <f aca="false">$B$13/(1-K92)</f>
        <v>-13.6363636363637</v>
      </c>
      <c r="N92" s="181" t="n">
        <f aca="false">M92+L92</f>
        <v>-13.6363636363637</v>
      </c>
      <c r="O92" s="181" t="n">
        <f aca="false">-1/M92</f>
        <v>0.073333333333333</v>
      </c>
      <c r="P92" s="181" t="n">
        <f aca="false">-1/N92</f>
        <v>0.073333333333333</v>
      </c>
      <c r="Q92" s="181" t="n">
        <f aca="false">(D92-D93)/(N92-N93)</f>
        <v>0.00550000009890997</v>
      </c>
      <c r="R92" s="181" t="n">
        <f aca="false">(E92-E93)/(N92-N93)</f>
        <v>0.00549999999999993</v>
      </c>
      <c r="S92" s="181" t="n">
        <f aca="false">(F92-F93)/(N92-N93)</f>
        <v>9.89100333489041E-011</v>
      </c>
      <c r="T92" s="181" t="n">
        <f aca="false">100/(1+EXP($B$19/25*(N92-$B$18)))</f>
        <v>99.9999999422739</v>
      </c>
      <c r="U92" s="181" t="n">
        <f aca="false">MAX(IF(H92/100&gt;($B$25),$B$41,$B$41*(1+(H92/100-$B$25)*$V$1)),0)</f>
        <v>0.557999999999998</v>
      </c>
      <c r="V92" s="181" t="n">
        <f aca="false">MAX(IF(H92/100&gt;$B$25,$B$41,$B$41*EXP((H92/100-$B$25)*$V$1)),0)</f>
        <v>1.3292465642465</v>
      </c>
      <c r="W92" s="181" t="n">
        <v>0.156844564354772</v>
      </c>
      <c r="X92" s="181"/>
    </row>
    <row r="93" customFormat="false" ht="15.75" hidden="false" customHeight="false" outlineLevel="0" collapsed="false">
      <c r="D93" s="181" t="n">
        <f aca="false">E93+F93</f>
        <v>0.0750000000094374</v>
      </c>
      <c r="E93" s="181" t="n">
        <f aca="false">$B$7*$B$11*H93/100</f>
        <v>0.0749999999999996</v>
      </c>
      <c r="F93" s="181" t="n">
        <f aca="false">$B$7*$B$12*(100-T93)/100</f>
        <v>9.43785494200711E-012</v>
      </c>
      <c r="G93" s="181" t="n">
        <f aca="false">100*D93/$B$7</f>
        <v>7.50000000094374</v>
      </c>
      <c r="H93" s="181" t="n">
        <f aca="false">(1-K93)*100</f>
        <v>9.99999999999994</v>
      </c>
      <c r="I93" s="181" t="n">
        <f aca="false">F93/($B$7*$B$12)*100</f>
        <v>3.77514197680284E-009</v>
      </c>
      <c r="J93" s="181" t="n">
        <f aca="false">H93/100</f>
        <v>0.0999999999999994</v>
      </c>
      <c r="K93" s="581" t="n">
        <f aca="false">K92+0.01</f>
        <v>0.900000000000001</v>
      </c>
      <c r="L93" s="181" t="n">
        <f aca="false">MAX(-$B$13-$B$10*(K93),0)</f>
        <v>0</v>
      </c>
      <c r="M93" s="181" t="n">
        <f aca="false">$B$13/(1-K93)</f>
        <v>-15.0000000000001</v>
      </c>
      <c r="N93" s="181" t="n">
        <f aca="false">M93+L93</f>
        <v>-15.0000000000001</v>
      </c>
      <c r="O93" s="181" t="n">
        <f aca="false">-1/M93</f>
        <v>0.0666666666666663</v>
      </c>
      <c r="P93" s="181" t="n">
        <f aca="false">-1/N93</f>
        <v>0.0666666666666663</v>
      </c>
      <c r="Q93" s="181" t="n">
        <f aca="false">(D93-D94)/(N93-N94)</f>
        <v>0.00450000000546065</v>
      </c>
      <c r="R93" s="181" t="n">
        <f aca="false">(E93-E94)/(N93-N94)</f>
        <v>0.00449999999999995</v>
      </c>
      <c r="S93" s="181" t="n">
        <f aca="false">(F93-F94)/(N93-N94)</f>
        <v>5.46069856000024E-012</v>
      </c>
      <c r="T93" s="181" t="n">
        <f aca="false">100/(1+EXP($B$19/25*(N93-$B$18)))</f>
        <v>99.9999999962249</v>
      </c>
      <c r="U93" s="181" t="n">
        <f aca="false">MAX(IF(H93/100&gt;($B$25),$B$41,$B$41*(1+(H93/100-$B$25)*$V$1)),0)</f>
        <v>0.524999999999998</v>
      </c>
      <c r="V93" s="181" t="n">
        <f aca="false">MAX(IF(H93/100&gt;$B$25,$B$41,$B$41*EXP((H93/100-$B$25)*$V$1)),0)</f>
        <v>1.31470497739485</v>
      </c>
      <c r="W93" s="181" t="n">
        <v>0.153354966844928</v>
      </c>
      <c r="X93" s="181"/>
    </row>
    <row r="94" customFormat="false" ht="15.75" hidden="false" customHeight="false" outlineLevel="0" collapsed="false">
      <c r="D94" s="181" t="n">
        <f aca="false">E94+F94</f>
        <v>0.0675000000003362</v>
      </c>
      <c r="E94" s="181" t="n">
        <f aca="false">$B$7*$B$11*H94/100</f>
        <v>0.0674999999999996</v>
      </c>
      <c r="F94" s="181" t="n">
        <f aca="false">$B$7*$B$12*(100-T94)/100</f>
        <v>3.36690675339923E-013</v>
      </c>
      <c r="G94" s="181" t="n">
        <f aca="false">100*D94/$B$7</f>
        <v>6.75000000003362</v>
      </c>
      <c r="H94" s="181" t="n">
        <f aca="false">(1-K94)*100</f>
        <v>8.99999999999994</v>
      </c>
      <c r="I94" s="181" t="n">
        <f aca="false">F94/($B$7*$B$12)*100</f>
        <v>1.34676270135969E-010</v>
      </c>
      <c r="J94" s="181" t="n">
        <f aca="false">H94/100</f>
        <v>0.0899999999999994</v>
      </c>
      <c r="K94" s="581" t="n">
        <f aca="false">K93+0.01</f>
        <v>0.910000000000001</v>
      </c>
      <c r="L94" s="181" t="n">
        <f aca="false">MAX(-$B$13-$B$10*(K94),0)</f>
        <v>0</v>
      </c>
      <c r="M94" s="181" t="n">
        <f aca="false">$B$13/(1-K94)</f>
        <v>-16.6666666666668</v>
      </c>
      <c r="N94" s="181" t="n">
        <f aca="false">M94+L94</f>
        <v>-16.6666666666668</v>
      </c>
      <c r="O94" s="181" t="n">
        <f aca="false">-1/M94</f>
        <v>0.0599999999999996</v>
      </c>
      <c r="P94" s="181" t="n">
        <f aca="false">-1/N94</f>
        <v>0.0599999999999996</v>
      </c>
      <c r="Q94" s="181" t="n">
        <f aca="false">(D94-D95)/(N94-N95)</f>
        <v>0.00360000000015905</v>
      </c>
      <c r="R94" s="181" t="n">
        <f aca="false">(E94-E95)/(N94-N95)</f>
        <v>0.00359999999999995</v>
      </c>
      <c r="S94" s="181" t="n">
        <f aca="false">(F94-F95)/(N94-N95)</f>
        <v>1.59104729391399E-013</v>
      </c>
      <c r="T94" s="181" t="n">
        <f aca="false">100/(1+EXP($B$19/25*(N94-$B$18)))</f>
        <v>99.9999999998653</v>
      </c>
      <c r="U94" s="181" t="n">
        <f aca="false">MAX(IF(H94/100&gt;($B$25),$B$41,$B$41*(1+(H94/100-$B$25)*$V$1)),0)</f>
        <v>0.491999999999998</v>
      </c>
      <c r="V94" s="181" t="n">
        <f aca="false">MAX(IF(H94/100&gt;$B$25,$B$41,$B$41*EXP((H94/100-$B$25)*$V$1)),0)</f>
        <v>1.30032247144951</v>
      </c>
      <c r="W94" s="181" t="n">
        <v>0.149943008562372</v>
      </c>
      <c r="X94" s="181"/>
    </row>
    <row r="95" customFormat="false" ht="15.75" hidden="false" customHeight="false" outlineLevel="0" collapsed="false">
      <c r="D95" s="181" t="n">
        <f aca="false">E95+F95</f>
        <v>0.0600000000000048</v>
      </c>
      <c r="E95" s="181" t="n">
        <f aca="false">$B$7*$B$11*H95/100</f>
        <v>0.0599999999999996</v>
      </c>
      <c r="F95" s="181" t="n">
        <f aca="false">$B$7*$B$12*(100-T95)/100</f>
        <v>5.22248910783674E-015</v>
      </c>
      <c r="G95" s="181" t="n">
        <f aca="false">100*D95/$B$7</f>
        <v>6.00000000000048</v>
      </c>
      <c r="H95" s="181" t="n">
        <f aca="false">(1-K95)*100</f>
        <v>7.99999999999994</v>
      </c>
      <c r="I95" s="181" t="n">
        <f aca="false">F95/($B$7*$B$12)*100</f>
        <v>2.08899564313469E-012</v>
      </c>
      <c r="J95" s="181" t="n">
        <f aca="false">H95/100</f>
        <v>0.0799999999999994</v>
      </c>
      <c r="K95" s="581" t="n">
        <f aca="false">K94+0.01</f>
        <v>0.92</v>
      </c>
      <c r="L95" s="181" t="n">
        <f aca="false">MAX(-$B$13-$B$10*(K95),0)</f>
        <v>0</v>
      </c>
      <c r="M95" s="181" t="n">
        <f aca="false">$B$13/(1-K95)</f>
        <v>-18.7500000000001</v>
      </c>
      <c r="N95" s="181" t="n">
        <f aca="false">M95+L95</f>
        <v>-18.7500000000001</v>
      </c>
      <c r="O95" s="181" t="n">
        <f aca="false">-1/M95</f>
        <v>0.0533333333333329</v>
      </c>
      <c r="P95" s="181" t="n">
        <f aca="false">-1/N95</f>
        <v>0.0533333333333329</v>
      </c>
      <c r="Q95" s="181" t="n">
        <f aca="false">(D95-D96)/(N95-N96)</f>
        <v>0.00280000000000191</v>
      </c>
      <c r="R95" s="181" t="n">
        <f aca="false">(E95-E96)/(N95-N96)</f>
        <v>0.00279999999999996</v>
      </c>
      <c r="S95" s="181" t="n">
        <f aca="false">(F95-F96)/(N95-N96)</f>
        <v>1.94972926692568E-015</v>
      </c>
      <c r="T95" s="181" t="n">
        <f aca="false">100/(1+EXP($B$19/25*(N95-$B$18)))</f>
        <v>99.9999999999979</v>
      </c>
      <c r="U95" s="181" t="n">
        <f aca="false">MAX(IF(H95/100&gt;($B$25),$B$41,$B$41*(1+(H95/100-$B$25)*$V$1)),0)</f>
        <v>0.458999999999998</v>
      </c>
      <c r="V95" s="181" t="n">
        <f aca="false">MAX(IF(H95/100&gt;$B$25,$B$41,$B$41*EXP((H95/100-$B$25)*$V$1)),0)</f>
        <v>1.28609730610973</v>
      </c>
      <c r="W95" s="181" t="n">
        <v>0.14660696213035</v>
      </c>
      <c r="X95" s="181"/>
    </row>
    <row r="96" customFormat="false" ht="15.75" hidden="false" customHeight="false" outlineLevel="0" collapsed="false">
      <c r="D96" s="181" t="n">
        <f aca="false">E96+F96</f>
        <v>0.0524999999999996</v>
      </c>
      <c r="E96" s="181" t="n">
        <f aca="false">$B$7*$B$11*H96/100</f>
        <v>0.0524999999999996</v>
      </c>
      <c r="F96" s="181" t="n">
        <f aca="false">$B$7*$B$12*(100-T96)/100</f>
        <v>0</v>
      </c>
      <c r="G96" s="181" t="n">
        <f aca="false">100*D96/$B$7</f>
        <v>5.24999999999996</v>
      </c>
      <c r="H96" s="181" t="n">
        <f aca="false">(1-K96)*100</f>
        <v>6.99999999999994</v>
      </c>
      <c r="I96" s="181" t="n">
        <f aca="false">F96/($B$7*$B$12)*100</f>
        <v>0</v>
      </c>
      <c r="J96" s="181" t="n">
        <f aca="false">H96/100</f>
        <v>0.0699999999999994</v>
      </c>
      <c r="K96" s="581" t="n">
        <f aca="false">K95+0.01</f>
        <v>0.930000000000001</v>
      </c>
      <c r="L96" s="181" t="n">
        <f aca="false">MAX(-$B$13-$B$10*(K96),0)</f>
        <v>0</v>
      </c>
      <c r="M96" s="181" t="n">
        <f aca="false">$B$13/(1-K96)</f>
        <v>-21.4285714285716</v>
      </c>
      <c r="N96" s="181" t="n">
        <f aca="false">M96+L96</f>
        <v>-21.4285714285716</v>
      </c>
      <c r="O96" s="181" t="n">
        <f aca="false">-1/M96</f>
        <v>0.0466666666666663</v>
      </c>
      <c r="P96" s="181" t="n">
        <f aca="false">-1/N96</f>
        <v>0.0466666666666663</v>
      </c>
      <c r="Q96" s="181" t="n">
        <f aca="false">(D96-D97)/(N96-N97)</f>
        <v>0.00209999999999996</v>
      </c>
      <c r="R96" s="181" t="n">
        <f aca="false">(E96-E97)/(N96-N97)</f>
        <v>0.00209999999999996</v>
      </c>
      <c r="S96" s="181" t="n">
        <f aca="false">(F96-F97)/(N96-N97)</f>
        <v>0</v>
      </c>
      <c r="T96" s="181" t="n">
        <f aca="false">100/(1+EXP($B$19/25*(N96-$B$18)))</f>
        <v>100</v>
      </c>
      <c r="U96" s="181" t="n">
        <f aca="false">MAX(IF(H96/100&gt;($B$25),$B$41,$B$41*(1+(H96/100-$B$25)*$V$1)),0)</f>
        <v>0.425999999999998</v>
      </c>
      <c r="V96" s="181" t="n">
        <f aca="false">MAX(IF(H96/100&gt;$B$25,$B$41,$B$41*EXP((H96/100-$B$25)*$V$1)),0)</f>
        <v>1.27202776011314</v>
      </c>
      <c r="W96" s="181" t="n">
        <v>0.143345138604106</v>
      </c>
      <c r="X96" s="181"/>
    </row>
    <row r="97" customFormat="false" ht="15.75" hidden="false" customHeight="false" outlineLevel="0" collapsed="false">
      <c r="D97" s="181" t="n">
        <f aca="false">E97+F97</f>
        <v>0.0449999999999995</v>
      </c>
      <c r="E97" s="181" t="n">
        <f aca="false">$B$7*$B$11*H97/100</f>
        <v>0.0449999999999995</v>
      </c>
      <c r="F97" s="181" t="n">
        <f aca="false">$B$7*$B$12*(100-T97)/100</f>
        <v>0</v>
      </c>
      <c r="G97" s="181" t="n">
        <f aca="false">100*D97/$B$7</f>
        <v>4.49999999999995</v>
      </c>
      <c r="H97" s="181" t="n">
        <f aca="false">(1-K97)*100</f>
        <v>5.99999999999994</v>
      </c>
      <c r="I97" s="181" t="n">
        <f aca="false">F97/($B$7*$B$12)*100</f>
        <v>0</v>
      </c>
      <c r="J97" s="181" t="n">
        <f aca="false">H97/100</f>
        <v>0.0599999999999994</v>
      </c>
      <c r="K97" s="581" t="n">
        <f aca="false">K96+0.01</f>
        <v>0.940000000000001</v>
      </c>
      <c r="L97" s="181" t="n">
        <f aca="false">MAX(-$B$13-$B$10*(K97),0)</f>
        <v>0</v>
      </c>
      <c r="M97" s="181" t="n">
        <f aca="false">$B$13/(1-K97)</f>
        <v>-25.0000000000003</v>
      </c>
      <c r="N97" s="181" t="n">
        <f aca="false">M97+L97</f>
        <v>-25.0000000000003</v>
      </c>
      <c r="O97" s="181" t="n">
        <f aca="false">-1/M97</f>
        <v>0.0399999999999996</v>
      </c>
      <c r="P97" s="181" t="n">
        <f aca="false">-1/N97</f>
        <v>0.0399999999999996</v>
      </c>
      <c r="Q97" s="181" t="n">
        <f aca="false">(D97-D98)/(N97-N98)</f>
        <v>0.00149999999999997</v>
      </c>
      <c r="R97" s="181" t="n">
        <f aca="false">(E97-E98)/(N97-N98)</f>
        <v>0.00149999999999997</v>
      </c>
      <c r="S97" s="181" t="n">
        <f aca="false">(F97-F98)/(N97-N98)</f>
        <v>0</v>
      </c>
      <c r="T97" s="181" t="n">
        <f aca="false">100/(1+EXP($B$19/25*(N97-$B$18)))</f>
        <v>100</v>
      </c>
      <c r="U97" s="181" t="n">
        <f aca="false">MAX(IF(H97/100&gt;($B$25),$B$41,$B$41*(1+(H97/100-$B$25)*$V$1)),0)</f>
        <v>0.392999999999998</v>
      </c>
      <c r="V97" s="181" t="n">
        <f aca="false">MAX(IF(H97/100&gt;$B$25,$B$41,$B$41*EXP((H97/100-$B$25)*$V$1)),0)</f>
        <v>1.25811213102751</v>
      </c>
      <c r="W97" s="181" t="n">
        <v>0.140155886615815</v>
      </c>
      <c r="X97" s="181"/>
    </row>
    <row r="98" customFormat="false" ht="15.75" hidden="false" customHeight="false" outlineLevel="0" collapsed="false">
      <c r="D98" s="181" t="n">
        <f aca="false">E98+F98</f>
        <v>0.0374999999999995</v>
      </c>
      <c r="E98" s="181" t="n">
        <f aca="false">$B$7*$B$11*H98/100</f>
        <v>0.0374999999999995</v>
      </c>
      <c r="F98" s="181" t="n">
        <f aca="false">$B$7*$B$12*(100-T98)/100</f>
        <v>0</v>
      </c>
      <c r="G98" s="181" t="n">
        <f aca="false">100*D98/$B$7</f>
        <v>3.74999999999995</v>
      </c>
      <c r="H98" s="181" t="n">
        <f aca="false">(1-K98)*100</f>
        <v>4.99999999999994</v>
      </c>
      <c r="I98" s="181" t="n">
        <f aca="false">F98/($B$7*$B$12)*100</f>
        <v>0</v>
      </c>
      <c r="J98" s="181" t="n">
        <f aca="false">H98/100</f>
        <v>0.0499999999999994</v>
      </c>
      <c r="K98" s="581" t="n">
        <f aca="false">K97+0.01</f>
        <v>0.950000000000001</v>
      </c>
      <c r="L98" s="181" t="n">
        <f aca="false">MAX(-$B$13-$B$10*(K98),0)</f>
        <v>0</v>
      </c>
      <c r="M98" s="181" t="n">
        <f aca="false">$B$13/(1-K98)</f>
        <v>-30.0000000000004</v>
      </c>
      <c r="N98" s="181" t="n">
        <f aca="false">M98+L98</f>
        <v>-30.0000000000004</v>
      </c>
      <c r="O98" s="181" t="n">
        <f aca="false">-1/M98</f>
        <v>0.0333333333333329</v>
      </c>
      <c r="P98" s="181" t="n">
        <f aca="false">-1/N98</f>
        <v>0.0333333333333329</v>
      </c>
      <c r="Q98" s="181" t="n">
        <f aca="false">(D98-D99)/(N98-N99)</f>
        <v>0.000999999999999972</v>
      </c>
      <c r="R98" s="181" t="n">
        <f aca="false">(E98-E99)/(N98-N99)</f>
        <v>0.000999999999999972</v>
      </c>
      <c r="S98" s="181" t="n">
        <f aca="false">(F98-F99)/(N98-N99)</f>
        <v>0</v>
      </c>
      <c r="T98" s="181" t="n">
        <f aca="false">100/(1+EXP($B$19/25*(N98-$B$18)))</f>
        <v>100</v>
      </c>
      <c r="U98" s="181" t="n">
        <f aca="false">MAX(IF(H98/100&gt;($B$25),$B$41,$B$41*(1+(H98/100-$B$25)*$V$1)),0)</f>
        <v>0.359999999999998</v>
      </c>
      <c r="V98" s="181" t="n">
        <f aca="false">MAX(IF(H98/100&gt;$B$25,$B$41,$B$41*EXP((H98/100-$B$25)*$V$1)),0)</f>
        <v>1.24434873504474</v>
      </c>
      <c r="W98" s="181" t="n">
        <v>0.137037591538542</v>
      </c>
      <c r="X98" s="181"/>
    </row>
    <row r="99" customFormat="false" ht="15.75" hidden="false" customHeight="false" outlineLevel="0" collapsed="false">
      <c r="D99" s="181" t="n">
        <f aca="false">E99+F99</f>
        <v>0.0299999999999995</v>
      </c>
      <c r="E99" s="181" t="n">
        <f aca="false">$B$7*$B$11*H99/100</f>
        <v>0.0299999999999995</v>
      </c>
      <c r="F99" s="181" t="n">
        <f aca="false">$B$7*$B$12*(100-T99)/100</f>
        <v>0</v>
      </c>
      <c r="G99" s="181" t="n">
        <f aca="false">100*D99/$B$7</f>
        <v>2.99999999999995</v>
      </c>
      <c r="H99" s="181" t="n">
        <f aca="false">(1-K99)*100</f>
        <v>3.99999999999994</v>
      </c>
      <c r="I99" s="181" t="n">
        <f aca="false">F99/($B$7*$B$12)*100</f>
        <v>0</v>
      </c>
      <c r="J99" s="181" t="n">
        <f aca="false">H99/100</f>
        <v>0.0399999999999994</v>
      </c>
      <c r="K99" s="581" t="n">
        <f aca="false">K98+0.01</f>
        <v>0.960000000000001</v>
      </c>
      <c r="L99" s="181" t="n">
        <f aca="false">MAX(-$B$13-$B$10*(K99),0)</f>
        <v>0</v>
      </c>
      <c r="M99" s="181" t="n">
        <f aca="false">$B$13/(1-K99)</f>
        <v>-37.5000000000006</v>
      </c>
      <c r="N99" s="181" t="n">
        <f aca="false">M99+L99</f>
        <v>-37.5000000000006</v>
      </c>
      <c r="O99" s="181" t="n">
        <f aca="false">-1/M99</f>
        <v>0.0266666666666662</v>
      </c>
      <c r="P99" s="181" t="n">
        <f aca="false">-1/N99</f>
        <v>0.0266666666666662</v>
      </c>
      <c r="Q99" s="181" t="n">
        <f aca="false">(D99-D100)/(N99-N100)</f>
        <v>0.000599999999999978</v>
      </c>
      <c r="R99" s="181" t="n">
        <f aca="false">(E99-E100)/(N99-N100)</f>
        <v>0.000599999999999978</v>
      </c>
      <c r="S99" s="181" t="n">
        <f aca="false">(F99-F100)/(N99-N100)</f>
        <v>0</v>
      </c>
      <c r="T99" s="181" t="n">
        <f aca="false">100/(1+EXP($B$19/25*(N99-$B$18)))</f>
        <v>100</v>
      </c>
      <c r="U99" s="181" t="n">
        <f aca="false">MAX(IF(H99/100&gt;($B$25),$B$41,$B$41*(1+(H99/100-$B$25)*$V$1)),0)</f>
        <v>0.326999999999998</v>
      </c>
      <c r="V99" s="181" t="n">
        <f aca="false">MAX(IF(H99/100&gt;$B$25,$B$41,$B$41*EXP((H99/100-$B$25)*$V$1)),0)</f>
        <v>1.23073590677713</v>
      </c>
      <c r="W99" s="181" t="n">
        <v>0.133988674668805</v>
      </c>
      <c r="X99" s="181"/>
    </row>
    <row r="100" customFormat="false" ht="15.75" hidden="false" customHeight="false" outlineLevel="0" collapsed="false">
      <c r="D100" s="181" t="n">
        <f aca="false">E100+F100</f>
        <v>0.0224999999999995</v>
      </c>
      <c r="E100" s="181" t="n">
        <f aca="false">$B$7*$B$11*H100/100</f>
        <v>0.0224999999999995</v>
      </c>
      <c r="F100" s="181" t="n">
        <f aca="false">$B$7*$B$12*(100-T100)/100</f>
        <v>0</v>
      </c>
      <c r="G100" s="181" t="n">
        <f aca="false">100*D100/$B$7</f>
        <v>2.24999999999995</v>
      </c>
      <c r="H100" s="181" t="n">
        <f aca="false">(1-K100)*100</f>
        <v>2.99999999999994</v>
      </c>
      <c r="I100" s="181" t="n">
        <f aca="false">F100/($B$7*$B$12)*100</f>
        <v>0</v>
      </c>
      <c r="J100" s="181" t="n">
        <f aca="false">H100/100</f>
        <v>0.0299999999999994</v>
      </c>
      <c r="K100" s="581" t="n">
        <f aca="false">K99+0.01</f>
        <v>0.970000000000001</v>
      </c>
      <c r="L100" s="181" t="n">
        <f aca="false">MAX(-$B$13-$B$10*(K100),0)</f>
        <v>0</v>
      </c>
      <c r="M100" s="181" t="n">
        <f aca="false">$B$13/(1-K100)</f>
        <v>-50.0000000000011</v>
      </c>
      <c r="N100" s="181" t="n">
        <f aca="false">M100+L100</f>
        <v>-50.0000000000011</v>
      </c>
      <c r="O100" s="181" t="n">
        <f aca="false">-1/M100</f>
        <v>0.0199999999999996</v>
      </c>
      <c r="P100" s="181" t="n">
        <f aca="false">-1/N100</f>
        <v>0.0199999999999996</v>
      </c>
      <c r="Q100" s="181" t="n">
        <f aca="false">(D100-D101)/(N100-N101)</f>
        <v>0.000299999999999984</v>
      </c>
      <c r="R100" s="181" t="n">
        <f aca="false">(E100-E101)/(N100-N101)</f>
        <v>0.000299999999999984</v>
      </c>
      <c r="S100" s="181" t="n">
        <f aca="false">(F100-F101)/(N100-N101)</f>
        <v>0</v>
      </c>
      <c r="T100" s="181" t="n">
        <f aca="false">100/(1+EXP($B$19/25*(N100-$B$18)))</f>
        <v>100</v>
      </c>
      <c r="U100" s="181" t="n">
        <f aca="false">MAX(IF(H100/100&gt;($B$25),$B$41,$B$41*(1+(H100/100-$B$25)*$V$1)),0)</f>
        <v>0.293999999999998</v>
      </c>
      <c r="V100" s="181" t="n">
        <f aca="false">MAX(IF(H100/100&gt;$B$25,$B$41,$B$41*EXP((H100/100-$B$25)*$V$1)),0)</f>
        <v>1.21727199905585</v>
      </c>
      <c r="W100" s="181" t="n">
        <v>0.131007592427319</v>
      </c>
      <c r="X100" s="181"/>
    </row>
    <row r="101" customFormat="false" ht="15.75" hidden="false" customHeight="false" outlineLevel="0" collapsed="false">
      <c r="D101" s="181" t="n">
        <f aca="false">E101+F101</f>
        <v>0.0149999999999995</v>
      </c>
      <c r="E101" s="181" t="n">
        <f aca="false">$B$7*$B$11*H101/100</f>
        <v>0.0149999999999995</v>
      </c>
      <c r="F101" s="181" t="n">
        <f aca="false">$B$7*$B$12*(100-T101)/100</f>
        <v>0</v>
      </c>
      <c r="G101" s="181" t="n">
        <f aca="false">100*D101/$B$7</f>
        <v>1.49999999999995</v>
      </c>
      <c r="H101" s="181" t="n">
        <f aca="false">(1-K101)*100</f>
        <v>1.99999999999994</v>
      </c>
      <c r="I101" s="181" t="n">
        <f aca="false">F101/($B$7*$B$12)*100</f>
        <v>0</v>
      </c>
      <c r="J101" s="181" t="n">
        <f aca="false">H101/100</f>
        <v>0.0199999999999994</v>
      </c>
      <c r="K101" s="581" t="n">
        <f aca="false">K100+0.01</f>
        <v>0.980000000000001</v>
      </c>
      <c r="L101" s="181" t="n">
        <f aca="false">MAX(-$B$13-$B$10*(K101),0)</f>
        <v>0</v>
      </c>
      <c r="M101" s="181" t="n">
        <f aca="false">$B$13/(1-K101)</f>
        <v>-75.0000000000024</v>
      </c>
      <c r="N101" s="181" t="n">
        <f aca="false">M101+L101</f>
        <v>-75.0000000000024</v>
      </c>
      <c r="O101" s="181" t="n">
        <f aca="false">-1/M101</f>
        <v>0.0133333333333329</v>
      </c>
      <c r="P101" s="181" t="n">
        <f aca="false">-1/N101</f>
        <v>0.0133333333333329</v>
      </c>
      <c r="Q101" s="181" t="n">
        <f aca="false">(D101-D102)/(N101-N102)</f>
        <v>9.99999999999902E-005</v>
      </c>
      <c r="R101" s="181" t="n">
        <f aca="false">(E101-E102)/(N101-N102)</f>
        <v>9.99999999999902E-005</v>
      </c>
      <c r="S101" s="181" t="n">
        <f aca="false">(F101-F102)/(N101-N102)</f>
        <v>0</v>
      </c>
      <c r="T101" s="181" t="n">
        <f aca="false">100/(1+EXP($B$19/25*(N101-$B$18)))</f>
        <v>100</v>
      </c>
      <c r="U101" s="181" t="n">
        <f aca="false">MAX(IF(H101/100&gt;($B$25),$B$41,$B$41*(1+(H101/100-$B$25)*$V$1)),0)</f>
        <v>0.260999999999998</v>
      </c>
      <c r="V101" s="181" t="n">
        <f aca="false">MAX(IF(H101/100&gt;$B$25,$B$41,$B$41*EXP((H101/100-$B$25)*$V$1)),0)</f>
        <v>1.20395538273162</v>
      </c>
      <c r="W101" s="181" t="n">
        <v>0.128092835577532</v>
      </c>
      <c r="X101" s="181"/>
    </row>
    <row r="102" customFormat="false" ht="15.75" hidden="false" customHeight="false" outlineLevel="0" collapsed="false">
      <c r="D102" s="181" t="n">
        <f aca="false">E102+F102</f>
        <v>0.00749999999999951</v>
      </c>
      <c r="E102" s="181" t="n">
        <f aca="false">$B$7*$B$11*H102/100</f>
        <v>0.00749999999999951</v>
      </c>
      <c r="F102" s="181" t="n">
        <f aca="false">$B$7*$B$12*(100-T102)/100</f>
        <v>0</v>
      </c>
      <c r="G102" s="181" t="n">
        <f aca="false">100*D102/$B$7</f>
        <v>0.749999999999951</v>
      </c>
      <c r="H102" s="181" t="n">
        <f aca="false">(1-K102)*100</f>
        <v>0.999999999999934</v>
      </c>
      <c r="I102" s="181" t="n">
        <f aca="false">F102/($B$7*$B$12)*100</f>
        <v>0</v>
      </c>
      <c r="J102" s="181" t="n">
        <f aca="false">H102/100</f>
        <v>0.00999999999999934</v>
      </c>
      <c r="K102" s="581" t="n">
        <f aca="false">K101+0.01</f>
        <v>0.990000000000001</v>
      </c>
      <c r="L102" s="181" t="n">
        <f aca="false">MAX(-$B$13-$B$10*(K102),0)</f>
        <v>0</v>
      </c>
      <c r="M102" s="181" t="n">
        <f aca="false">$B$13/(1-K102)</f>
        <v>-150.00000000001</v>
      </c>
      <c r="N102" s="181" t="n">
        <f aca="false">M102+L102</f>
        <v>-150.00000000001</v>
      </c>
      <c r="O102" s="181" t="n">
        <f aca="false">-1/M102</f>
        <v>0.00666666666666623</v>
      </c>
      <c r="P102" s="181" t="n">
        <f aca="false">-1/N102</f>
        <v>0.00666666666666623</v>
      </c>
      <c r="Q102" s="181" t="n">
        <f aca="false">(D102-D103)/(N102-N103)</f>
        <v>-4.99999999999934E-005</v>
      </c>
      <c r="R102" s="181" t="n">
        <f aca="false">(E102-E103)/(N102-N103)</f>
        <v>-4.99999999999934E-005</v>
      </c>
      <c r="S102" s="181" t="n">
        <f aca="false">(F102-F103)/(N102-N103)</f>
        <v>-0</v>
      </c>
      <c r="T102" s="181" t="n">
        <f aca="false">100/(1+EXP($B$19/25*(N102-$B$18)))</f>
        <v>100</v>
      </c>
      <c r="U102" s="181" t="n">
        <f aca="false">MAX(IF(H102/100&gt;($B$25),$B$41,$B$41*(1+(H102/100-$B$25)*$V$1)),0)</f>
        <v>0.227999999999998</v>
      </c>
      <c r="V102" s="181" t="n">
        <f aca="false">MAX(IF(H102/100&gt;$B$25,$B$41,$B$41*EXP((H102/100-$B$25)*$V$1)),0)</f>
        <v>1.19078444647765</v>
      </c>
      <c r="W102" s="181" t="n">
        <v>0.125242928461534</v>
      </c>
      <c r="X102" s="181"/>
    </row>
    <row r="103" customFormat="false" ht="15.75" hidden="false" customHeight="false" outlineLevel="0" collapsed="false">
      <c r="D103" s="181" t="n">
        <f aca="false">E103+F103</f>
        <v>0</v>
      </c>
      <c r="E103" s="181" t="n">
        <f aca="false">$B$7*$B$11*H103/100</f>
        <v>0</v>
      </c>
      <c r="F103" s="181" t="n">
        <f aca="false">$B$7*$B$12*(100-T103)/100</f>
        <v>0</v>
      </c>
      <c r="G103" s="181" t="n">
        <f aca="false">100*D103/$B$7</f>
        <v>0</v>
      </c>
      <c r="H103" s="181" t="n">
        <f aca="false">(1-K103)*100</f>
        <v>0</v>
      </c>
      <c r="I103" s="181" t="n">
        <f aca="false">F103/($B$7*$B$12)*100</f>
        <v>0</v>
      </c>
      <c r="J103" s="181" t="n">
        <f aca="false">H103/100</f>
        <v>0</v>
      </c>
      <c r="K103" s="581" t="n">
        <f aca="false">K102+0.01</f>
        <v>1</v>
      </c>
      <c r="L103" s="181" t="n">
        <f aca="false">MAX(-$B$13-$B$10*(K103),0)</f>
        <v>0</v>
      </c>
      <c r="M103" s="181"/>
      <c r="N103" s="181"/>
      <c r="O103" s="181" t="n">
        <v>0</v>
      </c>
      <c r="P103" s="181" t="n">
        <v>0</v>
      </c>
      <c r="Q103" s="181" t="n">
        <v>0</v>
      </c>
      <c r="R103" s="181" t="n">
        <v>0</v>
      </c>
      <c r="S103" s="181" t="n">
        <v>0</v>
      </c>
      <c r="T103" s="181" t="n">
        <v>100</v>
      </c>
      <c r="U103" s="181" t="n">
        <f aca="false">MAX(IF(H103/100&gt;($B$25),$B$41,$B$41*(1+(H103/100-$B$25)*$V$1)),0)</f>
        <v>0.195</v>
      </c>
      <c r="V103" s="181" t="n">
        <f aca="false">MAX(IF(H103/100&gt;$B$25,$B$41,$B$41*EXP((H103/100-$B$25)*$V$1)),0)</f>
        <v>1.17775759659456</v>
      </c>
      <c r="W103" s="181" t="n">
        <v>0.122456428252982</v>
      </c>
      <c r="X103" s="181"/>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N337"/>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pane xSplit="0" ySplit="17325" topLeftCell="A326" activePane="topLeft" state="split"/>
      <selection pane="topLeft" activeCell="K7" activeCellId="0" sqref="K7"/>
      <selection pane="bottomLeft" activeCell="N326" activeCellId="0" sqref="N326"/>
    </sheetView>
  </sheetViews>
  <sheetFormatPr defaultColWidth="10.5" defaultRowHeight="15.75" zeroHeight="false" outlineLevelRow="0" outlineLevelCol="0"/>
  <cols>
    <col collapsed="false" customWidth="true" hidden="false" outlineLevel="0" max="2" min="2" style="0" width="13.16"/>
    <col collapsed="false" customWidth="true" hidden="false" outlineLevel="0" max="3" min="3" style="0" width="13.83"/>
    <col collapsed="false" customWidth="true" hidden="false" outlineLevel="0" max="4" min="4" style="0" width="11"/>
    <col collapsed="false" customWidth="true" hidden="false" outlineLevel="0" max="5" min="5" style="0" width="18.66"/>
    <col collapsed="false" customWidth="true" hidden="false" outlineLevel="0" max="7" min="6" style="0" width="12.33"/>
    <col collapsed="false" customWidth="true" hidden="false" outlineLevel="0" max="8" min="8" style="0" width="21.16"/>
    <col collapsed="false" customWidth="true" hidden="false" outlineLevel="0" max="9" min="9" style="0" width="13.33"/>
    <col collapsed="false" customWidth="true" hidden="false" outlineLevel="0" max="10" min="10" style="0" width="18.83"/>
    <col collapsed="false" customWidth="true" hidden="false" outlineLevel="0" max="12" min="11" style="0" width="15.33"/>
    <col collapsed="false" customWidth="true" hidden="false" outlineLevel="0" max="13" min="13" style="0" width="11"/>
    <col collapsed="false" customWidth="true" hidden="false" outlineLevel="0" max="14" min="14" style="0" width="14.33"/>
    <col collapsed="false" customWidth="true" hidden="false" outlineLevel="0" max="15" min="15" style="0" width="14.66"/>
    <col collapsed="false" customWidth="true" hidden="false" outlineLevel="0" max="16" min="16" style="0" width="16.84"/>
    <col collapsed="false" customWidth="true" hidden="false" outlineLevel="0" max="17" min="17" style="0" width="15.84"/>
    <col collapsed="false" customWidth="true" hidden="false" outlineLevel="0" max="19" min="18" style="0" width="11"/>
    <col collapsed="false" customWidth="true" hidden="false" outlineLevel="0" max="20" min="20" style="0" width="16.16"/>
    <col collapsed="false" customWidth="true" hidden="false" outlineLevel="0" max="21" min="21" style="0" width="13"/>
    <col collapsed="false" customWidth="true" hidden="false" outlineLevel="0" max="24" min="24" style="0" width="17"/>
    <col collapsed="false" customWidth="true" hidden="false" outlineLevel="0" max="34" min="25" style="0" width="11"/>
    <col collapsed="false" customWidth="true" hidden="false" outlineLevel="0" max="35" min="35" style="0" width="15.5"/>
    <col collapsed="false" customWidth="true" hidden="false" outlineLevel="0" max="39" min="36" style="0" width="11"/>
    <col collapsed="false" customWidth="true" hidden="false" outlineLevel="0" max="43" min="43" style="0" width="17.5"/>
    <col collapsed="false" customWidth="true" hidden="false" outlineLevel="0" max="53" min="44" style="0" width="11"/>
    <col collapsed="false" customWidth="true" hidden="false" outlineLevel="0" max="54" min="54" style="0" width="15"/>
    <col collapsed="false" customWidth="true" hidden="false" outlineLevel="0" max="55" min="55" style="0" width="13"/>
    <col collapsed="false" customWidth="true" hidden="false" outlineLevel="0" max="60" min="56" style="0" width="11"/>
    <col collapsed="false" customWidth="true" hidden="false" outlineLevel="0" max="102" min="102" style="0" width="36.5"/>
    <col collapsed="false" customWidth="true" hidden="false" outlineLevel="0" max="103" min="103" style="0" width="13.16"/>
    <col collapsed="false" customWidth="true" hidden="false" outlineLevel="0" max="114" min="114" style="0" width="14.84"/>
    <col collapsed="false" customWidth="true" hidden="false" outlineLevel="0" max="116" min="116" style="0" width="17.33"/>
    <col collapsed="false" customWidth="true" hidden="false" outlineLevel="0" max="118" min="118" style="0" width="16.33"/>
  </cols>
  <sheetData>
    <row r="1" customFormat="false" ht="21" hidden="false" customHeight="false" outlineLevel="0" collapsed="false">
      <c r="A1" s="590" t="s">
        <v>2121</v>
      </c>
      <c r="B1" s="420"/>
      <c r="C1" s="420"/>
      <c r="D1" s="420"/>
      <c r="F1" s="106" t="s">
        <v>2122</v>
      </c>
      <c r="S1" s="95" t="s">
        <v>2123</v>
      </c>
      <c r="T1" s="95"/>
      <c r="U1" s="95"/>
      <c r="X1" s="108" t="s">
        <v>2124</v>
      </c>
      <c r="Y1" s="591" t="s">
        <v>2125</v>
      </c>
      <c r="Z1" s="591" t="s">
        <v>2126</v>
      </c>
      <c r="AA1" s="592" t="s">
        <v>2127</v>
      </c>
      <c r="AB1" s="593" t="s">
        <v>2128</v>
      </c>
      <c r="AC1" s="593" t="s">
        <v>2129</v>
      </c>
      <c r="AE1" s="591"/>
      <c r="AF1" s="591"/>
      <c r="AG1" s="593" t="s">
        <v>2130</v>
      </c>
      <c r="AJ1" s="0" t="s">
        <v>2131</v>
      </c>
      <c r="BD1" s="8" t="s">
        <v>3</v>
      </c>
      <c r="BE1" s="8" t="s">
        <v>4</v>
      </c>
      <c r="BF1" s="9"/>
      <c r="BG1" s="8" t="s">
        <v>5</v>
      </c>
      <c r="BS1" s="0" t="n">
        <v>0.019</v>
      </c>
      <c r="BT1" s="0" t="n">
        <v>1.3</v>
      </c>
      <c r="BU1" s="0" t="n">
        <v>-0.011</v>
      </c>
      <c r="CW1" s="506"/>
      <c r="CX1" s="523" t="s">
        <v>2132</v>
      </c>
      <c r="CY1" s="523" t="s">
        <v>2133</v>
      </c>
      <c r="CZ1" s="523" t="n">
        <v>0</v>
      </c>
      <c r="DA1" s="523" t="n">
        <v>5</v>
      </c>
      <c r="DB1" s="523" t="n">
        <v>15</v>
      </c>
      <c r="DC1" s="523" t="n">
        <v>30</v>
      </c>
      <c r="DD1" s="523" t="n">
        <v>60</v>
      </c>
      <c r="DE1" s="523" t="n">
        <v>100</v>
      </c>
      <c r="DF1" s="523" t="n">
        <v>200</v>
      </c>
      <c r="DH1" s="560" t="s">
        <v>2134</v>
      </c>
      <c r="DJ1" s="506" t="s">
        <v>2135</v>
      </c>
      <c r="DL1" s="506" t="s">
        <v>2136</v>
      </c>
      <c r="DN1" s="506" t="s">
        <v>2137</v>
      </c>
    </row>
    <row r="2" customFormat="false" ht="18.75" hidden="false" customHeight="false" outlineLevel="0" collapsed="false">
      <c r="F2" s="461" t="s">
        <v>2138</v>
      </c>
      <c r="G2" s="461" t="s">
        <v>2139</v>
      </c>
      <c r="H2" s="461" t="s">
        <v>2140</v>
      </c>
      <c r="S2" s="0" t="s">
        <v>2141</v>
      </c>
      <c r="T2" s="0" t="s">
        <v>2142</v>
      </c>
      <c r="U2" s="0" t="s">
        <v>2143</v>
      </c>
      <c r="X2" s="108"/>
      <c r="Y2" s="108" t="s">
        <v>2144</v>
      </c>
      <c r="Z2" s="108" t="s">
        <v>2144</v>
      </c>
      <c r="AA2" s="108" t="s">
        <v>2145</v>
      </c>
      <c r="AB2" s="108" t="s">
        <v>2146</v>
      </c>
      <c r="AC2" s="108" t="s">
        <v>2147</v>
      </c>
      <c r="AE2" s="108" t="s">
        <v>2148</v>
      </c>
      <c r="AF2" s="108" t="s">
        <v>2149</v>
      </c>
      <c r="AG2" s="108" t="s">
        <v>2150</v>
      </c>
      <c r="AH2" s="108" t="s">
        <v>2151</v>
      </c>
      <c r="AI2" s="108" t="s">
        <v>2147</v>
      </c>
      <c r="AJ2" s="108" t="s">
        <v>2147</v>
      </c>
      <c r="BA2" s="26" t="s">
        <v>21</v>
      </c>
      <c r="BB2" s="26" t="s">
        <v>22</v>
      </c>
      <c r="BD2" s="27" t="s">
        <v>23</v>
      </c>
      <c r="BE2" s="27" t="s">
        <v>23</v>
      </c>
      <c r="BF2" s="9"/>
      <c r="BG2" s="27" t="s">
        <v>24</v>
      </c>
      <c r="CX2" s="594" t="s">
        <v>2152</v>
      </c>
      <c r="CY2" s="594" t="s">
        <v>2153</v>
      </c>
      <c r="CZ2" s="0" t="n">
        <f aca="false">DL4/100</f>
        <v>0.33</v>
      </c>
      <c r="DA2" s="0" t="n">
        <f aca="false">DL7/100</f>
        <v>0.31</v>
      </c>
      <c r="DB2" s="0" t="n">
        <f aca="false">DL10/100</f>
        <v>0.31</v>
      </c>
      <c r="DC2" s="0" t="n">
        <f aca="false">DL13/100</f>
        <v>0.3</v>
      </c>
      <c r="DD2" s="0" t="n">
        <f aca="false">DL16/100</f>
        <v>0.28</v>
      </c>
      <c r="DE2" s="0" t="n">
        <f aca="false">DL19/100</f>
        <v>0.27</v>
      </c>
      <c r="DF2" s="0" t="n">
        <f aca="false">DL22/100</f>
        <v>0.28</v>
      </c>
      <c r="DH2" s="0" t="n">
        <f aca="false">AVERAGE(CZ2:DF2)</f>
        <v>0.297142857142857</v>
      </c>
      <c r="DK2" s="0" t="s">
        <v>2154</v>
      </c>
    </row>
    <row r="3" customFormat="false" ht="18.75" hidden="false" customHeight="false" outlineLevel="0" collapsed="false">
      <c r="F3" s="72" t="n">
        <v>5</v>
      </c>
      <c r="G3" s="72" t="n">
        <v>5</v>
      </c>
      <c r="H3" s="72" t="n">
        <f aca="false">0.004*EXP(-6.9*F3/100-3.7*(G3)/100)*1000*1000/18</f>
        <v>130.801104372968</v>
      </c>
      <c r="K3" s="595"/>
      <c r="S3" s="0" t="n">
        <v>-1.9495</v>
      </c>
      <c r="T3" s="0" t="n">
        <f aca="false">S3+'sureau_ini.txt'!$B$10*0.01</f>
        <v>-1.9395</v>
      </c>
      <c r="U3" s="0" t="n">
        <v>0.0405</v>
      </c>
      <c r="X3" s="108" t="s">
        <v>56</v>
      </c>
      <c r="Y3" s="108" t="n">
        <v>0.43</v>
      </c>
      <c r="Z3" s="108" t="n">
        <v>0.045</v>
      </c>
      <c r="AA3" s="108" t="n">
        <v>0.145</v>
      </c>
      <c r="AB3" s="108" t="n">
        <v>2.68</v>
      </c>
      <c r="AC3" s="596" t="n">
        <f aca="false">AI3</f>
        <v>467.687074829932</v>
      </c>
      <c r="AE3" s="108" t="n">
        <v>712.8</v>
      </c>
      <c r="AF3" s="108" t="n">
        <f aca="false">AE3/24</f>
        <v>29.7</v>
      </c>
      <c r="AG3" s="597" t="n">
        <f aca="false">AE3/24/3600/100</f>
        <v>8.25E-005</v>
      </c>
      <c r="AH3" s="597" t="n">
        <f aca="false">AG3/0.0098</f>
        <v>0.00841836734693878</v>
      </c>
      <c r="AI3" s="597" t="n">
        <f aca="false">AH3*1000*1000/18</f>
        <v>467.687074829932</v>
      </c>
      <c r="AJ3" s="108" t="n">
        <v>130.8</v>
      </c>
      <c r="AL3" s="0" t="n">
        <f aca="false">AE3/24/3600/100/0.0098*1000*1000/18</f>
        <v>467.687074829932</v>
      </c>
      <c r="AQ3" s="53" t="s">
        <v>33</v>
      </c>
      <c r="AR3" s="54" t="s">
        <v>34</v>
      </c>
      <c r="AS3" s="54" t="s">
        <v>35</v>
      </c>
      <c r="AT3" s="55" t="s">
        <v>36</v>
      </c>
      <c r="AU3" s="54" t="s">
        <v>37</v>
      </c>
      <c r="AV3" s="56" t="s">
        <v>38</v>
      </c>
      <c r="AW3" s="56" t="s">
        <v>39</v>
      </c>
      <c r="AX3" s="56" t="s">
        <v>40</v>
      </c>
      <c r="AY3" s="56" t="s">
        <v>41</v>
      </c>
      <c r="AZ3" s="56" t="s">
        <v>42</v>
      </c>
      <c r="BA3" s="57" t="s">
        <v>43</v>
      </c>
      <c r="BB3" s="57" t="s">
        <v>44</v>
      </c>
      <c r="BC3" s="58" t="s">
        <v>45</v>
      </c>
      <c r="BD3" s="60" t="s">
        <v>47</v>
      </c>
      <c r="BE3" s="60" t="s">
        <v>48</v>
      </c>
      <c r="BF3" s="61" t="s">
        <v>49</v>
      </c>
      <c r="BG3" s="60" t="s">
        <v>50</v>
      </c>
      <c r="BH3" s="61" t="s">
        <v>51</v>
      </c>
      <c r="BJ3" s="57" t="s">
        <v>2155</v>
      </c>
      <c r="BK3" s="57" t="s">
        <v>2156</v>
      </c>
      <c r="BL3" s="57" t="s">
        <v>2157</v>
      </c>
      <c r="BM3" s="598" t="s">
        <v>2158</v>
      </c>
      <c r="BN3" s="598" t="s">
        <v>2159</v>
      </c>
      <c r="BO3" s="57" t="s">
        <v>2160</v>
      </c>
      <c r="BP3" s="55" t="s">
        <v>36</v>
      </c>
      <c r="BQ3" s="54" t="s">
        <v>35</v>
      </c>
      <c r="BR3" s="55" t="s">
        <v>2161</v>
      </c>
      <c r="BS3" s="55" t="s">
        <v>2162</v>
      </c>
      <c r="BZ3" s="591"/>
      <c r="CA3" s="591"/>
      <c r="CX3" s="594" t="s">
        <v>2163</v>
      </c>
      <c r="CY3" s="594" t="s">
        <v>2153</v>
      </c>
      <c r="CZ3" s="0" t="n">
        <f aca="false">DL298/100</f>
        <v>0.48</v>
      </c>
      <c r="DA3" s="0" t="n">
        <f aca="false">DL301/100</f>
        <v>0.48</v>
      </c>
      <c r="DB3" s="0" t="n">
        <f aca="false">DL304/100</f>
        <v>0.46</v>
      </c>
      <c r="DC3" s="0" t="n">
        <f aca="false">DL307/100</f>
        <v>0.46</v>
      </c>
      <c r="DD3" s="0" t="n">
        <f aca="false">DL310/100</f>
        <v>0.45</v>
      </c>
      <c r="DE3" s="0" t="n">
        <f aca="false">DL313/100</f>
        <v>0.44</v>
      </c>
      <c r="DF3" s="0" t="n">
        <f aca="false">DL316/100</f>
        <v>0.44</v>
      </c>
      <c r="DH3" s="0" t="n">
        <f aca="false">AVERAGE(CZ3:DF3)</f>
        <v>0.458571428571429</v>
      </c>
      <c r="DL3" s="0" t="s">
        <v>2164</v>
      </c>
      <c r="DN3" s="0" t="s">
        <v>2164</v>
      </c>
    </row>
    <row r="4" customFormat="false" ht="15.75" hidden="false" customHeight="false" outlineLevel="0" collapsed="false">
      <c r="N4" s="8" t="s">
        <v>3</v>
      </c>
      <c r="O4" s="8" t="s">
        <v>4</v>
      </c>
      <c r="P4" s="9"/>
      <c r="Q4" s="8" t="s">
        <v>5</v>
      </c>
      <c r="S4" s="0" t="n">
        <v>-1.791</v>
      </c>
      <c r="T4" s="0" t="n">
        <f aca="false">S4+'sureau_ini.txt'!$B$10*0.01</f>
        <v>-1.781</v>
      </c>
      <c r="U4" s="0" t="n">
        <v>0.1031</v>
      </c>
      <c r="X4" s="108" t="s">
        <v>142</v>
      </c>
      <c r="Y4" s="108" t="n">
        <v>0.41</v>
      </c>
      <c r="Z4" s="108" t="n">
        <v>0.057</v>
      </c>
      <c r="AA4" s="108" t="n">
        <v>0.124</v>
      </c>
      <c r="AB4" s="108" t="n">
        <v>2.28</v>
      </c>
      <c r="AC4" s="596" t="n">
        <f aca="false">AI4</f>
        <v>229.775552196187</v>
      </c>
      <c r="AE4" s="108" t="n">
        <v>350.2</v>
      </c>
      <c r="AF4" s="108" t="n">
        <f aca="false">AE4/24</f>
        <v>14.5916666666667</v>
      </c>
      <c r="AG4" s="597" t="n">
        <f aca="false">AE4/24/3600/100</f>
        <v>4.05324074074074E-005</v>
      </c>
      <c r="AH4" s="597" t="n">
        <f aca="false">AG4/0.0098</f>
        <v>0.00413595993953137</v>
      </c>
      <c r="AI4" s="108" t="n">
        <f aca="false">AH4*1000*1000/18</f>
        <v>229.775552196187</v>
      </c>
      <c r="AJ4" s="108" t="n">
        <v>75.1</v>
      </c>
      <c r="AP4" s="0" t="s">
        <v>2165</v>
      </c>
      <c r="AQ4" s="72" t="s">
        <v>65</v>
      </c>
      <c r="AR4" s="73" t="n">
        <v>0.459</v>
      </c>
      <c r="AS4" s="73" t="n">
        <v>0.098</v>
      </c>
      <c r="AT4" s="73" t="n">
        <v>0.015</v>
      </c>
      <c r="AU4" s="73" t="n">
        <v>1.253</v>
      </c>
      <c r="AV4" s="73" t="n">
        <v>9.68442932728647</v>
      </c>
      <c r="AW4" s="73" t="n">
        <v>0.5</v>
      </c>
      <c r="AX4" s="74" t="n">
        <v>0</v>
      </c>
      <c r="AY4" s="74" t="n">
        <v>0</v>
      </c>
      <c r="AZ4" s="74" t="n">
        <v>0</v>
      </c>
      <c r="BA4" s="75" t="n">
        <f aca="false">AS4+(AR4-AS4)/(1+(AT4*0.033*10000)^AU4)^(1-1/AU4)</f>
        <v>0.3327922474718</v>
      </c>
      <c r="BB4" s="75" t="n">
        <f aca="false">AS4+(AR4-AS4)/(1+(AT4*1.585*10000)^AU4)^(1-1/AU4)</f>
        <v>0.188418304080338</v>
      </c>
      <c r="BC4" s="75" t="n">
        <f aca="false">AS4+(AR4-AS4)/(1+(AT4*3.5*10000)^AU4)^(1-1/AU4)</f>
        <v>0.172006976205701</v>
      </c>
      <c r="BD4" s="75" t="n">
        <f aca="false">(AR4-AS4)*Soil_Depth*1000*(1-(AX4+AY4+AZ4)/3)</f>
        <v>106.2784</v>
      </c>
      <c r="BE4" s="75" t="n">
        <f aca="false">(BA4-AS4)*Soil_Depth*1000*(1-(AX4+AY4+AZ4)/3)</f>
        <v>69.1228376556978</v>
      </c>
      <c r="BF4" s="75" t="n">
        <f aca="false">(BA4-AS4)/(AR4-AS4)</f>
        <v>0.650394037318004</v>
      </c>
      <c r="BG4" s="75" t="n">
        <f aca="false">(BA4-BB4)*Soil_Depth*1000*(1-(AX4+AY4+AZ4)/3)</f>
        <v>42.5036889344462</v>
      </c>
      <c r="BH4" s="75" t="n">
        <f aca="false">(BA4-BC4)*Soil_Depth*1000*(1-(AX4+AY4+AZ4)/3)</f>
        <v>47.3351838607394</v>
      </c>
      <c r="BJ4" s="0" t="n">
        <f aca="false">AR4-BA4</f>
        <v>0.1262077525282</v>
      </c>
      <c r="BK4" s="0" t="n">
        <f aca="false">AR4-BB4</f>
        <v>0.270581695919662</v>
      </c>
      <c r="BL4" s="0" t="n">
        <f aca="false">AR4-AS4</f>
        <v>0.361</v>
      </c>
      <c r="BM4" s="0" t="n">
        <f aca="false">BA4-BB4</f>
        <v>0.144373943391461</v>
      </c>
      <c r="BN4" s="0" t="n">
        <f aca="false">BA4-AS4</f>
        <v>0.2347922474718</v>
      </c>
      <c r="BO4" s="0" t="n">
        <f aca="false">BB4-AS4</f>
        <v>0.0904183040803384</v>
      </c>
      <c r="BP4" s="0" t="n">
        <f aca="false">-0.046*LN(BM4)-0.0679</f>
        <v>0.0211260317467438</v>
      </c>
      <c r="BQ4" s="0" t="n">
        <f aca="false">AS4+(AR4-AS4)/(1+(AT4*35*10000)^AU4)^(1-1/AU4)</f>
        <v>0.139333766875184</v>
      </c>
      <c r="BR4" s="0" t="n">
        <f aca="false">LOG(BO4)*-0.3206+0.9205</f>
        <v>1.25512421195083</v>
      </c>
      <c r="BS4" s="0" t="n">
        <f aca="false">$BS$1/(BM4-$BU$1)+$BT$1</f>
        <v>1.4222856264395</v>
      </c>
      <c r="BZ4" s="108"/>
      <c r="CA4" s="108"/>
      <c r="CB4" s="108"/>
      <c r="CC4" s="108"/>
      <c r="CX4" s="594" t="s">
        <v>2166</v>
      </c>
      <c r="CY4" s="594" t="s">
        <v>2153</v>
      </c>
      <c r="CZ4" s="0" t="n">
        <f aca="false">DL319/100</f>
        <v>0.14</v>
      </c>
      <c r="DA4" s="0" t="n">
        <f aca="false">DL322/100</f>
        <v>0.14</v>
      </c>
      <c r="DB4" s="0" t="n">
        <f aca="false">DL325/100</f>
        <v>0.14</v>
      </c>
      <c r="DC4" s="0" t="n">
        <f aca="false">DL328/100</f>
        <v>0.14</v>
      </c>
      <c r="DD4" s="0" t="n">
        <f aca="false">DL331/100</f>
        <v>0.15</v>
      </c>
      <c r="DE4" s="0" t="n">
        <f aca="false">DL334/100</f>
        <v>0.15</v>
      </c>
      <c r="DF4" s="0" t="n">
        <f aca="false">DL337/100</f>
        <v>0.15</v>
      </c>
      <c r="DH4" s="0" t="n">
        <f aca="false">AVERAGE(CZ4:DF4)</f>
        <v>0.144285714285714</v>
      </c>
      <c r="DL4" s="0" t="n">
        <v>33</v>
      </c>
      <c r="DN4" s="0" t="n">
        <v>43.43396</v>
      </c>
    </row>
    <row r="5" customFormat="false" ht="15.75" hidden="false" customHeight="false" outlineLevel="0" collapsed="false">
      <c r="K5" s="26" t="s">
        <v>2167</v>
      </c>
      <c r="L5" s="26" t="s">
        <v>2168</v>
      </c>
      <c r="N5" s="27" t="s">
        <v>23</v>
      </c>
      <c r="O5" s="27" t="s">
        <v>23</v>
      </c>
      <c r="P5" s="9"/>
      <c r="Q5" s="27" t="s">
        <v>24</v>
      </c>
      <c r="S5" s="0" t="n">
        <v>-1.7586</v>
      </c>
      <c r="T5" s="0" t="n">
        <f aca="false">S5+'sureau_ini.txt'!$B$10*0.01</f>
        <v>-1.7486</v>
      </c>
      <c r="U5" s="142" t="n">
        <v>-0.0010173</v>
      </c>
      <c r="X5" s="108" t="s">
        <v>156</v>
      </c>
      <c r="Y5" s="108" t="n">
        <v>0.41</v>
      </c>
      <c r="Z5" s="108" t="n">
        <v>0.065</v>
      </c>
      <c r="AA5" s="108" t="n">
        <v>0.075</v>
      </c>
      <c r="AB5" s="108" t="n">
        <v>1.89</v>
      </c>
      <c r="AC5" s="596" t="n">
        <f aca="false">AI5</f>
        <v>69.6150373729739</v>
      </c>
      <c r="AE5" s="108" t="n">
        <v>106.1</v>
      </c>
      <c r="AF5" s="108" t="n">
        <f aca="false">AE5/24</f>
        <v>4.42083333333333</v>
      </c>
      <c r="AG5" s="597" t="n">
        <f aca="false">AE5/24/3600/100</f>
        <v>1.22800925925926E-005</v>
      </c>
      <c r="AH5" s="597" t="n">
        <f aca="false">AG5/0.0098</f>
        <v>0.00125307067271353</v>
      </c>
      <c r="AI5" s="108" t="n">
        <f aca="false">AH5*1000*1000/18</f>
        <v>69.6150373729739</v>
      </c>
      <c r="AJ5" s="108" t="n">
        <v>53.2</v>
      </c>
      <c r="AQ5" s="72" t="s">
        <v>2169</v>
      </c>
      <c r="AR5" s="72" t="n">
        <v>0.442</v>
      </c>
      <c r="AS5" s="72" t="n">
        <v>0.079</v>
      </c>
      <c r="AT5" s="72" t="n">
        <v>0.0158</v>
      </c>
      <c r="AU5" s="72" t="n">
        <v>1.416</v>
      </c>
      <c r="AV5" s="94" t="n">
        <v>5.36974048878811</v>
      </c>
      <c r="AW5" s="73" t="n">
        <v>0.5</v>
      </c>
      <c r="AX5" s="74" t="n">
        <v>0</v>
      </c>
      <c r="AY5" s="74" t="n">
        <v>0</v>
      </c>
      <c r="AZ5" s="74" t="n">
        <v>0</v>
      </c>
      <c r="BA5" s="75" t="n">
        <f aca="false">AS5+(AR5-AS5)/(1+(AT5*0.033*10000)^AU5)^(1-1/AU5)</f>
        <v>0.256750405817333</v>
      </c>
      <c r="BB5" s="75" t="n">
        <f aca="false">AS5+(AR5-AS5)/(1+(AT5*1.585*10000)^AU5)^(1-1/AU5)</f>
        <v>0.11547555525309</v>
      </c>
      <c r="BC5" s="75" t="n">
        <f aca="false">AS5+(AR5-AS5)/(1+(AT5*3.5*10000)^AU5)^(1-1/AU5)</f>
        <v>0.105237128033291</v>
      </c>
      <c r="BD5" s="75" t="n">
        <f aca="false">(AR5-AS5)*Soil_Depth*1000*(1-(AX5+AY5+AZ5)/3)</f>
        <v>106.8672</v>
      </c>
      <c r="BE5" s="75" t="n">
        <f aca="false">(BA5-AS5)*Soil_Depth*1000*(1-(AX5+AY5+AZ5)/3)</f>
        <v>52.3297194726229</v>
      </c>
      <c r="BF5" s="75" t="n">
        <f aca="false">(BA5-AS5)/(AR5-AS5)</f>
        <v>0.48967053944169</v>
      </c>
      <c r="BG5" s="75" t="n">
        <f aca="false">(BA5-BB5)*Soil_Depth*1000*(1-(AX5+AY5+AZ5)/3)</f>
        <v>41.5913160061131</v>
      </c>
      <c r="BH5" s="75" t="n">
        <f aca="false">(BA5-BC5)*Soil_Depth*1000*(1-(AX5+AY5+AZ5)/3)</f>
        <v>44.605508979622</v>
      </c>
      <c r="BJ5" s="0" t="n">
        <f aca="false">AR5-BA5</f>
        <v>0.185249594182667</v>
      </c>
      <c r="BK5" s="0" t="n">
        <f aca="false">AR5-BB5</f>
        <v>0.32652444474691</v>
      </c>
      <c r="BL5" s="0" t="n">
        <f aca="false">AR5-AS5</f>
        <v>0.363</v>
      </c>
      <c r="BM5" s="0" t="n">
        <f aca="false">BA5-BB5</f>
        <v>0.141274850564243</v>
      </c>
      <c r="BN5" s="0" t="n">
        <f aca="false">BA5-AS5</f>
        <v>0.177750405817333</v>
      </c>
      <c r="BO5" s="0" t="n">
        <f aca="false">BB5-AS5</f>
        <v>0.0364755552530904</v>
      </c>
      <c r="BP5" s="0" t="n">
        <f aca="false">-0.046*LN(BM5)-0.0679</f>
        <v>0.0221242075966645</v>
      </c>
      <c r="BR5" s="0" t="n">
        <f aca="false">LOG(BO5)*-0.3206+0.9205</f>
        <v>1.38152218710558</v>
      </c>
      <c r="BS5" s="0" t="n">
        <f aca="false">$BS$1/(BM5-$BU$1)+$BT$1</f>
        <v>1.42477437954854</v>
      </c>
      <c r="BZ5" s="108"/>
      <c r="CA5" s="597"/>
      <c r="CB5" s="597"/>
      <c r="CC5" s="108"/>
      <c r="CX5" s="594" t="s">
        <v>2170</v>
      </c>
      <c r="CY5" s="594" t="s">
        <v>2171</v>
      </c>
      <c r="CZ5" s="0" t="n">
        <f aca="false">DL172/100/24/3600/100/0.0098*1000*1000/18</f>
        <v>18.1615856219031</v>
      </c>
      <c r="DA5" s="0" t="n">
        <f aca="false">DL175/100/24/3600/100/0.0098*1000*1000/18</f>
        <v>18.1615856219031</v>
      </c>
      <c r="DB5" s="0" t="n">
        <f aca="false">DL178/100/24/3600/100/0.0098*1000*1000/18</f>
        <v>34.7025384227765</v>
      </c>
      <c r="DC5" s="0" t="n">
        <f aca="false">DL181/100/24/3600/100/0.0098*1000*1000/18</f>
        <v>43.455267909633</v>
      </c>
      <c r="DD5" s="0" t="n">
        <f aca="false">DL184/100/24/3600/100/0.0098*1000*1000/18</f>
        <v>22.36079617032</v>
      </c>
      <c r="DE5" s="0" t="n">
        <f aca="false">DL187/100/24/3600/100/0.0098*1000*1000/18</f>
        <v>22.36079617032</v>
      </c>
      <c r="DF5" s="0" t="n">
        <f aca="false">DL190/100/24/3600/100/0.0098*1000*1000/18</f>
        <v>22.36079617032</v>
      </c>
      <c r="DH5" s="0" t="n">
        <f aca="false">AVERAGE(CZ5:DF5)</f>
        <v>25.9376237267394</v>
      </c>
    </row>
    <row r="6" customFormat="false" ht="18.75" hidden="false" customHeight="false" outlineLevel="0" collapsed="false">
      <c r="B6" s="53" t="s">
        <v>2172</v>
      </c>
      <c r="C6" s="599" t="s">
        <v>34</v>
      </c>
      <c r="D6" s="600" t="s">
        <v>35</v>
      </c>
      <c r="E6" s="601" t="s">
        <v>36</v>
      </c>
      <c r="F6" s="600" t="s">
        <v>37</v>
      </c>
      <c r="G6" s="602" t="s">
        <v>38</v>
      </c>
      <c r="H6" s="603" t="s">
        <v>39</v>
      </c>
      <c r="I6" s="604" t="s">
        <v>466</v>
      </c>
      <c r="J6" s="605" t="s">
        <v>2173</v>
      </c>
      <c r="K6" s="606" t="s">
        <v>43</v>
      </c>
      <c r="L6" s="606" t="s">
        <v>2174</v>
      </c>
      <c r="M6" s="607" t="s">
        <v>2175</v>
      </c>
      <c r="N6" s="60" t="s">
        <v>47</v>
      </c>
      <c r="O6" s="60" t="s">
        <v>48</v>
      </c>
      <c r="P6" s="61" t="s">
        <v>49</v>
      </c>
      <c r="Q6" s="60" t="s">
        <v>50</v>
      </c>
      <c r="R6" s="61" t="s">
        <v>2176</v>
      </c>
      <c r="S6" s="0" t="n">
        <v>-1.7405</v>
      </c>
      <c r="T6" s="0" t="n">
        <f aca="false">S6+'sureau_ini.txt'!$B$10*0.01</f>
        <v>-1.7305</v>
      </c>
      <c r="U6" s="0" t="n">
        <v>0.0382</v>
      </c>
      <c r="X6" s="108" t="s">
        <v>82</v>
      </c>
      <c r="Y6" s="108" t="n">
        <v>0.43</v>
      </c>
      <c r="Z6" s="108" t="n">
        <v>0.078</v>
      </c>
      <c r="AA6" s="108" t="n">
        <v>0.036</v>
      </c>
      <c r="AB6" s="108" t="n">
        <v>1.56</v>
      </c>
      <c r="AC6" s="596" t="n">
        <f aca="false">AI6</f>
        <v>16.3769211388259</v>
      </c>
      <c r="AE6" s="108" t="n">
        <v>24.96</v>
      </c>
      <c r="AF6" s="108" t="n">
        <f aca="false">AE6/24</f>
        <v>1.04</v>
      </c>
      <c r="AG6" s="597" t="n">
        <f aca="false">AE6/24/3600/100</f>
        <v>2.88888888888889E-006</v>
      </c>
      <c r="AH6" s="597" t="n">
        <f aca="false">AG6/0.0098</f>
        <v>0.000294784580498866</v>
      </c>
      <c r="AI6" s="108" t="n">
        <f aca="false">AH6*1000*1000/18</f>
        <v>16.3769211388259</v>
      </c>
      <c r="AJ6" s="108" t="n">
        <v>12.7</v>
      </c>
      <c r="AQ6" s="72" t="s">
        <v>82</v>
      </c>
      <c r="AR6" s="94" t="n">
        <v>0.399</v>
      </c>
      <c r="AS6" s="94" t="n">
        <v>0.061</v>
      </c>
      <c r="AT6" s="94" t="n">
        <v>0.0111</v>
      </c>
      <c r="AU6" s="94" t="n">
        <v>1.472</v>
      </c>
      <c r="AV6" s="94" t="n">
        <v>7.90501385739481</v>
      </c>
      <c r="AW6" s="94" t="n">
        <v>0.5</v>
      </c>
      <c r="AX6" s="74" t="n">
        <v>0</v>
      </c>
      <c r="AY6" s="74" t="n">
        <v>0</v>
      </c>
      <c r="AZ6" s="74" t="n">
        <v>0</v>
      </c>
      <c r="BA6" s="75" t="n">
        <f aca="false">AS6+(AR6-AS6)/(1+(AT6*0.033*10000)^AU6)^(1-1/AU6)</f>
        <v>0.236216366300272</v>
      </c>
      <c r="BB6" s="75" t="n">
        <f aca="false">AS6+(AR6-AS6)/(1+(AT6*1.585*10000)^AU6)^(1-1/AU6)</f>
        <v>0.0904470292400603</v>
      </c>
      <c r="BC6" s="75" t="n">
        <f aca="false">AS6+(AR6-AS6)/(1+(AT6*3.5*10000)^AU6)^(1-1/AU6)</f>
        <v>0.0812629488944614</v>
      </c>
      <c r="BD6" s="75" t="n">
        <f aca="false">(AR6-AS6)*Soil_Depth*1000*(1-(AX6+AY6+AZ6)/3)</f>
        <v>99.5072</v>
      </c>
      <c r="BE6" s="75" t="n">
        <f aca="false">(BA6-AS6)*Soil_Depth*1000*(1-(AX6+AY6+AZ6)/3)</f>
        <v>51.5836982388</v>
      </c>
      <c r="BF6" s="75" t="n">
        <f aca="false">(BA6-AS6)/(AR6-AS6)</f>
        <v>0.518391616272993</v>
      </c>
      <c r="BG6" s="75" t="n">
        <f aca="false">(BA6-BB6)*Soil_Depth*1000*(1-(AX6+AY6+AZ6)/3)</f>
        <v>42.9144928305262</v>
      </c>
      <c r="BH6" s="75" t="n">
        <f aca="false">(BA6-BC6)*Soil_Depth*1000*(1-(AX6+AY6+AZ6)/3)</f>
        <v>45.6182860842705</v>
      </c>
      <c r="BJ6" s="0" t="n">
        <f aca="false">AR6-BA6</f>
        <v>0.162783633699728</v>
      </c>
      <c r="BK6" s="0" t="n">
        <f aca="false">AR6-BB6</f>
        <v>0.30855297075994</v>
      </c>
      <c r="BL6" s="0" t="n">
        <f aca="false">AR6-AS6</f>
        <v>0.338</v>
      </c>
      <c r="BM6" s="0" t="n">
        <f aca="false">BA6-BB6</f>
        <v>0.145769337060211</v>
      </c>
      <c r="BN6" s="0" t="n">
        <f aca="false">BA6-AS6</f>
        <v>0.175216366300272</v>
      </c>
      <c r="BO6" s="0" t="n">
        <f aca="false">BB6-AS6</f>
        <v>0.0294470292400603</v>
      </c>
      <c r="BP6" s="0" t="n">
        <f aca="false">-0.046*LN(BM6)-0.0679</f>
        <v>0.0206835703287051</v>
      </c>
      <c r="BR6" s="0" t="n">
        <f aca="false">LOG(BO6)*-0.3206+0.9205</f>
        <v>1.41132529907948</v>
      </c>
      <c r="BS6" s="0" t="n">
        <f aca="false">$BS$1/(BM6-$BU$1)+$BT$1</f>
        <v>1.42119717003525</v>
      </c>
      <c r="BZ6" s="108"/>
      <c r="CA6" s="597"/>
      <c r="CB6" s="597"/>
      <c r="CC6" s="108"/>
      <c r="CW6" s="594" t="s">
        <v>2177</v>
      </c>
      <c r="CX6" s="594" t="s">
        <v>2178</v>
      </c>
      <c r="CY6" s="594" t="s">
        <v>2153</v>
      </c>
      <c r="CZ6" s="0" t="n">
        <f aca="false">DL25/10000</f>
        <v>0</v>
      </c>
      <c r="DA6" s="0" t="n">
        <f aca="false">DL46/10000</f>
        <v>0</v>
      </c>
      <c r="DB6" s="0" t="n">
        <f aca="false">DL67/10000</f>
        <v>0</v>
      </c>
      <c r="DC6" s="0" t="n">
        <f aca="false">DL88/10000</f>
        <v>0</v>
      </c>
      <c r="DD6" s="0" t="n">
        <f aca="false">DL109/10000</f>
        <v>0</v>
      </c>
      <c r="DE6" s="0" t="n">
        <f aca="false">DL130/10000</f>
        <v>0</v>
      </c>
      <c r="DF6" s="0" t="n">
        <f aca="false">DL151/10000</f>
        <v>0</v>
      </c>
      <c r="DL6" s="0" t="s">
        <v>2164</v>
      </c>
      <c r="DN6" s="0" t="s">
        <v>2164</v>
      </c>
    </row>
    <row r="7" customFormat="false" ht="15.75" hidden="false" customHeight="false" outlineLevel="0" collapsed="false">
      <c r="B7" s="0" t="n">
        <v>0.24</v>
      </c>
      <c r="C7" s="162" t="n">
        <v>0.548</v>
      </c>
      <c r="D7" s="163" t="n">
        <v>0.079</v>
      </c>
      <c r="E7" s="163" t="n">
        <v>0.324</v>
      </c>
      <c r="F7" s="163" t="n">
        <v>2.186</v>
      </c>
      <c r="G7" s="164" t="n">
        <v>6900</v>
      </c>
      <c r="H7" s="608" t="n">
        <v>0.5</v>
      </c>
      <c r="I7" s="72" t="n">
        <f aca="false">1-1/F7</f>
        <v>0.542543458371455</v>
      </c>
      <c r="J7" s="609" t="n">
        <f aca="false">B7</f>
        <v>0.24</v>
      </c>
      <c r="K7" s="610" t="n">
        <f aca="false">D7+(C7-D7)/(1+(E7*0.033*10000)^F7)^(1-1/F7)</f>
        <v>0.0808395020851052</v>
      </c>
      <c r="L7" s="610" t="n">
        <f aca="false">D7+(C7-D7)/(1+(E7*1.5*10000)^F7)^(1-1/F7)</f>
        <v>0.0790198985864084</v>
      </c>
      <c r="M7" s="610" t="n">
        <f aca="false">D7+(C7-D7)/(1+(E7*9*10000)^F7)^(1-1/F7)</f>
        <v>0.0790023764837246</v>
      </c>
      <c r="N7" s="611" t="n">
        <f aca="false">(C7-D7)*B7*1000</f>
        <v>112.56</v>
      </c>
      <c r="O7" s="611" t="n">
        <f aca="false">(K7-D7)*B7*1000</f>
        <v>0.441480500425236</v>
      </c>
      <c r="P7" s="75" t="n">
        <f aca="false">(K7-D7)/(C7-D7)</f>
        <v>0.00392217928593849</v>
      </c>
      <c r="Q7" s="612" t="n">
        <f aca="false">(K7-L7)*B7*1000</f>
        <v>0.436704839687214</v>
      </c>
      <c r="R7" s="612" t="n">
        <f aca="false">(K7-M7)*B7*1000</f>
        <v>0.440910144331322</v>
      </c>
      <c r="S7" s="0" t="n">
        <v>-1.7081</v>
      </c>
      <c r="T7" s="0" t="n">
        <f aca="false">S7+'sureau_ini.txt'!$B$10*0.01</f>
        <v>-1.6981</v>
      </c>
      <c r="U7" s="0" t="n">
        <v>0.1519</v>
      </c>
      <c r="X7" s="108" t="s">
        <v>176</v>
      </c>
      <c r="Y7" s="108" t="n">
        <v>0.46</v>
      </c>
      <c r="Z7" s="108" t="n">
        <v>0.034</v>
      </c>
      <c r="AA7" s="108" t="n">
        <v>0.016</v>
      </c>
      <c r="AB7" s="108" t="n">
        <v>1.37</v>
      </c>
      <c r="AC7" s="596" t="n">
        <f aca="false">AI7</f>
        <v>3.93675988914084</v>
      </c>
      <c r="AE7" s="108" t="n">
        <v>6</v>
      </c>
      <c r="AF7" s="108" t="n">
        <f aca="false">AE7/24</f>
        <v>0.25</v>
      </c>
      <c r="AG7" s="597" t="n">
        <f aca="false">AE7/24/3600/100</f>
        <v>6.94444444444445E-007</v>
      </c>
      <c r="AH7" s="597" t="n">
        <f aca="false">AG7/0.0098</f>
        <v>7.08616780045352E-005</v>
      </c>
      <c r="AI7" s="108" t="n">
        <f aca="false">AH7*1000*1000/18</f>
        <v>3.93675988914084</v>
      </c>
      <c r="AQ7" s="72" t="s">
        <v>93</v>
      </c>
      <c r="AR7" s="94" t="n">
        <v>0.39</v>
      </c>
      <c r="AS7" s="94" t="n">
        <v>0.049</v>
      </c>
      <c r="AT7" s="94" t="n">
        <v>0.0348</v>
      </c>
      <c r="AU7" s="94" t="n">
        <v>1.746</v>
      </c>
      <c r="AV7" s="94" t="n">
        <v>69.0192743764172</v>
      </c>
      <c r="AW7" s="94" t="n">
        <v>0.5</v>
      </c>
      <c r="AX7" s="74" t="n">
        <v>0</v>
      </c>
      <c r="AY7" s="74" t="n">
        <v>0</v>
      </c>
      <c r="AZ7" s="74" t="n">
        <v>0</v>
      </c>
      <c r="BA7" s="75" t="n">
        <f aca="false">AS7+(AR7-AS7)/(1+(AT7*0.033*10000)^AU7)^(1-1/AU7)</f>
        <v>0.103869072232607</v>
      </c>
      <c r="BB7" s="75" t="n">
        <f aca="false">AS7+(AR7-AS7)/(1+(AT7*1.585*10000)^AU7)^(1-1/AU7)</f>
        <v>0.0520726380113577</v>
      </c>
      <c r="BC7" s="75" t="n">
        <f aca="false">AS7+(AR7-AS7)/(1+(AT7*3.5*10000)^AU7)^(1-1/AU7)</f>
        <v>0.0507016127918344</v>
      </c>
      <c r="BD7" s="75" t="n">
        <f aca="false">(AR7-AS7)*Soil_Depth*1000*(1-(AX7+AY7+AZ7)/3)</f>
        <v>100.3904</v>
      </c>
      <c r="BE7" s="75" t="n">
        <f aca="false">(BA7-AS7)*Soil_Depth*1000*(1-(AX7+AY7+AZ7)/3)</f>
        <v>16.1534548652794</v>
      </c>
      <c r="BF7" s="75" t="n">
        <f aca="false">(BA7-AS7)/(AR7-AS7)</f>
        <v>0.160906370183597</v>
      </c>
      <c r="BG7" s="75" t="n">
        <f aca="false">(BA7-BB7)*Soil_Depth*1000*(1-(AX7+AY7+AZ7)/3)</f>
        <v>15.2488702347357</v>
      </c>
      <c r="BH7" s="75" t="n">
        <f aca="false">(BA7-BC7)*Soil_Depth*1000*(1-(AX7+AY7+AZ7)/3)</f>
        <v>15.6525000593633</v>
      </c>
      <c r="BJ7" s="0" t="n">
        <f aca="false">AR7-BA7</f>
        <v>0.286130927767393</v>
      </c>
      <c r="BK7" s="0" t="n">
        <f aca="false">AR7-BB7</f>
        <v>0.337927361988642</v>
      </c>
      <c r="BL7" s="0" t="n">
        <f aca="false">AR7-AS7</f>
        <v>0.341</v>
      </c>
      <c r="BM7" s="0" t="n">
        <f aca="false">BA7-BB7</f>
        <v>0.0517964342212488</v>
      </c>
      <c r="BN7" s="0" t="n">
        <f aca="false">BA7-AS7</f>
        <v>0.0548690722326066</v>
      </c>
      <c r="BO7" s="0" t="n">
        <f aca="false">BB7-AS7</f>
        <v>0.00307263801135774</v>
      </c>
      <c r="BP7" s="0" t="n">
        <f aca="false">-0.046*LN(BM7)-0.0679</f>
        <v>0.0682799625976317</v>
      </c>
      <c r="BR7" s="0" t="n">
        <f aca="false">LOG(BO7)*-0.3206+0.9205</f>
        <v>1.72600384552119</v>
      </c>
      <c r="BS7" s="0" t="n">
        <f aca="false">$BS$1/(BM7-$BU$1)+$BT$1</f>
        <v>1.60256495031323</v>
      </c>
      <c r="BZ7" s="108"/>
      <c r="CA7" s="597"/>
      <c r="CB7" s="597"/>
      <c r="CC7" s="108"/>
      <c r="CX7" s="594" t="s">
        <v>2179</v>
      </c>
      <c r="CY7" s="594" t="s">
        <v>2153</v>
      </c>
      <c r="CZ7" s="0" t="n">
        <f aca="false">DL28/10000</f>
        <v>0.4912</v>
      </c>
      <c r="DA7" s="0" t="n">
        <f aca="false">DL49/10000</f>
        <v>0.4912</v>
      </c>
      <c r="DB7" s="0" t="n">
        <f aca="false">DL70/10000</f>
        <v>0.4912</v>
      </c>
      <c r="DC7" s="0" t="n">
        <f aca="false">DL91/10000</f>
        <v>0.4912</v>
      </c>
      <c r="DD7" s="0" t="n">
        <f aca="false">DL112/10000</f>
        <v>0.4322</v>
      </c>
      <c r="DE7" s="0" t="n">
        <f aca="false">DL133/10000</f>
        <v>0.3839</v>
      </c>
      <c r="DF7" s="0" t="n">
        <f aca="false">DL154/10000</f>
        <v>0.4322</v>
      </c>
      <c r="DH7" s="0" t="n">
        <f aca="false">AVERAGE(CZ7:DF7)</f>
        <v>0.459014285714286</v>
      </c>
      <c r="DL7" s="0" t="n">
        <v>31</v>
      </c>
      <c r="DN7" s="0" t="n">
        <v>42.81673</v>
      </c>
    </row>
    <row r="8" customFormat="false" ht="15.75" hidden="false" customHeight="false" outlineLevel="0" collapsed="false">
      <c r="S8" s="0" t="n">
        <v>-1.6901</v>
      </c>
      <c r="T8" s="0" t="n">
        <f aca="false">S8+'sureau_ini.txt'!$B$10*0.01</f>
        <v>-1.6801</v>
      </c>
      <c r="U8" s="0" t="n">
        <v>0.1111</v>
      </c>
      <c r="X8" s="108" t="s">
        <v>188</v>
      </c>
      <c r="Y8" s="108" t="n">
        <v>0.45</v>
      </c>
      <c r="Z8" s="108" t="n">
        <v>0.067</v>
      </c>
      <c r="AA8" s="108" t="n">
        <v>0.02</v>
      </c>
      <c r="AB8" s="108" t="n">
        <v>1.41</v>
      </c>
      <c r="AC8" s="596" t="n">
        <f aca="false">AI8</f>
        <v>7.08616780045352</v>
      </c>
      <c r="AE8" s="108" t="n">
        <v>10.8</v>
      </c>
      <c r="AF8" s="108" t="n">
        <f aca="false">AE8/24</f>
        <v>0.45</v>
      </c>
      <c r="AG8" s="597" t="n">
        <f aca="false">AE8/24/3600/100</f>
        <v>1.25E-006</v>
      </c>
      <c r="AH8" s="597" t="n">
        <f aca="false">AG8/0.0098</f>
        <v>0.000127551020408163</v>
      </c>
      <c r="AI8" s="108" t="n">
        <f aca="false">AH8*1000*1000/18</f>
        <v>7.08616780045352</v>
      </c>
      <c r="AJ8" s="108" t="n">
        <v>12.1</v>
      </c>
      <c r="AQ8" s="72" t="s">
        <v>56</v>
      </c>
      <c r="AR8" s="73" t="n">
        <v>0.375</v>
      </c>
      <c r="AS8" s="73" t="n">
        <v>0.053</v>
      </c>
      <c r="AT8" s="73" t="n">
        <v>0.0352</v>
      </c>
      <c r="AU8" s="73" t="n">
        <v>3.177</v>
      </c>
      <c r="AV8" s="73" t="n">
        <v>421.68997228521</v>
      </c>
      <c r="AW8" s="73" t="n">
        <v>0.5</v>
      </c>
      <c r="AX8" s="74" t="n">
        <v>0</v>
      </c>
      <c r="AY8" s="74" t="n">
        <v>0</v>
      </c>
      <c r="AZ8" s="74" t="n">
        <v>0</v>
      </c>
      <c r="BA8" s="75" t="n">
        <f aca="false">AS8+(AR8-AS8)/(1+(AT8*0.033*10000)^AU8)^(1-1/AU8)</f>
        <v>0.0545456268784828</v>
      </c>
      <c r="BB8" s="75" t="n">
        <f aca="false">AS8+(AR8-AS8)/(1+(AT8*1.585*10000)^AU8)^(1-1/AU8)</f>
        <v>0.0530003377293308</v>
      </c>
      <c r="BC8" s="75" t="n">
        <f aca="false">AS8+(AR8-AS8)/(1+(AT8*3.5*10000)^AU8)^(1-1/AU8)</f>
        <v>0.0530000601999819</v>
      </c>
      <c r="BD8" s="75" t="n">
        <f aca="false">(AR8-AS8)*Soil_Depth*1000*(1-(AX8+AY8+AZ8)/3)</f>
        <v>94.7968</v>
      </c>
      <c r="BE8" s="75" t="n">
        <f aca="false">(BA8-AS8)*Soil_Depth*1000*(1-(AX8+AY8+AZ8)/3)</f>
        <v>0.455032553025327</v>
      </c>
      <c r="BF8" s="75" t="n">
        <f aca="false">(BA8-AS8)/(AR8-AS8)</f>
        <v>0.00480008347354897</v>
      </c>
      <c r="BG8" s="75" t="n">
        <f aca="false">(BA8-BB8)*Soil_Depth*1000*(1-(AX8+AY8+AZ8)/3)</f>
        <v>0.454933125510343</v>
      </c>
      <c r="BH8" s="75" t="n">
        <f aca="false">(BA8-BC8)*Soil_Depth*1000*(1-(AX8+AY8+AZ8)/3)</f>
        <v>0.455014830150655</v>
      </c>
      <c r="BJ8" s="0" t="n">
        <f aca="false">AR8-BA8</f>
        <v>0.320454373121517</v>
      </c>
      <c r="BK8" s="0" t="n">
        <f aca="false">AR8-BB8</f>
        <v>0.321999662270669</v>
      </c>
      <c r="BL8" s="0" t="n">
        <f aca="false">AR8-AS8</f>
        <v>0.322</v>
      </c>
      <c r="BM8" s="0" t="n">
        <f aca="false">BA8-BB8</f>
        <v>0.00154528914915198</v>
      </c>
      <c r="BN8" s="0" t="n">
        <f aca="false">BA8-AS8</f>
        <v>0.00154562687848277</v>
      </c>
      <c r="BO8" s="0" t="n">
        <f aca="false">BB8-AS8</f>
        <v>3.37729330786296E-007</v>
      </c>
      <c r="BP8" s="0" t="n">
        <f aca="false">-0.046*LN(BM8)-0.0679</f>
        <v>0.229837034791067</v>
      </c>
      <c r="BR8" s="0" t="n">
        <f aca="false">LOG(BO8)*-0.3206+0.9205</f>
        <v>2.99524084930662</v>
      </c>
      <c r="BS8" s="0" t="n">
        <f aca="false">$BS$1/(BM8-$BU$1)+$BT$1</f>
        <v>2.81451272060033</v>
      </c>
      <c r="BZ8" s="108"/>
      <c r="CA8" s="597"/>
      <c r="CB8" s="597"/>
      <c r="CC8" s="108"/>
      <c r="CX8" s="594" t="s">
        <v>2127</v>
      </c>
      <c r="CY8" s="594" t="s">
        <v>2180</v>
      </c>
      <c r="CZ8" s="0" t="n">
        <f aca="false">DL31/10000</f>
        <v>0.0347</v>
      </c>
      <c r="DA8" s="0" t="n">
        <f aca="false">DL52/10000</f>
        <v>0.0347</v>
      </c>
      <c r="DB8" s="0" t="n">
        <f aca="false">DL73/10000</f>
        <v>0.0347</v>
      </c>
      <c r="DC8" s="0" t="n">
        <f aca="false">DL94/10000</f>
        <v>0.0347</v>
      </c>
      <c r="DD8" s="0" t="n">
        <f aca="false">DL115/10000</f>
        <v>0.0336</v>
      </c>
      <c r="DE8" s="0" t="n">
        <f aca="false">DL136/10000</f>
        <v>0.0717</v>
      </c>
      <c r="DF8" s="0" t="n">
        <f aca="false">DL157/10000</f>
        <v>0.0336</v>
      </c>
      <c r="DH8" s="0" t="n">
        <f aca="false">AVERAGE(CZ8:DF8)</f>
        <v>0.0396714285714286</v>
      </c>
    </row>
    <row r="9" customFormat="false" ht="18.75" hidden="false" customHeight="false" outlineLevel="0" collapsed="false">
      <c r="B9" s="613" t="s">
        <v>2181</v>
      </c>
      <c r="C9" s="613" t="s">
        <v>2182</v>
      </c>
      <c r="D9" s="613" t="s">
        <v>2183</v>
      </c>
      <c r="E9" s="613" t="s">
        <v>2184</v>
      </c>
      <c r="F9" s="613" t="s">
        <v>2185</v>
      </c>
      <c r="G9" s="614" t="s">
        <v>2186</v>
      </c>
      <c r="J9" s="615" t="s">
        <v>2187</v>
      </c>
      <c r="K9" s="616"/>
      <c r="S9" s="0" t="n">
        <v>-1.6396</v>
      </c>
      <c r="T9" s="0" t="n">
        <f aca="false">S9+'sureau_ini.txt'!$B$10*0.01</f>
        <v>-1.6296</v>
      </c>
      <c r="U9" s="0" t="n">
        <v>0.0799</v>
      </c>
      <c r="X9" s="108" t="s">
        <v>196</v>
      </c>
      <c r="Y9" s="108" t="n">
        <v>0.39</v>
      </c>
      <c r="Z9" s="108" t="n">
        <v>0.1</v>
      </c>
      <c r="AA9" s="108" t="n">
        <v>0.059</v>
      </c>
      <c r="AB9" s="108" t="n">
        <v>1.48</v>
      </c>
      <c r="AC9" s="596" t="n">
        <f aca="false">AI9</f>
        <v>20.628621819098</v>
      </c>
      <c r="AE9" s="108" t="n">
        <v>31.44</v>
      </c>
      <c r="AF9" s="108" t="n">
        <f aca="false">AE9/24</f>
        <v>1.31</v>
      </c>
      <c r="AG9" s="597" t="n">
        <f aca="false">AE9/24/3600/100</f>
        <v>3.63888888888889E-006</v>
      </c>
      <c r="AH9" s="597" t="n">
        <f aca="false">AG9/0.0098</f>
        <v>0.000371315192743764</v>
      </c>
      <c r="AI9" s="108" t="n">
        <f aca="false">AH9*1000*1000/18</f>
        <v>20.628621819098</v>
      </c>
      <c r="AQ9" s="72" t="s">
        <v>2188</v>
      </c>
      <c r="AR9" s="72" t="n">
        <v>0.385</v>
      </c>
      <c r="AS9" s="72" t="n">
        <v>0.117</v>
      </c>
      <c r="AT9" s="72" t="n">
        <v>0.0334</v>
      </c>
      <c r="AU9" s="72" t="n">
        <v>1.208</v>
      </c>
      <c r="AV9" s="72" t="n">
        <v>7.44834971025447</v>
      </c>
      <c r="AW9" s="73" t="n">
        <v>0.5</v>
      </c>
      <c r="AX9" s="74" t="n">
        <v>0</v>
      </c>
      <c r="AY9" s="74" t="n">
        <v>0</v>
      </c>
      <c r="AZ9" s="74" t="n">
        <v>0</v>
      </c>
      <c r="BA9" s="75" t="n">
        <f aca="false">AS9+(AR9-AS9)/(1+(AT9*0.033*10000)^AU9)^(1-1/AU9)</f>
        <v>0.278189082935367</v>
      </c>
      <c r="BB9" s="75" t="n">
        <f aca="false">AS9+(AR9-AS9)/(1+(AT9*1.585*10000)^AU9)^(1-1/AU9)</f>
        <v>0.189702798518004</v>
      </c>
      <c r="BC9" s="75" t="n">
        <f aca="false">AS9+(AR9-AS9)/(1+(AT9*3.5*10000)^AU9)^(1-1/AU9)</f>
        <v>0.178661581415465</v>
      </c>
      <c r="BD9" s="75" t="n">
        <f aca="false">(AR9-AS9)*Soil_Depth*1000*(1-(AX9+AY9+AZ9)/3)</f>
        <v>78.8992</v>
      </c>
      <c r="BE9" s="75" t="n">
        <f aca="false">(BA9-AS9)*Soil_Depth*1000*(1-(AX9+AY9+AZ9)/3)</f>
        <v>47.454066016172</v>
      </c>
      <c r="BF9" s="75" t="n">
        <f aca="false">(BA9-AS9)/(AR9-AS9)</f>
        <v>0.601451801997638</v>
      </c>
      <c r="BG9" s="75" t="n">
        <f aca="false">(BA9-BB9)*Soil_Depth*1000*(1-(AX9+AY9+AZ9)/3)</f>
        <v>26.0503621324716</v>
      </c>
      <c r="BH9" s="75" t="n">
        <f aca="false">(BA9-BC9)*Soil_Depth*1000*(1-(AX9+AY9+AZ9)/3)</f>
        <v>29.3008964474592</v>
      </c>
      <c r="BJ9" s="0" t="n">
        <f aca="false">AR9-BA9</f>
        <v>0.106810917064633</v>
      </c>
      <c r="BK9" s="0" t="n">
        <f aca="false">AR9-BB9</f>
        <v>0.195297201481996</v>
      </c>
      <c r="BL9" s="0" t="n">
        <f aca="false">AR9-AS9</f>
        <v>0.268</v>
      </c>
      <c r="BM9" s="0" t="n">
        <f aca="false">BA9-BB9</f>
        <v>0.0884862844173628</v>
      </c>
      <c r="BN9" s="0" t="n">
        <f aca="false">BA9-AS9</f>
        <v>0.161189082935367</v>
      </c>
      <c r="BO9" s="0" t="n">
        <f aca="false">BB9-AS9</f>
        <v>0.0727027985180042</v>
      </c>
      <c r="BP9" s="0" t="n">
        <f aca="false">-0.046*LN(BM9)-0.0679</f>
        <v>0.0436457549964219</v>
      </c>
      <c r="BR9" s="0" t="n">
        <f aca="false">LOG(BO9)*-0.3206+0.9205</f>
        <v>1.28548670826889</v>
      </c>
      <c r="BS9" s="0" t="n">
        <f aca="false">$BS$1/(BM9-$BU$1)+$BT$1</f>
        <v>1.49098109966889</v>
      </c>
      <c r="BZ9" s="108"/>
      <c r="CA9" s="597"/>
      <c r="CB9" s="597"/>
      <c r="CC9" s="108"/>
      <c r="CX9" s="594" t="s">
        <v>2128</v>
      </c>
      <c r="CY9" s="594"/>
      <c r="CZ9" s="0" t="n">
        <f aca="false">DL34/10000</f>
        <v>1.1931</v>
      </c>
      <c r="DA9" s="0" t="n">
        <f aca="false">DL55/10000</f>
        <v>1.1931</v>
      </c>
      <c r="DB9" s="0" t="n">
        <f aca="false">DL76/10000</f>
        <v>1.1931</v>
      </c>
      <c r="DC9" s="0" t="n">
        <f aca="false">DL97/10000</f>
        <v>1.1931</v>
      </c>
      <c r="DD9" s="0" t="n">
        <f aca="false">DL118/10000</f>
        <v>1.1701</v>
      </c>
      <c r="DE9" s="0" t="n">
        <f aca="false">DL139/10000</f>
        <v>1.1206</v>
      </c>
      <c r="DF9" s="0" t="n">
        <f aca="false">DL160/10000</f>
        <v>1.1701</v>
      </c>
      <c r="DH9" s="0" t="n">
        <f aca="false">AVERAGE(CZ9:DF9)</f>
        <v>1.17617142857143</v>
      </c>
      <c r="DL9" s="0" t="s">
        <v>2164</v>
      </c>
      <c r="DN9" s="0" t="s">
        <v>2164</v>
      </c>
    </row>
    <row r="10" customFormat="false" ht="18" hidden="false" customHeight="false" outlineLevel="0" collapsed="false">
      <c r="A10" s="0" t="n">
        <f aca="false">C10*-1000</f>
        <v>0.1</v>
      </c>
      <c r="B10" s="0" t="n">
        <v>1</v>
      </c>
      <c r="C10" s="0" t="n">
        <v>-0.0001</v>
      </c>
      <c r="D10" s="0" t="n">
        <v>1</v>
      </c>
      <c r="E10" s="0" t="n">
        <f aca="false">$D$7+B10*($C$7-$D$7)</f>
        <v>0.548</v>
      </c>
      <c r="F10" s="0" t="n">
        <f aca="false">LOG(-C10*10000)</f>
        <v>0</v>
      </c>
      <c r="G10" s="0" t="n">
        <f aca="false">(E10-$D$7)*1000*$J$7</f>
        <v>112.56</v>
      </c>
      <c r="I10" s="0" t="s">
        <v>2189</v>
      </c>
      <c r="J10" s="617" t="s">
        <v>2190</v>
      </c>
      <c r="K10" s="617" t="s">
        <v>2191</v>
      </c>
      <c r="S10" s="0" t="n">
        <v>-1.6143</v>
      </c>
      <c r="T10" s="0" t="n">
        <f aca="false">S10+'sureau_ini.txt'!$B$10*0.01</f>
        <v>-1.6043</v>
      </c>
      <c r="U10" s="0" t="n">
        <v>0.0588</v>
      </c>
      <c r="X10" s="108" t="s">
        <v>202</v>
      </c>
      <c r="Y10" s="108" t="n">
        <v>0.41</v>
      </c>
      <c r="Z10" s="108" t="n">
        <v>0.095</v>
      </c>
      <c r="AA10" s="108" t="n">
        <v>0.019</v>
      </c>
      <c r="AB10" s="108" t="n">
        <v>1.31</v>
      </c>
      <c r="AC10" s="596" t="n">
        <f aca="false">AI10</f>
        <v>4.09423028470648</v>
      </c>
      <c r="AE10" s="108" t="n">
        <v>6.24</v>
      </c>
      <c r="AF10" s="108" t="n">
        <f aca="false">AE10/24</f>
        <v>0.26</v>
      </c>
      <c r="AG10" s="597" t="n">
        <f aca="false">AE10/24/3600/100</f>
        <v>7.22222222222222E-007</v>
      </c>
      <c r="AH10" s="597" t="n">
        <f aca="false">AG10/0.0098</f>
        <v>7.36961451247165E-005</v>
      </c>
      <c r="AI10" s="108" t="n">
        <f aca="false">AH10*1000*1000/18</f>
        <v>4.09423028470648</v>
      </c>
      <c r="AQ10" s="72" t="s">
        <v>2192</v>
      </c>
      <c r="AR10" s="72" t="n">
        <v>0.384</v>
      </c>
      <c r="AS10" s="72" t="n">
        <v>0.063</v>
      </c>
      <c r="AT10" s="72" t="n">
        <v>0.0211</v>
      </c>
      <c r="AU10" s="72" t="n">
        <v>1.33</v>
      </c>
      <c r="AV10" s="72" t="n">
        <v>8.64512471655329</v>
      </c>
      <c r="AW10" s="73" t="n">
        <v>0.5</v>
      </c>
      <c r="AX10" s="74" t="n">
        <v>0</v>
      </c>
      <c r="AY10" s="74" t="n">
        <v>0</v>
      </c>
      <c r="AZ10" s="74" t="n">
        <v>0</v>
      </c>
      <c r="BA10" s="75" t="n">
        <f aca="false">AS10+(AR10-AS10)/(1+(AT10*0.033*10000)^AU10)^(1-1/AU10)</f>
        <v>0.229157237505958</v>
      </c>
      <c r="BB10" s="75" t="n">
        <f aca="false">AS10+(AR10-AS10)/(1+(AT10*1.585*10000)^AU10)^(1-1/AU10)</f>
        <v>0.110144913935098</v>
      </c>
      <c r="BC10" s="75" t="n">
        <f aca="false">AS10+(AR10-AS10)/(1+(AT10*3.5*10000)^AU10)^(1-1/AU10)</f>
        <v>0.0993021934400674</v>
      </c>
      <c r="BD10" s="75" t="n">
        <f aca="false">(AR10-AS10)*Soil_Depth*1000*(1-(AX10+AY10+AZ10)/3)</f>
        <v>94.5024</v>
      </c>
      <c r="BE10" s="75" t="n">
        <f aca="false">(BA10-AS10)*Soil_Depth*1000*(1-(AX10+AY10+AZ10)/3)</f>
        <v>48.916690721754</v>
      </c>
      <c r="BF10" s="75" t="n">
        <f aca="false">(BA10-AS10)/(AR10-AS10)</f>
        <v>0.517623792853452</v>
      </c>
      <c r="BG10" s="75" t="n">
        <f aca="false">(BA10-BB10)*Soil_Depth*1000*(1-(AX10+AY10+AZ10)/3)</f>
        <v>35.0372280592611</v>
      </c>
      <c r="BH10" s="75" t="n">
        <f aca="false">(BA10-BC10)*Soil_Depth*1000*(1-(AX10+AY10+AZ10)/3)</f>
        <v>38.2293249729982</v>
      </c>
      <c r="BJ10" s="0" t="n">
        <f aca="false">AR10-BA10</f>
        <v>0.154842762494042</v>
      </c>
      <c r="BK10" s="0" t="n">
        <f aca="false">AR10-BB10</f>
        <v>0.273855086064902</v>
      </c>
      <c r="BL10" s="0" t="n">
        <f aca="false">AR10-AS10</f>
        <v>0.321</v>
      </c>
      <c r="BM10" s="0" t="n">
        <f aca="false">BA10-BB10</f>
        <v>0.11901232357086</v>
      </c>
      <c r="BN10" s="0" t="n">
        <f aca="false">BA10-AS10</f>
        <v>0.166157237505958</v>
      </c>
      <c r="BO10" s="0" t="n">
        <f aca="false">BB10-AS10</f>
        <v>0.0471449139350983</v>
      </c>
      <c r="BP10" s="0" t="n">
        <f aca="false">-0.046*LN(BM10)-0.0679</f>
        <v>0.0300122986634221</v>
      </c>
      <c r="BR10" s="0" t="n">
        <f aca="false">LOG(BO10)*-0.3206+0.9205</f>
        <v>1.34579678797093</v>
      </c>
      <c r="BS10" s="0" t="n">
        <f aca="false">$BS$1/(BM10-$BU$1)+$BT$1</f>
        <v>1.44613999256497</v>
      </c>
      <c r="BZ10" s="108"/>
      <c r="CA10" s="597"/>
      <c r="CB10" s="597"/>
      <c r="CC10" s="108"/>
      <c r="CX10" s="594" t="s">
        <v>466</v>
      </c>
      <c r="CY10" s="594"/>
      <c r="CZ10" s="0" t="n">
        <f aca="false">DL37/10000</f>
        <v>0.1618</v>
      </c>
      <c r="DA10" s="0" t="n">
        <f aca="false">DL58/10000</f>
        <v>0.1618</v>
      </c>
      <c r="DB10" s="0" t="n">
        <f aca="false">DL79/10000</f>
        <v>0.1618</v>
      </c>
      <c r="DC10" s="0" t="n">
        <f aca="false">DL100/10000</f>
        <v>0.1618</v>
      </c>
      <c r="DD10" s="0" t="n">
        <f aca="false">DL121/10000</f>
        <v>0.1454</v>
      </c>
      <c r="DE10" s="0" t="n">
        <f aca="false">DL142/10000</f>
        <v>0.1076</v>
      </c>
      <c r="DF10" s="0" t="n">
        <f aca="false">DL163/10000</f>
        <v>0.1454</v>
      </c>
      <c r="DH10" s="0" t="n">
        <f aca="false">AVERAGE(CZ10:DF10)</f>
        <v>0.149371428571429</v>
      </c>
      <c r="DL10" s="0" t="n">
        <v>31</v>
      </c>
      <c r="DN10" s="0" t="n">
        <v>70</v>
      </c>
    </row>
    <row r="11" customFormat="false" ht="15.75" hidden="false" customHeight="false" outlineLevel="0" collapsed="false">
      <c r="A11" s="0" t="n">
        <f aca="false">C11*-1000</f>
        <v>0.000734853358367702</v>
      </c>
      <c r="B11" s="0" t="n">
        <v>0.999999</v>
      </c>
      <c r="C11" s="0" t="n">
        <f aca="false">-((B11^(-1/$I$7)-1)^(1/$F$7))/$E$7/10000</f>
        <v>-7.34853358367702E-007</v>
      </c>
      <c r="D11" s="0" t="n">
        <f aca="false">$G$7*B11^$H$7*(1-(1-B11^(1/$I$7))^$I$7)^2</f>
        <v>6889.31754739616</v>
      </c>
      <c r="E11" s="0" t="n">
        <f aca="false">$D$7+B11*($C$7-$D$7)</f>
        <v>0.547999531</v>
      </c>
      <c r="F11" s="0" t="n">
        <f aca="false">LOG(-C11*10000)</f>
        <v>-2.13379931670575</v>
      </c>
      <c r="G11" s="0" t="n">
        <f aca="false">(E11-$D$7)*1000*$J$7</f>
        <v>112.55988744</v>
      </c>
      <c r="H11" s="0" t="s">
        <v>2193</v>
      </c>
      <c r="I11" s="0" t="n">
        <v>0</v>
      </c>
      <c r="J11" s="72" t="n">
        <v>0</v>
      </c>
      <c r="K11" s="72" t="n">
        <f aca="false">C7</f>
        <v>0.548</v>
      </c>
      <c r="S11" s="0" t="n">
        <v>-1.5099</v>
      </c>
      <c r="T11" s="0" t="n">
        <f aca="false">S11+'sureau_ini.txt'!$B$10*0.01</f>
        <v>-1.4999</v>
      </c>
      <c r="U11" s="0" t="n">
        <v>0.0401</v>
      </c>
      <c r="X11" s="108" t="s">
        <v>210</v>
      </c>
      <c r="Y11" s="108" t="n">
        <v>0.43</v>
      </c>
      <c r="Z11" s="108" t="n">
        <v>0.089</v>
      </c>
      <c r="AA11" s="108" t="n">
        <v>0.01</v>
      </c>
      <c r="AB11" s="108" t="n">
        <v>1.23</v>
      </c>
      <c r="AC11" s="596" t="n">
        <f aca="false">AI11</f>
        <v>1.10229276895944</v>
      </c>
      <c r="AE11" s="108" t="n">
        <v>1.68</v>
      </c>
      <c r="AF11" s="108" t="n">
        <f aca="false">AE11/24</f>
        <v>0.07</v>
      </c>
      <c r="AG11" s="597" t="n">
        <f aca="false">AE11/24/3600/100</f>
        <v>1.94444444444444E-007</v>
      </c>
      <c r="AH11" s="597" t="n">
        <f aca="false">AG11/0.0098</f>
        <v>1.98412698412698E-005</v>
      </c>
      <c r="AI11" s="108" t="n">
        <f aca="false">AH11*1000*1000/18</f>
        <v>1.10229276895944</v>
      </c>
      <c r="AQ11" s="72" t="s">
        <v>2194</v>
      </c>
      <c r="AR11" s="72" t="n">
        <v>0.387</v>
      </c>
      <c r="AS11" s="72" t="n">
        <v>0.039</v>
      </c>
      <c r="AT11" s="72" t="n">
        <v>0.0267</v>
      </c>
      <c r="AU11" s="72" t="n">
        <v>1.449</v>
      </c>
      <c r="AV11" s="72" t="n">
        <v>25.1165280927186</v>
      </c>
      <c r="AW11" s="73" t="n">
        <v>0.5</v>
      </c>
      <c r="AX11" s="74" t="n">
        <v>0</v>
      </c>
      <c r="AY11" s="74" t="n">
        <v>0</v>
      </c>
      <c r="AZ11" s="74" t="n">
        <v>0</v>
      </c>
      <c r="BA11" s="75" t="n">
        <f aca="false">AS11+(AR11-AS11)/(1+(AT11*0.033*10000)^AU11)^(1-1/AU11)</f>
        <v>0.168310257600899</v>
      </c>
      <c r="BB11" s="75" t="n">
        <f aca="false">AS11+(AR11-AS11)/(1+(AT11*1.585*10000)^AU11)^(1-1/AU11)</f>
        <v>0.0620272197607823</v>
      </c>
      <c r="BC11" s="75" t="n">
        <f aca="false">AS11+(AR11-AS11)/(1+(AT11*3.5*10000)^AU11)^(1-1/AU11)</f>
        <v>0.0551355011513449</v>
      </c>
      <c r="BD11" s="75" t="n">
        <f aca="false">(AR11-AS11)*Soil_Depth*1000*(1-(AX11+AY11+AZ11)/3)</f>
        <v>102.4512</v>
      </c>
      <c r="BE11" s="75" t="n">
        <f aca="false">(BA11-AS11)*Soil_Depth*1000*(1-(AX11+AY11+AZ11)/3)</f>
        <v>38.0689398377047</v>
      </c>
      <c r="BF11" s="75" t="n">
        <f aca="false">(BA11-AS11)/(AR11-AS11)</f>
        <v>0.371581200002584</v>
      </c>
      <c r="BG11" s="75" t="n">
        <f aca="false">(BA11-BB11)*Soil_Depth*1000*(1-(AX11+AY11+AZ11)/3)</f>
        <v>31.2897263401304</v>
      </c>
      <c r="BH11" s="75" t="n">
        <f aca="false">(BA11-BC11)*Soil_Depth*1000*(1-(AX11+AY11+AZ11)/3)</f>
        <v>33.3186482987487</v>
      </c>
      <c r="BJ11" s="0" t="n">
        <f aca="false">AR11-BA11</f>
        <v>0.218689742399101</v>
      </c>
      <c r="BK11" s="0" t="n">
        <f aca="false">AR11-BB11</f>
        <v>0.324972780239218</v>
      </c>
      <c r="BL11" s="0" t="n">
        <f aca="false">AR11-AS11</f>
        <v>0.348</v>
      </c>
      <c r="BM11" s="0" t="n">
        <f aca="false">BA11-BB11</f>
        <v>0.106283037840117</v>
      </c>
      <c r="BN11" s="0" t="n">
        <f aca="false">BA11-AS11</f>
        <v>0.129310257600899</v>
      </c>
      <c r="BO11" s="0" t="n">
        <f aca="false">BB11-AS11</f>
        <v>0.0230272197607823</v>
      </c>
      <c r="BP11" s="0" t="n">
        <f aca="false">-0.046*LN(BM11)-0.0679</f>
        <v>0.0352158804561283</v>
      </c>
      <c r="BR11" s="0" t="n">
        <f aca="false">LOG(BO11)*-0.3206+0.9205</f>
        <v>1.44556537327806</v>
      </c>
      <c r="BS11" s="0" t="n">
        <f aca="false">$BS$1/(BM11-$BU$1)+$BT$1</f>
        <v>1.46200126079528</v>
      </c>
      <c r="BZ11" s="108"/>
      <c r="CA11" s="597"/>
      <c r="CB11" s="597"/>
      <c r="CC11" s="108"/>
      <c r="CX11" s="594" t="s">
        <v>2195</v>
      </c>
      <c r="CY11" s="594" t="s">
        <v>2171</v>
      </c>
      <c r="CZ11" s="0" t="n">
        <f aca="false">DL40/10000/24/3600/100/0.0098*1000*1000/18</f>
        <v>9.29600235155791</v>
      </c>
      <c r="DA11" s="0" t="n">
        <f aca="false">DL61/10000/24/3600/100/0.0098*1000*1000/18</f>
        <v>9.29600235155791</v>
      </c>
      <c r="DB11" s="0" t="n">
        <f aca="false">DL82/10000/24/3600/100/0.0098*1000*1000/18</f>
        <v>9.29600235155791</v>
      </c>
      <c r="DC11" s="0" t="n">
        <f aca="false">DL103/10000/24/3600/100/0.0098*1000*1000/18</f>
        <v>9.29600235155791</v>
      </c>
      <c r="DD11" s="0" t="n">
        <f aca="false">DL124/10000/24/3600/100/0.0098*1000*1000/18</f>
        <v>5.62694213487864</v>
      </c>
      <c r="DE11" s="0" t="n">
        <f aca="false">DL145/10000/24/3600/100/0.0098*1000*1000/18</f>
        <v>24.3352780927186</v>
      </c>
      <c r="DF11" s="0" t="n">
        <f aca="false">DL166/10000/24/3600/100/0.0098*1000*1000/18</f>
        <v>5.62694213487864</v>
      </c>
      <c r="DH11" s="0" t="n">
        <f aca="false">AVERAGE(CZ11:DF11)</f>
        <v>10.3961673955296</v>
      </c>
    </row>
    <row r="12" customFormat="false" ht="15.75" hidden="false" customHeight="false" outlineLevel="0" collapsed="false">
      <c r="A12" s="0" t="n">
        <f aca="false">C12*-1000</f>
        <v>0.0499881498939219</v>
      </c>
      <c r="B12" s="0" t="n">
        <v>0.99</v>
      </c>
      <c r="C12" s="0" t="n">
        <f aca="false">-((B12^(-1/$I$7)-1)^(1/$F$7))/$E$7/10000</f>
        <v>-4.99881498939219E-005</v>
      </c>
      <c r="D12" s="0" t="n">
        <f aca="false">$G$7*B12^$H$7*(1-(1-B12^(1/$I$7))^$I$7)^2</f>
        <v>5385.8275947438</v>
      </c>
      <c r="E12" s="0" t="n">
        <f aca="false">$D$7+B12*($C$7-$D$7)</f>
        <v>0.54331</v>
      </c>
      <c r="F12" s="0" t="n">
        <f aca="false">LOG(-C12*10000)</f>
        <v>-0.301132936576664</v>
      </c>
      <c r="G12" s="0" t="n">
        <f aca="false">(E12-$D$7)*1000*$J$7</f>
        <v>111.4344</v>
      </c>
      <c r="H12" s="0" t="s">
        <v>2196</v>
      </c>
      <c r="I12" s="0" t="n">
        <v>-0.033</v>
      </c>
      <c r="J12" s="72" t="n">
        <f aca="false">LOG(-I12*10000)</f>
        <v>2.51851393987789</v>
      </c>
      <c r="K12" s="72" t="n">
        <v>0.3649</v>
      </c>
      <c r="S12" s="0" t="n">
        <v>-1.4775</v>
      </c>
      <c r="T12" s="0" t="n">
        <f aca="false">S12+'sureau_ini.txt'!$B$10*0.01</f>
        <v>-1.4675</v>
      </c>
      <c r="U12" s="0" t="n">
        <v>0.0371</v>
      </c>
      <c r="X12" s="108" t="s">
        <v>221</v>
      </c>
      <c r="Y12" s="108" t="n">
        <v>0.38</v>
      </c>
      <c r="Z12" s="108" t="n">
        <v>0.1</v>
      </c>
      <c r="AA12" s="108" t="n">
        <v>0.027</v>
      </c>
      <c r="AB12" s="108" t="n">
        <v>1.23</v>
      </c>
      <c r="AC12" s="596" t="n">
        <f aca="false">AI12</f>
        <v>1.8896447467876</v>
      </c>
      <c r="AE12" s="108" t="n">
        <v>2.88</v>
      </c>
      <c r="AF12" s="108" t="n">
        <f aca="false">AE12/24</f>
        <v>0.12</v>
      </c>
      <c r="AG12" s="597" t="n">
        <f aca="false">AE12/24/3600/100</f>
        <v>3.33333333333333E-007</v>
      </c>
      <c r="AH12" s="597" t="n">
        <f aca="false">AG12/0.0098</f>
        <v>3.40136054421769E-005</v>
      </c>
      <c r="AI12" s="108" t="n">
        <f aca="false">AH12*1000*1000/18</f>
        <v>1.8896447467876</v>
      </c>
      <c r="AQ12" s="72" t="s">
        <v>176</v>
      </c>
      <c r="AR12" s="72" t="n">
        <v>0.489</v>
      </c>
      <c r="AS12" s="72" t="n">
        <v>0.05</v>
      </c>
      <c r="AT12" s="72" t="n">
        <v>0.0066</v>
      </c>
      <c r="AU12" s="72" t="n">
        <v>1.679</v>
      </c>
      <c r="AV12" s="72" t="n">
        <v>28.706853111615</v>
      </c>
      <c r="AW12" s="73" t="n">
        <v>0.5</v>
      </c>
      <c r="AX12" s="74" t="n">
        <v>0</v>
      </c>
      <c r="AY12" s="74" t="n">
        <v>0</v>
      </c>
      <c r="AZ12" s="74" t="n">
        <v>0</v>
      </c>
      <c r="BA12" s="75" t="n">
        <f aca="false">AS12+(AR12-AS12)/(1+(AT12*0.033*10000)^AU12)^(1-1/AU12)</f>
        <v>0.284884838561117</v>
      </c>
      <c r="BB12" s="75" t="n">
        <f aca="false">AS12+(AR12-AS12)/(1+(AT12*1.585*10000)^AU12)^(1-1/AU12)</f>
        <v>0.0686682205749457</v>
      </c>
      <c r="BC12" s="75" t="n">
        <f aca="false">AS12+(AR12-AS12)/(1+(AT12*3.5*10000)^AU12)^(1-1/AU12)</f>
        <v>0.0609031780118806</v>
      </c>
      <c r="BD12" s="75" t="n">
        <f aca="false">(AR12-AS12)*Soil_Depth*1000*(1-(AX12+AY12+AZ12)/3)</f>
        <v>129.2416</v>
      </c>
      <c r="BE12" s="75" t="n">
        <f aca="false">(BA12-AS12)*Soil_Depth*1000*(1-(AX12+AY12+AZ12)/3)</f>
        <v>69.1500964723928</v>
      </c>
      <c r="BF12" s="75" t="n">
        <f aca="false">(BA12-AS12)/(AR12-AS12)</f>
        <v>0.535045190344229</v>
      </c>
      <c r="BG12" s="75" t="n">
        <f aca="false">(BA12-BB12)*Soil_Depth*1000*(1-(AX12+AY12+AZ12)/3)</f>
        <v>63.6541723351287</v>
      </c>
      <c r="BH12" s="75" t="n">
        <f aca="false">(BA12-BC12)*Soil_Depth*1000*(1-(AX12+AY12+AZ12)/3)</f>
        <v>65.9402008656951</v>
      </c>
      <c r="BJ12" s="0" t="n">
        <f aca="false">AR12-BA12</f>
        <v>0.204115161438883</v>
      </c>
      <c r="BK12" s="0" t="n">
        <f aca="false">AR12-BB12</f>
        <v>0.420331779425054</v>
      </c>
      <c r="BL12" s="0" t="n">
        <f aca="false">AR12-AS12</f>
        <v>0.439</v>
      </c>
      <c r="BM12" s="0" t="n">
        <f aca="false">BA12-BB12</f>
        <v>0.216216617986171</v>
      </c>
      <c r="BN12" s="0" t="n">
        <f aca="false">BA12-AS12</f>
        <v>0.234884838561117</v>
      </c>
      <c r="BO12" s="0" t="n">
        <f aca="false">BB12-AS12</f>
        <v>0.0186682205749457</v>
      </c>
      <c r="BP12" s="0" t="n">
        <f aca="false">-0.046*LN(BM12)-0.0679</f>
        <v>0.00254782758788341</v>
      </c>
      <c r="BR12" s="0" t="n">
        <f aca="false">LOG(BO12)*-0.3206+0.9205</f>
        <v>1.47478440267348</v>
      </c>
      <c r="BS12" s="0" t="n">
        <f aca="false">$BS$1/(BM12-$BU$1)+$BT$1</f>
        <v>1.38362064433666</v>
      </c>
      <c r="BZ12" s="108"/>
      <c r="CA12" s="597"/>
      <c r="CB12" s="597"/>
      <c r="CC12" s="108"/>
      <c r="CX12" s="594" t="s">
        <v>514</v>
      </c>
      <c r="CY12" s="594"/>
      <c r="CZ12" s="0" t="n">
        <f aca="false">DL43/10000</f>
        <v>-4.3</v>
      </c>
      <c r="DA12" s="0" t="n">
        <f aca="false">DL64/10000</f>
        <v>-4.3</v>
      </c>
      <c r="DB12" s="0" t="n">
        <f aca="false">DL85/10000</f>
        <v>-4.3</v>
      </c>
      <c r="DC12" s="0" t="n">
        <f aca="false">DL106/10000</f>
        <v>-4.3</v>
      </c>
      <c r="DD12" s="0" t="n">
        <f aca="false">DL127/10000</f>
        <v>-5</v>
      </c>
      <c r="DE12" s="0" t="n">
        <f aca="false">DL148/10000</f>
        <v>-5</v>
      </c>
      <c r="DF12" s="0" t="n">
        <f aca="false">DL169/10000</f>
        <v>-5</v>
      </c>
      <c r="DH12" s="0" t="n">
        <f aca="false">AVERAGE(CZ12:DF12)</f>
        <v>-4.6</v>
      </c>
      <c r="DL12" s="0" t="s">
        <v>2164</v>
      </c>
      <c r="DN12" s="0" t="s">
        <v>2164</v>
      </c>
    </row>
    <row r="13" customFormat="false" ht="15.75" hidden="false" customHeight="false" outlineLevel="0" collapsed="false">
      <c r="A13" s="0" t="n">
        <f aca="false">C13*-1000</f>
        <v>0.0690953161560967</v>
      </c>
      <c r="B13" s="0" t="n">
        <f aca="false">B12-0.01</f>
        <v>0.98</v>
      </c>
      <c r="C13" s="0" t="n">
        <f aca="false">-((B13^(-1/$I$7)-1)^(1/$F$7))/$E$7/10000</f>
        <v>-6.90953161560967E-005</v>
      </c>
      <c r="D13" s="0" t="n">
        <f aca="false">$G$7*B13^$H$7*(1-(1-B13^(1/$I$7))^$I$7)^2</f>
        <v>4750.18409848171</v>
      </c>
      <c r="E13" s="0" t="n">
        <f aca="false">$D$7+B13*($C$7-$D$7)</f>
        <v>0.53862</v>
      </c>
      <c r="F13" s="0" t="n">
        <f aca="false">LOG(-C13*10000)</f>
        <v>-0.160551391649043</v>
      </c>
      <c r="G13" s="0" t="n">
        <f aca="false">(E13-$D$7)*1000*$J$7</f>
        <v>110.3088</v>
      </c>
      <c r="H13" s="0" t="s">
        <v>22</v>
      </c>
      <c r="I13" s="0" t="n">
        <v>-1.585</v>
      </c>
      <c r="J13" s="72" t="n">
        <f aca="false">LOG(-I13*10000)</f>
        <v>4.20002926655377</v>
      </c>
      <c r="K13" s="0" t="n">
        <v>0.1391</v>
      </c>
      <c r="S13" s="0" t="n">
        <v>-1.4485</v>
      </c>
      <c r="T13" s="0" t="n">
        <f aca="false">S13+'sureau_ini.txt'!$B$10*0.01</f>
        <v>-1.4385</v>
      </c>
      <c r="U13" s="0" t="n">
        <v>0.0553</v>
      </c>
      <c r="X13" s="108" t="s">
        <v>231</v>
      </c>
      <c r="Y13" s="108" t="n">
        <v>0.36</v>
      </c>
      <c r="Z13" s="108" t="n">
        <v>0.07</v>
      </c>
      <c r="AA13" s="108" t="n">
        <v>0.005</v>
      </c>
      <c r="AB13" s="108" t="n">
        <v>1.09</v>
      </c>
      <c r="AC13" s="596" t="n">
        <f aca="false">AI13</f>
        <v>0.314940791131267</v>
      </c>
      <c r="AE13" s="108" t="n">
        <v>0.48</v>
      </c>
      <c r="AF13" s="108" t="n">
        <f aca="false">AE13/24</f>
        <v>0.02</v>
      </c>
      <c r="AG13" s="597" t="n">
        <f aca="false">AE13/24/3600/100</f>
        <v>5.55555555555556E-008</v>
      </c>
      <c r="AH13" s="597" t="n">
        <f aca="false">AG13/0.0098</f>
        <v>5.66893424036281E-006</v>
      </c>
      <c r="AI13" s="108" t="n">
        <f aca="false">AH13*1000*1000/18</f>
        <v>0.314940791131267</v>
      </c>
      <c r="AQ13" s="72" t="s">
        <v>2197</v>
      </c>
      <c r="AR13" s="72" t="n">
        <v>0.439</v>
      </c>
      <c r="AS13" s="72" t="n">
        <v>0.065</v>
      </c>
      <c r="AT13" s="72" t="n">
        <v>0.0051</v>
      </c>
      <c r="AU13" s="72" t="n">
        <v>1.661</v>
      </c>
      <c r="AV13" s="72" t="n">
        <v>6.31456286218191</v>
      </c>
      <c r="AW13" s="73" t="n">
        <v>0.5</v>
      </c>
      <c r="AX13" s="74" t="n">
        <v>0</v>
      </c>
      <c r="AY13" s="74" t="n">
        <v>0</v>
      </c>
      <c r="AZ13" s="74" t="n">
        <v>0</v>
      </c>
      <c r="BA13" s="75" t="n">
        <f aca="false">AS13+(AR13-AS13)/(1+(AT13*0.033*10000)^AU13)^(1-1/AU13)</f>
        <v>0.295505908239373</v>
      </c>
      <c r="BB13" s="75" t="n">
        <f aca="false">AS13+(AR13-AS13)/(1+(AT13*1.585*10000)^AU13)^(1-1/AU13)</f>
        <v>0.0855036493303921</v>
      </c>
      <c r="BC13" s="75" t="n">
        <f aca="false">AS13+(AR13-AS13)/(1+(AT13*3.5*10000)^AU13)^(1-1/AU13)</f>
        <v>0.077148070106833</v>
      </c>
      <c r="BD13" s="75" t="n">
        <f aca="false">(AR13-AS13)*Soil_Depth*1000*(1-(AX13+AY13+AZ13)/3)</f>
        <v>110.1056</v>
      </c>
      <c r="BE13" s="75" t="n">
        <f aca="false">(BA13-AS13)*Soil_Depth*1000*(1-(AX13+AY13+AZ13)/3)</f>
        <v>67.8609393856713</v>
      </c>
      <c r="BF13" s="75" t="n">
        <f aca="false">(BA13-AS13)/(AR13-AS13)</f>
        <v>0.616325957859285</v>
      </c>
      <c r="BG13" s="75" t="n">
        <f aca="false">(BA13-BB13)*Soil_Depth*1000*(1-(AX13+AY13+AZ13)/3)</f>
        <v>61.8246650228039</v>
      </c>
      <c r="BH13" s="75" t="n">
        <f aca="false">(BA13-BC13)*Soil_Depth*1000*(1-(AX13+AY13+AZ13)/3)</f>
        <v>64.2845475462197</v>
      </c>
      <c r="BJ13" s="0" t="n">
        <f aca="false">AR13-BA13</f>
        <v>0.143494091760627</v>
      </c>
      <c r="BK13" s="0" t="n">
        <f aca="false">AR13-BB13</f>
        <v>0.353496350669608</v>
      </c>
      <c r="BL13" s="0" t="n">
        <f aca="false">AR13-AS13</f>
        <v>0.374</v>
      </c>
      <c r="BM13" s="0" t="n">
        <f aca="false">BA13-BB13</f>
        <v>0.21000225890898</v>
      </c>
      <c r="BN13" s="0" t="n">
        <f aca="false">BA13-AS13</f>
        <v>0.230505908239373</v>
      </c>
      <c r="BO13" s="0" t="n">
        <f aca="false">BB13-AS13</f>
        <v>0.0205036493303921</v>
      </c>
      <c r="BP13" s="0" t="n">
        <f aca="false">-0.046*LN(BM13)-0.0679</f>
        <v>0.00388930161420216</v>
      </c>
      <c r="BR13" s="0" t="n">
        <f aca="false">LOG(BO13)*-0.3206+0.9205</f>
        <v>1.46172692831108</v>
      </c>
      <c r="BS13" s="0" t="n">
        <f aca="false">$BS$1/(BM13-$BU$1)+$BT$1</f>
        <v>1.38597197193276</v>
      </c>
      <c r="BZ13" s="108"/>
      <c r="CA13" s="597"/>
      <c r="CB13" s="597"/>
      <c r="CC13" s="108"/>
      <c r="CW13" s="594" t="s">
        <v>2198</v>
      </c>
      <c r="CX13" s="594" t="s">
        <v>2178</v>
      </c>
      <c r="CY13" s="594" t="s">
        <v>2153</v>
      </c>
      <c r="CZ13" s="0" t="n">
        <f aca="false">DL193/10000</f>
        <v>0.0407</v>
      </c>
      <c r="DA13" s="0" t="n">
        <f aca="false">DL208/10000</f>
        <v>0.0407</v>
      </c>
      <c r="DB13" s="0" t="n">
        <f aca="false">DL223/10000</f>
        <v>0.0407</v>
      </c>
      <c r="DC13" s="0" t="n">
        <f aca="false">DL238/10000</f>
        <v>0.0407</v>
      </c>
      <c r="DD13" s="0" t="n">
        <f aca="false">DL253/10000</f>
        <v>0.0407</v>
      </c>
      <c r="DE13" s="0" t="n">
        <f aca="false">DL268/10000</f>
        <v>0.0407</v>
      </c>
      <c r="DF13" s="0" t="n">
        <f aca="false">DL283/10000</f>
        <v>0.0407</v>
      </c>
      <c r="DH13" s="0" t="n">
        <f aca="false">AVERAGE(CZ13:DF13)</f>
        <v>0.0407</v>
      </c>
      <c r="DL13" s="0" t="n">
        <v>30</v>
      </c>
      <c r="DN13" s="0" t="n">
        <v>1.74</v>
      </c>
    </row>
    <row r="14" customFormat="false" ht="15.75" hidden="false" customHeight="false" outlineLevel="0" collapsed="false">
      <c r="A14" s="0" t="n">
        <f aca="false">C14*-1000</f>
        <v>0.0837355227255506</v>
      </c>
      <c r="B14" s="0" t="n">
        <f aca="false">B13-0.01</f>
        <v>0.97</v>
      </c>
      <c r="C14" s="0" t="n">
        <f aca="false">-((B14^(-1/$I$7)-1)^(1/$F$7))/$E$7/10000</f>
        <v>-8.37355227255506E-005</v>
      </c>
      <c r="D14" s="0" t="n">
        <f aca="false">$G$7*B14^$H$7*(1-(1-B14^(1/$I$7))^$I$7)^2</f>
        <v>4279.23135020045</v>
      </c>
      <c r="E14" s="0" t="n">
        <f aca="false">$D$7+B14*($C$7-$D$7)</f>
        <v>0.53393</v>
      </c>
      <c r="F14" s="0" t="n">
        <f aca="false">LOG(-C14*10000)</f>
        <v>-0.0770902642182619</v>
      </c>
      <c r="G14" s="0" t="n">
        <f aca="false">(E14-$D$7)*1000*$J$7</f>
        <v>109.1832</v>
      </c>
      <c r="H14" s="0" t="s">
        <v>23</v>
      </c>
      <c r="I14" s="0" t="n">
        <v>-200</v>
      </c>
      <c r="J14" s="72" t="n">
        <f aca="false">LOG(-I14*10000)</f>
        <v>6.30102999566398</v>
      </c>
      <c r="K14" s="72" t="n">
        <f aca="false">D7</f>
        <v>0.079</v>
      </c>
      <c r="S14" s="0" t="n">
        <v>-1.5027</v>
      </c>
      <c r="T14" s="0" t="n">
        <f aca="false">S14+'sureau_ini.txt'!$B$10*0.01</f>
        <v>-1.4927</v>
      </c>
      <c r="U14" s="0" t="n">
        <v>0.0737</v>
      </c>
      <c r="X14" s="108" t="s">
        <v>65</v>
      </c>
      <c r="Y14" s="108" t="n">
        <v>0.38</v>
      </c>
      <c r="Z14" s="108" t="n">
        <v>0.068</v>
      </c>
      <c r="AA14" s="108" t="n">
        <v>0.008</v>
      </c>
      <c r="AB14" s="108" t="n">
        <v>1.09</v>
      </c>
      <c r="AC14" s="596" t="n">
        <f aca="false">AI14</f>
        <v>3.14940791131267</v>
      </c>
      <c r="AE14" s="108" t="n">
        <v>4.8</v>
      </c>
      <c r="AF14" s="108" t="n">
        <f aca="false">AE14/24</f>
        <v>0.2</v>
      </c>
      <c r="AG14" s="597" t="n">
        <f aca="false">AE14/24/3600/100</f>
        <v>5.55555555555556E-007</v>
      </c>
      <c r="AH14" s="597" t="n">
        <f aca="false">AG14/0.0098</f>
        <v>5.66893424036281E-005</v>
      </c>
      <c r="AI14" s="108" t="n">
        <f aca="false">AH14*1000*1000/18</f>
        <v>3.14940791131267</v>
      </c>
      <c r="AJ14" s="108" t="n">
        <v>1.69</v>
      </c>
      <c r="AQ14" s="72" t="s">
        <v>2199</v>
      </c>
      <c r="AR14" s="72" t="n">
        <v>0.481</v>
      </c>
      <c r="AS14" s="72" t="n">
        <v>0.111</v>
      </c>
      <c r="AT14" s="72" t="n">
        <v>0.0162</v>
      </c>
      <c r="AU14" s="72" t="n">
        <v>1.321</v>
      </c>
      <c r="AV14" s="72" t="n">
        <v>7.29087931468884</v>
      </c>
      <c r="AW14" s="73" t="n">
        <v>0.5</v>
      </c>
      <c r="AX14" s="74" t="n">
        <v>0</v>
      </c>
      <c r="AY14" s="74" t="n">
        <v>0</v>
      </c>
      <c r="AZ14" s="74" t="n">
        <v>0</v>
      </c>
      <c r="BA14" s="75" t="n">
        <f aca="false">AS14+(AR14-AS14)/(1+(AT14*0.033*10000)^AU14)^(1-1/AU14)</f>
        <v>0.321652158154354</v>
      </c>
      <c r="BB14" s="75" t="n">
        <f aca="false">AS14+(AR14-AS14)/(1+(AT14*1.585*10000)^AU14)^(1-1/AU14)</f>
        <v>0.173325933091746</v>
      </c>
      <c r="BC14" s="75" t="n">
        <f aca="false">AS14+(AR14-AS14)/(1+(AT14*3.5*10000)^AU14)^(1-1/AU14)</f>
        <v>0.159336727938283</v>
      </c>
      <c r="BD14" s="75" t="n">
        <f aca="false">(AR14-AS14)*Soil_Depth*1000*(1-(AX14+AY14+AZ14)/3)</f>
        <v>108.928</v>
      </c>
      <c r="BE14" s="75" t="n">
        <f aca="false">(BA14-AS14)*Soil_Depth*1000*(1-(AX14+AY14+AZ14)/3)</f>
        <v>62.0159953606419</v>
      </c>
      <c r="BF14" s="75" t="n">
        <f aca="false">(BA14-AS14)/(AR14-AS14)</f>
        <v>0.56933015717393</v>
      </c>
      <c r="BG14" s="75" t="n">
        <f aca="false">(BA14-BB14)*Soil_Depth*1000*(1-(AX14+AY14+AZ14)/3)</f>
        <v>43.6672406584319</v>
      </c>
      <c r="BH14" s="75" t="n">
        <f aca="false">(BA14-BC14)*Soil_Depth*1000*(1-(AX14+AY14+AZ14)/3)</f>
        <v>47.7856626556112</v>
      </c>
      <c r="BJ14" s="0" t="n">
        <f aca="false">AR14-BA14</f>
        <v>0.159347841845646</v>
      </c>
      <c r="BK14" s="0" t="n">
        <f aca="false">AR14-BB14</f>
        <v>0.307674066908254</v>
      </c>
      <c r="BL14" s="0" t="n">
        <f aca="false">AR14-AS14</f>
        <v>0.37</v>
      </c>
      <c r="BM14" s="0" t="n">
        <f aca="false">BA14-BB14</f>
        <v>0.148326225062608</v>
      </c>
      <c r="BN14" s="0" t="n">
        <f aca="false">BA14-AS14</f>
        <v>0.210652158154354</v>
      </c>
      <c r="BO14" s="0" t="n">
        <f aca="false">BB14-AS14</f>
        <v>0.0623259330917458</v>
      </c>
      <c r="BP14" s="0" t="n">
        <f aca="false">-0.046*LN(BM14)-0.0679</f>
        <v>0.0198836955476904</v>
      </c>
      <c r="BR14" s="0" t="n">
        <f aca="false">LOG(BO14)*-0.3206+0.9205</f>
        <v>1.30692918620869</v>
      </c>
      <c r="BS14" s="0" t="n">
        <f aca="false">$BS$1/(BM14-$BU$1)+$BT$1</f>
        <v>1.41925218207193</v>
      </c>
      <c r="BZ14" s="108"/>
      <c r="CA14" s="597"/>
      <c r="CB14" s="597"/>
      <c r="CC14" s="108"/>
      <c r="CX14" s="594" t="s">
        <v>2179</v>
      </c>
      <c r="CY14" s="594" t="s">
        <v>2153</v>
      </c>
      <c r="CZ14" s="0" t="n">
        <f aca="false">DL196/10000</f>
        <v>0.4538</v>
      </c>
      <c r="DA14" s="0" t="n">
        <f aca="false">DL211/10000</f>
        <v>0.4526</v>
      </c>
      <c r="DB14" s="0" t="n">
        <f aca="false">DL226/10000</f>
        <v>0.4381</v>
      </c>
      <c r="DC14" s="0" t="n">
        <f aca="false">DL241/10000</f>
        <v>0.432</v>
      </c>
      <c r="DD14" s="0" t="n">
        <f aca="false">DL256/10000</f>
        <v>0.4318</v>
      </c>
      <c r="DE14" s="0" t="n">
        <f aca="false">DL271/10000</f>
        <v>0.4248</v>
      </c>
      <c r="DF14" s="0" t="n">
        <f aca="false">DL286/10000</f>
        <v>0.4233</v>
      </c>
      <c r="DH14" s="0" t="n">
        <f aca="false">AVERAGE(CZ14:DF14)</f>
        <v>0.436628571428571</v>
      </c>
    </row>
    <row r="15" customFormat="false" ht="18" hidden="false" customHeight="false" outlineLevel="0" collapsed="false">
      <c r="A15" s="0" t="n">
        <f aca="false">C15*-1000</f>
        <v>0.0961623729717349</v>
      </c>
      <c r="B15" s="0" t="n">
        <f aca="false">B14-0.01</f>
        <v>0.96</v>
      </c>
      <c r="C15" s="0" t="n">
        <f aca="false">-((B15^(-1/$I$7)-1)^(1/$F$7))/$E$7/10000</f>
        <v>-9.61623729717349E-005</v>
      </c>
      <c r="D15" s="0" t="n">
        <f aca="false">$G$7*B15^$H$7*(1-(1-B15^(1/$I$7))^$I$7)^2</f>
        <v>3896.89889660319</v>
      </c>
      <c r="E15" s="0" t="n">
        <f aca="false">$D$7+B15*($C$7-$D$7)</f>
        <v>0.52924</v>
      </c>
      <c r="F15" s="0" t="n">
        <f aca="false">LOG(-C15*10000)</f>
        <v>-0.0169948282467585</v>
      </c>
      <c r="G15" s="0" t="n">
        <f aca="false">(E15-$D$7)*1000*$J$7</f>
        <v>108.0576</v>
      </c>
      <c r="I15" s="600" t="s">
        <v>37</v>
      </c>
      <c r="J15" s="0" t="n">
        <v>2</v>
      </c>
      <c r="S15" s="0" t="n">
        <v>-1.499</v>
      </c>
      <c r="T15" s="0" t="n">
        <f aca="false">S15+'sureau_ini.txt'!$B$10*0.01</f>
        <v>-1.489</v>
      </c>
      <c r="U15" s="0" t="n">
        <v>0.0948</v>
      </c>
      <c r="AE15" s="108" t="n">
        <f aca="false">AF16*24*60</f>
        <v>10540.8</v>
      </c>
      <c r="AF15" s="108" t="n">
        <f aca="false">AE15/24</f>
        <v>439.2</v>
      </c>
      <c r="AG15" s="597" t="n">
        <f aca="false">AE15/24/3600/100</f>
        <v>0.00122</v>
      </c>
      <c r="AH15" s="597" t="n">
        <f aca="false">AG15/0.0098</f>
        <v>0.124489795918367</v>
      </c>
      <c r="AI15" s="108" t="n">
        <f aca="false">AH15*1000*1000/18</f>
        <v>6916.09977324263</v>
      </c>
      <c r="AJ15" s="108"/>
      <c r="AQ15" s="72" t="s">
        <v>2200</v>
      </c>
      <c r="AR15" s="72" t="n">
        <v>0.482</v>
      </c>
      <c r="AS15" s="72" t="n">
        <v>0.09</v>
      </c>
      <c r="AT15" s="72" t="n">
        <v>0.0084</v>
      </c>
      <c r="AU15" s="72" t="n">
        <v>1.521</v>
      </c>
      <c r="AV15" s="72" t="n">
        <v>11.9677500629882</v>
      </c>
      <c r="AW15" s="73" t="n">
        <v>0.5</v>
      </c>
      <c r="AX15" s="74" t="n">
        <v>0</v>
      </c>
      <c r="AY15" s="74" t="n">
        <v>0</v>
      </c>
      <c r="AZ15" s="74" t="n">
        <v>0</v>
      </c>
      <c r="BA15" s="75" t="n">
        <f aca="false">AS15+(AR15-AS15)/(1+(AT15*0.033*10000)^AU15)^(1-1/AU15)</f>
        <v>0.305763245809666</v>
      </c>
      <c r="BB15" s="75" t="n">
        <f aca="false">AS15+(AR15-AS15)/(1+(AT15*1.585*10000)^AU15)^(1-1/AU15)</f>
        <v>0.120650245345488</v>
      </c>
      <c r="BC15" s="75" t="n">
        <f aca="false">AS15+(AR15-AS15)/(1+(AT15*3.5*10000)^AU15)^(1-1/AU15)</f>
        <v>0.110288545819728</v>
      </c>
      <c r="BD15" s="75" t="n">
        <f aca="false">(AR15-AS15)*Soil_Depth*1000*(1-(AX15+AY15+AZ15)/3)</f>
        <v>115.4048</v>
      </c>
      <c r="BE15" s="75" t="n">
        <f aca="false">(BA15-AS15)*Soil_Depth*1000*(1-(AX15+AY15+AZ15)/3)</f>
        <v>63.5206995663658</v>
      </c>
      <c r="BF15" s="75" t="n">
        <f aca="false">(BA15-AS15)/(AR15-AS15)</f>
        <v>0.550416443392006</v>
      </c>
      <c r="BG15" s="75" t="n">
        <f aca="false">(BA15-BB15)*Soil_Depth*1000*(1-(AX15+AY15+AZ15)/3)</f>
        <v>54.497267336654</v>
      </c>
      <c r="BH15" s="75" t="n">
        <f aca="false">(BA15-BC15)*Soil_Depth*1000*(1-(AX15+AY15+AZ15)/3)</f>
        <v>57.5477516770378</v>
      </c>
      <c r="BJ15" s="0" t="n">
        <f aca="false">AR15-BA15</f>
        <v>0.176236754190334</v>
      </c>
      <c r="BK15" s="0" t="n">
        <f aca="false">AR15-BB15</f>
        <v>0.361349754654512</v>
      </c>
      <c r="BL15" s="0" t="n">
        <f aca="false">AR15-AS15</f>
        <v>0.392</v>
      </c>
      <c r="BM15" s="0" t="n">
        <f aca="false">BA15-BB15</f>
        <v>0.185113000464178</v>
      </c>
      <c r="BN15" s="0" t="n">
        <f aca="false">BA15-AS15</f>
        <v>0.215763245809666</v>
      </c>
      <c r="BO15" s="0" t="n">
        <f aca="false">BB15-AS15</f>
        <v>0.0306502453454884</v>
      </c>
      <c r="BP15" s="0" t="n">
        <f aca="false">-0.046*LN(BM15)-0.0679</f>
        <v>0.0096922860445051</v>
      </c>
      <c r="BR15" s="0" t="n">
        <f aca="false">LOG(BO15)*-0.3206+0.9205</f>
        <v>1.40574927394433</v>
      </c>
      <c r="BS15" s="0" t="n">
        <f aca="false">$BS$1/(BM15-$BU$1)+$BT$1</f>
        <v>1.39688291931197</v>
      </c>
      <c r="BZ15" s="108"/>
      <c r="CA15" s="597"/>
      <c r="CB15" s="597"/>
      <c r="CC15" s="108"/>
      <c r="CX15" s="594" t="s">
        <v>2127</v>
      </c>
      <c r="CY15" s="594" t="s">
        <v>2180</v>
      </c>
      <c r="CZ15" s="0" t="n">
        <f aca="false">DL199/10000</f>
        <v>0.0155</v>
      </c>
      <c r="DA15" s="0" t="n">
        <f aca="false">DL214/10000</f>
        <v>0.0172</v>
      </c>
      <c r="DB15" s="0" t="n">
        <f aca="false">DL229/10000</f>
        <v>0.0177</v>
      </c>
      <c r="DC15" s="0" t="n">
        <f aca="false">DL244/10000</f>
        <v>0.0199</v>
      </c>
      <c r="DD15" s="0" t="n">
        <f aca="false">DL259/10000</f>
        <v>0.018</v>
      </c>
      <c r="DE15" s="0" t="n">
        <f aca="false">DL274/10000</f>
        <v>0.0187</v>
      </c>
      <c r="DF15" s="0" t="n">
        <f aca="false">DL289/10000</f>
        <v>0.021</v>
      </c>
      <c r="DH15" s="0" t="n">
        <f aca="false">AVERAGE(CZ15:DF15)</f>
        <v>0.0182857142857143</v>
      </c>
      <c r="DL15" s="0" t="s">
        <v>2164</v>
      </c>
      <c r="DN15" s="0" t="s">
        <v>2164</v>
      </c>
    </row>
    <row r="16" customFormat="false" ht="18.75" hidden="false" customHeight="false" outlineLevel="0" collapsed="false">
      <c r="A16" s="0" t="n">
        <f aca="false">C16*-1000</f>
        <v>0.107229384450742</v>
      </c>
      <c r="B16" s="0" t="n">
        <f aca="false">B15-0.01</f>
        <v>0.95</v>
      </c>
      <c r="C16" s="0" t="n">
        <f aca="false">-((B16^(-1/$I$7)-1)^(1/$F$7))/$E$7/10000</f>
        <v>-0.000107229384450742</v>
      </c>
      <c r="D16" s="0" t="n">
        <f aca="false">$G$7*B16^$H$7*(1-(1-B16^(1/$I$7))^$I$7)^2</f>
        <v>3572.79110813787</v>
      </c>
      <c r="E16" s="0" t="n">
        <f aca="false">$D$7+B16*($C$7-$D$7)</f>
        <v>0.52455</v>
      </c>
      <c r="F16" s="0" t="n">
        <f aca="false">LOG(-C16*10000)</f>
        <v>0.0303138129324108</v>
      </c>
      <c r="G16" s="0" t="n">
        <f aca="false">(E16-$D$7)*1000*$J$7</f>
        <v>106.932</v>
      </c>
      <c r="I16" s="601" t="s">
        <v>36</v>
      </c>
      <c r="J16" s="0" t="n">
        <f aca="false">SQRT(((K11-K13)/(K12-K13))^2-1)/330</f>
        <v>0.0045749941580719</v>
      </c>
      <c r="S16" s="0" t="n">
        <v>-1.5604</v>
      </c>
      <c r="T16" s="0" t="n">
        <f aca="false">S16+'sureau_ini.txt'!$B$10*0.01</f>
        <v>-1.5504</v>
      </c>
      <c r="U16" s="0" t="n">
        <v>0.1302</v>
      </c>
      <c r="AF16" s="0" t="n">
        <v>7.32</v>
      </c>
      <c r="AG16" s="597"/>
      <c r="AI16" s="108" t="n">
        <f aca="false">AI15/AF16</f>
        <v>944.822373393802</v>
      </c>
      <c r="AR16" s="107"/>
      <c r="AS16" s="107"/>
      <c r="AT16" s="107"/>
      <c r="AU16" s="107"/>
      <c r="AV16" s="107"/>
      <c r="AW16" s="107"/>
      <c r="AX16" s="108"/>
      <c r="AY16" s="108"/>
      <c r="AZ16" s="108"/>
      <c r="BA16" s="108"/>
      <c r="BL16" s="0" t="n">
        <f aca="false">AR16-AS16</f>
        <v>0</v>
      </c>
      <c r="BM16" s="0" t="n">
        <f aca="false">BA16-BB16</f>
        <v>0</v>
      </c>
      <c r="BN16" s="0" t="n">
        <f aca="false">BA16-AS16</f>
        <v>0</v>
      </c>
      <c r="BZ16" s="108"/>
      <c r="CA16" s="597"/>
      <c r="CB16" s="597"/>
      <c r="CC16" s="108"/>
      <c r="CX16" s="594" t="s">
        <v>2128</v>
      </c>
      <c r="CY16" s="594"/>
      <c r="CZ16" s="0" t="n">
        <f aca="false">DL202/10000</f>
        <v>1.2291</v>
      </c>
      <c r="DA16" s="0" t="n">
        <f aca="false">DL217/10000</f>
        <v>1.2495</v>
      </c>
      <c r="DB16" s="0" t="n">
        <f aca="false">DL232/10000</f>
        <v>1.2473</v>
      </c>
      <c r="DC16" s="0" t="n">
        <f aca="false">DL247/10000</f>
        <v>1.2524</v>
      </c>
      <c r="DD16" s="0" t="n">
        <f aca="false">DL262/10000</f>
        <v>1.2606</v>
      </c>
      <c r="DE16" s="0" t="n">
        <f aca="false">DL277/10000</f>
        <v>1.2617</v>
      </c>
      <c r="DF16" s="0" t="n">
        <f aca="false">DL292/10000</f>
        <v>1.2783</v>
      </c>
      <c r="DH16" s="0" t="n">
        <f aca="false">AVERAGE(CZ16:DF16)</f>
        <v>1.25412857142857</v>
      </c>
      <c r="DL16" s="0" t="n">
        <v>28</v>
      </c>
      <c r="DN16" s="0" t="n">
        <v>4</v>
      </c>
    </row>
    <row r="17" customFormat="false" ht="15.75" hidden="false" customHeight="false" outlineLevel="0" collapsed="false">
      <c r="A17" s="0" t="n">
        <f aca="false">C17*-1000</f>
        <v>0.117367601747614</v>
      </c>
      <c r="B17" s="0" t="n">
        <f aca="false">B16-0.01</f>
        <v>0.94</v>
      </c>
      <c r="C17" s="0" t="n">
        <f aca="false">-((B17^(-1/$I$7)-1)^(1/$F$7))/$E$7/10000</f>
        <v>-0.000117367601747614</v>
      </c>
      <c r="D17" s="0" t="n">
        <f aca="false">$G$7*B17^$H$7*(1-(1-B17^(1/$I$7))^$I$7)^2</f>
        <v>3290.94148001959</v>
      </c>
      <c r="E17" s="0" t="n">
        <f aca="false">$D$7+B17*($C$7-$D$7)</f>
        <v>0.51986</v>
      </c>
      <c r="F17" s="0" t="n">
        <f aca="false">LOG(-C17*10000)</f>
        <v>0.0695482304375254</v>
      </c>
      <c r="G17" s="0" t="n">
        <f aca="false">(E17-$D$7)*1000*$J$7</f>
        <v>105.8064</v>
      </c>
      <c r="S17" s="0" t="n">
        <v>-1.4342</v>
      </c>
      <c r="T17" s="0" t="n">
        <f aca="false">S17+'sureau_ini.txt'!$B$10*0.01</f>
        <v>-1.4242</v>
      </c>
      <c r="U17" s="0" t="n">
        <v>0.1802</v>
      </c>
      <c r="AF17" s="108"/>
      <c r="AQ17" s="72" t="s">
        <v>56</v>
      </c>
      <c r="AR17" s="94" t="n">
        <v>0.43</v>
      </c>
      <c r="AS17" s="94" t="n">
        <v>0.045</v>
      </c>
      <c r="AT17" s="94" t="n">
        <v>0.145</v>
      </c>
      <c r="AU17" s="94" t="n">
        <v>2.68</v>
      </c>
      <c r="AV17" s="94" t="n">
        <v>467.687074829932</v>
      </c>
      <c r="AW17" s="94" t="n">
        <v>0.5</v>
      </c>
      <c r="AX17" s="113" t="n">
        <v>0</v>
      </c>
      <c r="AY17" s="113" t="n">
        <v>0</v>
      </c>
      <c r="AZ17" s="113" t="n">
        <v>0</v>
      </c>
      <c r="BA17" s="75" t="n">
        <f aca="false">AS17+(AR17-AS17)/(1+(AT17*0.033*10000)^AU17)^(1-1/AU17)</f>
        <v>0.0455797630045292</v>
      </c>
      <c r="BB17" s="75" t="n">
        <f aca="false">AS17+(AR17-AS17)/(1+(AT17*1.585*10000)^AU17)^(1-1/AU17)</f>
        <v>0.0450008675875629</v>
      </c>
      <c r="BC17" s="75" t="n">
        <f aca="false">AS17+(AR17-AS17)/(1+(AT17*3.5*10000)^AU17)^(1-1/AU17)</f>
        <v>0.0450002292599383</v>
      </c>
      <c r="BD17" s="75" t="n">
        <f aca="false">(AR17-AS17)*Soil_Depth*1000*(1-(AX17+AY17+AZ17)/3)</f>
        <v>113.344</v>
      </c>
      <c r="BE17" s="75" t="n">
        <f aca="false">(BA17-AS17)*Soil_Depth*1000*(1-(AX17+AY17+AZ17)/3)</f>
        <v>0.170682228533382</v>
      </c>
      <c r="BF17" s="75" t="n">
        <f aca="false">(BA17-AS17)/(AR17-AS17)</f>
        <v>0.00150587793384195</v>
      </c>
      <c r="BG17" s="75" t="n">
        <f aca="false">(BA17-BB17)*Soil_Depth*1000*(1-(AX17+AY17+AZ17)/3)</f>
        <v>0.170426810754854</v>
      </c>
      <c r="BH17" s="75" t="n">
        <f aca="false">(BA17-BC17)*Soil_Depth*1000*(1-(AX17+AY17+AZ17)/3)</f>
        <v>0.170614734407543</v>
      </c>
      <c r="BJ17" s="0" t="n">
        <f aca="false">AR17-BA17</f>
        <v>0.384420236995471</v>
      </c>
      <c r="BK17" s="0" t="n">
        <f aca="false">AR17-BB17</f>
        <v>0.384999132412437</v>
      </c>
      <c r="BL17" s="0" t="n">
        <f aca="false">AR17-AS17</f>
        <v>0.385</v>
      </c>
      <c r="BM17" s="0" t="n">
        <f aca="false">BA17-BB17</f>
        <v>0.000578895416966214</v>
      </c>
      <c r="BN17" s="0" t="n">
        <f aca="false">BA17-AS17</f>
        <v>0.000579763004529152</v>
      </c>
      <c r="BO17" s="0" t="n">
        <f aca="false">BB17-AS17</f>
        <v>8.67587562937422E-007</v>
      </c>
      <c r="BP17" s="0" t="n">
        <f aca="false">-0.046*LN(BM17)-0.0679</f>
        <v>0.275001881290552</v>
      </c>
      <c r="BR17" s="0" t="n">
        <f aca="false">LOG(BO17)*-0.3206+0.9205</f>
        <v>2.86387675035249</v>
      </c>
      <c r="BS17" s="0" t="n">
        <f aca="false">$BS$1/(BM17-$BU$1)+$BT$1</f>
        <v>2.94091645323611</v>
      </c>
      <c r="CX17" s="594" t="s">
        <v>466</v>
      </c>
      <c r="CY17" s="594"/>
      <c r="CZ17" s="0" t="n">
        <f aca="false">DL205/10000</f>
        <v>0.1864</v>
      </c>
      <c r="DA17" s="0" t="n">
        <f aca="false">DL220/10000</f>
        <v>0.1997</v>
      </c>
      <c r="DB17" s="0" t="n">
        <f aca="false">DL235/10000</f>
        <v>0.1983</v>
      </c>
      <c r="DC17" s="0" t="n">
        <f aca="false">DL250/10000</f>
        <v>0.2015</v>
      </c>
      <c r="DD17" s="0" t="n">
        <f aca="false">DL265/10000</f>
        <v>0.2067</v>
      </c>
      <c r="DE17" s="0" t="n">
        <f aca="false">DL280/10000</f>
        <v>0.2074</v>
      </c>
      <c r="DF17" s="0" t="n">
        <f aca="false">DL295/10000</f>
        <v>0.2177</v>
      </c>
      <c r="DH17" s="0" t="n">
        <f aca="false">AVERAGE(CZ17:DF17)</f>
        <v>0.202528571428571</v>
      </c>
    </row>
    <row r="18" customFormat="false" ht="15.75" hidden="false" customHeight="false" outlineLevel="0" collapsed="false">
      <c r="A18" s="0" t="n">
        <f aca="false">C18*-1000</f>
        <v>0.126830191206103</v>
      </c>
      <c r="B18" s="0" t="n">
        <f aca="false">B17-0.01</f>
        <v>0.93</v>
      </c>
      <c r="C18" s="0" t="n">
        <f aca="false">-((B18^(-1/$I$7)-1)^(1/$F$7))/$E$7/10000</f>
        <v>-0.000126830191206103</v>
      </c>
      <c r="D18" s="0" t="n">
        <f aca="false">$G$7*B18^$H$7*(1-(1-B18^(1/$I$7))^$I$7)^2</f>
        <v>3041.66943156457</v>
      </c>
      <c r="E18" s="0" t="n">
        <f aca="false">$D$7+B18*($C$7-$D$7)</f>
        <v>0.51517</v>
      </c>
      <c r="F18" s="0" t="n">
        <f aca="false">LOG(-C18*10000)</f>
        <v>0.103222647185187</v>
      </c>
      <c r="G18" s="0" t="n">
        <f aca="false">(E18-$D$7)*1000*$J$7</f>
        <v>104.6808</v>
      </c>
      <c r="I18" s="0" t="n">
        <v>0</v>
      </c>
      <c r="J18" s="0" t="n">
        <f aca="false">C7</f>
        <v>0.548</v>
      </c>
      <c r="S18" s="0" t="n">
        <v>-1.355</v>
      </c>
      <c r="T18" s="0" t="n">
        <f aca="false">S18+'sureau_ini.txt'!$B$10*0.01</f>
        <v>-1.345</v>
      </c>
      <c r="U18" s="0" t="n">
        <v>0.1532</v>
      </c>
      <c r="AQ18" s="72" t="s">
        <v>142</v>
      </c>
      <c r="AR18" s="94" t="n">
        <v>0.41</v>
      </c>
      <c r="AS18" s="94" t="n">
        <v>0.057</v>
      </c>
      <c r="AT18" s="94" t="n">
        <v>0.124</v>
      </c>
      <c r="AU18" s="94" t="n">
        <v>2.28</v>
      </c>
      <c r="AV18" s="94" t="n">
        <v>229.775552196187</v>
      </c>
      <c r="AW18" s="94" t="n">
        <v>0.5</v>
      </c>
      <c r="AX18" s="113" t="n">
        <v>0</v>
      </c>
      <c r="AY18" s="113" t="n">
        <v>0</v>
      </c>
      <c r="AZ18" s="113" t="n">
        <v>0</v>
      </c>
      <c r="BA18" s="75" t="n">
        <f aca="false">AS18+(AR18-AS18)/(1+(AT18*0.033*10000)^AU18)^(1-1/AU18)</f>
        <v>0.0600510238752676</v>
      </c>
      <c r="BB18" s="75" t="n">
        <f aca="false">AS18+(AR18-AS18)/(1+(AT18*1.585*10000)^AU18)^(1-1/AU18)</f>
        <v>0.0570214860944075</v>
      </c>
      <c r="BC18" s="75" t="n">
        <f aca="false">AS18+(AR18-AS18)/(1+(AT18*3.5*10000)^AU18)^(1-1/AU18)</f>
        <v>0.0570077944926234</v>
      </c>
      <c r="BD18" s="75" t="n">
        <f aca="false">(AR18-AS18)*Soil_Depth*1000*(1-(AX18+AY18+AZ18)/3)</f>
        <v>103.9232</v>
      </c>
      <c r="BE18" s="75" t="n">
        <f aca="false">(BA18-AS18)*Soil_Depth*1000*(1-(AX18+AY18+AZ18)/3)</f>
        <v>0.89822142887879</v>
      </c>
      <c r="BF18" s="75" t="n">
        <f aca="false">(BA18-AS18)/(AR18-AS18)</f>
        <v>0.00864312712540405</v>
      </c>
      <c r="BG18" s="75" t="n">
        <f aca="false">(BA18-BB18)*Soil_Depth*1000*(1-(AX18+AY18+AZ18)/3)</f>
        <v>0.891895922685231</v>
      </c>
      <c r="BH18" s="75" t="n">
        <f aca="false">(BA18-BC18)*Soil_Depth*1000*(1-(AX18+AY18+AZ18)/3)</f>
        <v>0.895926730250476</v>
      </c>
      <c r="BJ18" s="0" t="n">
        <f aca="false">AR18-BA18</f>
        <v>0.349948976124732</v>
      </c>
      <c r="BK18" s="0" t="n">
        <f aca="false">AR18-BB18</f>
        <v>0.352978513905592</v>
      </c>
      <c r="BL18" s="0" t="n">
        <f aca="false">AR18-AS18</f>
        <v>0.353</v>
      </c>
      <c r="BM18" s="0" t="n">
        <f aca="false">BA18-BB18</f>
        <v>0.00302953778086016</v>
      </c>
      <c r="BN18" s="0" t="n">
        <f aca="false">BA18-AS18</f>
        <v>0.00305102387526763</v>
      </c>
      <c r="BO18" s="0" t="n">
        <f aca="false">BB18-AS18</f>
        <v>2.14860944074691E-005</v>
      </c>
      <c r="BP18" s="0" t="n">
        <f aca="false">-0.046*LN(BM18)-0.0679</f>
        <v>0.198869880058743</v>
      </c>
      <c r="BR18" s="0" t="n">
        <f aca="false">LOG(BO18)*-0.3206+0.9205</f>
        <v>2.41701031202723</v>
      </c>
      <c r="BS18" s="0" t="n">
        <f aca="false">$BS$1/(BM18-$BU$1)+$BT$1</f>
        <v>2.65428552934373</v>
      </c>
      <c r="CW18" s="0" t="s">
        <v>182</v>
      </c>
      <c r="CX18" s="115" t="s">
        <v>2201</v>
      </c>
      <c r="CY18" s="115" t="s">
        <v>2202</v>
      </c>
      <c r="CZ18" s="0" t="n">
        <f aca="false">DN10</f>
        <v>70</v>
      </c>
      <c r="DL18" s="0" t="s">
        <v>2164</v>
      </c>
      <c r="DN18" s="0" t="s">
        <v>2164</v>
      </c>
    </row>
    <row r="19" customFormat="false" ht="15.75" hidden="false" customHeight="false" outlineLevel="0" collapsed="false">
      <c r="A19" s="0" t="n">
        <f aca="false">C19*-1000</f>
        <v>0.135780744537705</v>
      </c>
      <c r="B19" s="0" t="n">
        <f aca="false">B18-0.01</f>
        <v>0.92</v>
      </c>
      <c r="C19" s="0" t="n">
        <f aca="false">-((B19^(-1/$I$7)-1)^(1/$F$7))/$E$7/10000</f>
        <v>-0.000135780744537705</v>
      </c>
      <c r="D19" s="0" t="n">
        <f aca="false">$G$7*B19^$H$7*(1-(1-B19^(1/$I$7))^$I$7)^2</f>
        <v>2818.55154532484</v>
      </c>
      <c r="E19" s="0" t="n">
        <f aca="false">$D$7+B19*($C$7-$D$7)</f>
        <v>0.51048</v>
      </c>
      <c r="F19" s="0" t="n">
        <f aca="false">LOG(-C19*10000)</f>
        <v>0.132838185747492</v>
      </c>
      <c r="G19" s="0" t="n">
        <f aca="false">(E19-$D$7)*1000*$J$7</f>
        <v>103.5552</v>
      </c>
      <c r="I19" s="0" t="n">
        <v>10</v>
      </c>
      <c r="J19" s="0" t="n">
        <f aca="false">C7</f>
        <v>0.548</v>
      </c>
      <c r="S19" s="0" t="n">
        <v>-1.3694</v>
      </c>
      <c r="T19" s="0" t="n">
        <f aca="false">S19+'sureau_ini.txt'!$B$10*0.01</f>
        <v>-1.3594</v>
      </c>
      <c r="U19" s="0" t="n">
        <v>0.0971</v>
      </c>
      <c r="AQ19" s="72" t="s">
        <v>156</v>
      </c>
      <c r="AR19" s="117" t="n">
        <v>0.41</v>
      </c>
      <c r="AS19" s="117" t="n">
        <v>0.065</v>
      </c>
      <c r="AT19" s="117" t="n">
        <v>0.075</v>
      </c>
      <c r="AU19" s="117" t="n">
        <v>1.89</v>
      </c>
      <c r="AV19" s="117" t="n">
        <v>69.6150373729739</v>
      </c>
      <c r="AW19" s="94" t="n">
        <v>0.5</v>
      </c>
      <c r="AX19" s="113" t="n">
        <v>0</v>
      </c>
      <c r="AY19" s="113" t="n">
        <v>0</v>
      </c>
      <c r="AZ19" s="113" t="n">
        <v>0</v>
      </c>
      <c r="BA19" s="75" t="n">
        <f aca="false">AS19+(AR19-AS19)/(1+(AT19*0.033*10000)^AU19)^(1-1/AU19)</f>
        <v>0.0848181238613331</v>
      </c>
      <c r="BB19" s="75" t="n">
        <f aca="false">AS19+(AR19-AS19)/(1+(AT19*1.585*10000)^AU19)^(1-1/AU19)</f>
        <v>0.0656323946804164</v>
      </c>
      <c r="BC19" s="75" t="n">
        <f aca="false">AS19+(AR19-AS19)/(1+(AT19*3.5*10000)^AU19)^(1-1/AU19)</f>
        <v>0.0653124596490409</v>
      </c>
      <c r="BD19" s="75" t="n">
        <f aca="false">(AR19-AS19)*Soil_Depth*1000*(1-(AX19+AY19+AZ19)/3)</f>
        <v>101.568</v>
      </c>
      <c r="BE19" s="75" t="n">
        <f aca="false">(BA19-AS19)*Soil_Depth*1000*(1-(AX19+AY19+AZ19)/3)</f>
        <v>5.83445566477646</v>
      </c>
      <c r="BF19" s="75" t="n">
        <f aca="false">(BA19-AS19)/(AR19-AS19)</f>
        <v>0.0574438372792263</v>
      </c>
      <c r="BG19" s="75" t="n">
        <f aca="false">(BA19-BB19)*Soil_Depth*1000*(1-(AX19+AY19+AZ19)/3)</f>
        <v>5.64827867086187</v>
      </c>
      <c r="BH19" s="75" t="n">
        <f aca="false">(BA19-BC19)*Soil_Depth*1000*(1-(AX19+AY19+AZ19)/3)</f>
        <v>5.7424675440988</v>
      </c>
      <c r="BJ19" s="0" t="n">
        <f aca="false">AR19-BA19</f>
        <v>0.325181876138667</v>
      </c>
      <c r="BK19" s="0" t="n">
        <f aca="false">AR19-BB19</f>
        <v>0.344367605319584</v>
      </c>
      <c r="BL19" s="0" t="n">
        <f aca="false">AR19-AS19</f>
        <v>0.345</v>
      </c>
      <c r="BM19" s="0" t="n">
        <f aca="false">BA19-BB19</f>
        <v>0.0191857291809167</v>
      </c>
      <c r="BN19" s="0" t="n">
        <f aca="false">BA19-AS19</f>
        <v>0.0198181238613331</v>
      </c>
      <c r="BO19" s="0" t="n">
        <f aca="false">BB19-AS19</f>
        <v>0.000632394680416412</v>
      </c>
      <c r="BP19" s="0" t="n">
        <f aca="false">-0.046*LN(BM19)-0.0679</f>
        <v>0.113965073214399</v>
      </c>
      <c r="BR19" s="0" t="n">
        <f aca="false">LOG(BO19)*-0.3206+0.9205</f>
        <v>1.94610318049177</v>
      </c>
      <c r="BS19" s="0" t="n">
        <f aca="false">$BS$1/(BM19-$BU$1)+$BT$1</f>
        <v>1.92943650909092</v>
      </c>
      <c r="DL19" s="0" t="n">
        <v>27</v>
      </c>
      <c r="DN19" s="0" t="n">
        <v>4</v>
      </c>
    </row>
    <row r="20" customFormat="false" ht="15.75" hidden="false" customHeight="false" outlineLevel="0" collapsed="false">
      <c r="A20" s="0" t="n">
        <f aca="false">C20*-1000</f>
        <v>0.144332265377308</v>
      </c>
      <c r="B20" s="0" t="n">
        <f aca="false">B19-0.01</f>
        <v>0.91</v>
      </c>
      <c r="C20" s="0" t="n">
        <f aca="false">-((B20^(-1/$I$7)-1)^(1/$F$7))/$E$7/10000</f>
        <v>-0.000144332265377308</v>
      </c>
      <c r="D20" s="0" t="n">
        <f aca="false">$G$7*B20^$H$7*(1-(1-B20^(1/$I$7))^$I$7)^2</f>
        <v>2617.05114937222</v>
      </c>
      <c r="E20" s="0" t="n">
        <f aca="false">$D$7+B20*($C$7-$D$7)</f>
        <v>0.50579</v>
      </c>
      <c r="F20" s="0" t="n">
        <f aca="false">LOG(-C20*10000)</f>
        <v>0.159363428175564</v>
      </c>
      <c r="G20" s="0" t="n">
        <f aca="false">(E20-$D$7)*1000*$J$7</f>
        <v>102.4296</v>
      </c>
      <c r="S20" s="0" t="n">
        <v>-1.2865</v>
      </c>
      <c r="T20" s="0" t="n">
        <f aca="false">S20+'sureau_ini.txt'!$B$10*0.01</f>
        <v>-1.2765</v>
      </c>
      <c r="U20" s="0" t="n">
        <v>0.0925</v>
      </c>
      <c r="AP20" s="106" t="s">
        <v>120</v>
      </c>
      <c r="AQ20" s="72" t="s">
        <v>82</v>
      </c>
      <c r="AR20" s="117" t="n">
        <v>0.43</v>
      </c>
      <c r="AS20" s="117" t="n">
        <v>0.078</v>
      </c>
      <c r="AT20" s="117" t="n">
        <v>0.036</v>
      </c>
      <c r="AU20" s="117" t="n">
        <v>1.56</v>
      </c>
      <c r="AV20" s="117" t="n">
        <v>16.3769211388259</v>
      </c>
      <c r="AW20" s="94" t="n">
        <v>0.5</v>
      </c>
      <c r="AX20" s="113" t="n">
        <v>0</v>
      </c>
      <c r="AY20" s="113" t="n">
        <v>0</v>
      </c>
      <c r="AZ20" s="113" t="n">
        <v>0</v>
      </c>
      <c r="BA20" s="75" t="n">
        <f aca="false">AS20+(AR20-AS20)/(1+(AT20*0.033*10000)^AU20)^(1-1/AU20)</f>
        <v>0.16537708634239</v>
      </c>
      <c r="BB20" s="75" t="n">
        <f aca="false">AS20+(AR20-AS20)/(1+(AT20*1.585*10000)^AU20)^(1-1/AU20)</f>
        <v>0.0880690630018248</v>
      </c>
      <c r="BC20" s="75" t="n">
        <f aca="false">AS20+(AR20-AS20)/(1+(AT20*3.5*10000)^AU20)^(1-1/AU20)</f>
        <v>0.0844614931306538</v>
      </c>
      <c r="BD20" s="75" t="n">
        <f aca="false">(AR20-AS20)*Soil_Depth*1000*(1-(AX20+AY20+AZ20)/3)</f>
        <v>103.6288</v>
      </c>
      <c r="BE20" s="75" t="n">
        <f aca="false">(BA20-AS20)*Soil_Depth*1000*(1-(AX20+AY20+AZ20)/3)</f>
        <v>25.7238142191997</v>
      </c>
      <c r="BF20" s="75" t="n">
        <f aca="false">(BA20-AS20)/(AR20-AS20)</f>
        <v>0.248230358927246</v>
      </c>
      <c r="BG20" s="75" t="n">
        <f aca="false">(BA20-BB20)*Soil_Depth*1000*(1-(AX20+AY20+AZ20)/3)</f>
        <v>22.7594820714625</v>
      </c>
      <c r="BH20" s="75" t="n">
        <f aca="false">(BA20-BC20)*Soil_Depth*1000*(1-(AX20+AY20+AZ20)/3)</f>
        <v>23.8215506415353</v>
      </c>
      <c r="BJ20" s="0" t="n">
        <f aca="false">AR20-BA20</f>
        <v>0.26462291365761</v>
      </c>
      <c r="BK20" s="0" t="n">
        <f aca="false">AR20-BB20</f>
        <v>0.341930936998175</v>
      </c>
      <c r="BL20" s="0" t="n">
        <f aca="false">AR20-AS20</f>
        <v>0.352</v>
      </c>
      <c r="BM20" s="0" t="n">
        <f aca="false">BA20-BB20</f>
        <v>0.0773080233405656</v>
      </c>
      <c r="BN20" s="0" t="n">
        <f aca="false">BA20-AS20</f>
        <v>0.0873770863423905</v>
      </c>
      <c r="BO20" s="0" t="n">
        <f aca="false">BB20-AS20</f>
        <v>0.0100690630018248</v>
      </c>
      <c r="BP20" s="0" t="n">
        <f aca="false">-0.046*LN(BM20)-0.0679</f>
        <v>0.0498580465613503</v>
      </c>
      <c r="BR20" s="0" t="n">
        <f aca="false">LOG(BO20)*-0.3206+0.9205</f>
        <v>1.56074170793056</v>
      </c>
      <c r="BS20" s="0" t="n">
        <f aca="false">$BS$1/(BM20-$BU$1)+$BT$1</f>
        <v>1.51515598788488</v>
      </c>
      <c r="CZ20" s="523" t="s">
        <v>2203</v>
      </c>
      <c r="DA20" s="523" t="s">
        <v>2204</v>
      </c>
    </row>
    <row r="21" customFormat="false" ht="15.75" hidden="false" customHeight="false" outlineLevel="0" collapsed="false">
      <c r="A21" s="0" t="n">
        <f aca="false">C21*-1000</f>
        <v>0.152566794357139</v>
      </c>
      <c r="B21" s="0" t="n">
        <f aca="false">B20-0.01</f>
        <v>0.9</v>
      </c>
      <c r="C21" s="0" t="n">
        <f aca="false">-((B21^(-1/$I$7)-1)^(1/$F$7))/$E$7/10000</f>
        <v>-0.000152566794357139</v>
      </c>
      <c r="D21" s="0" t="n">
        <f aca="false">$G$7*B21^$H$7*(1-(1-B21^(1/$I$7))^$I$7)^2</f>
        <v>2433.81363809568</v>
      </c>
      <c r="E21" s="0" t="n">
        <f aca="false">$D$7+B21*($C$7-$D$7)</f>
        <v>0.5011</v>
      </c>
      <c r="F21" s="0" t="n">
        <f aca="false">LOG(-C21*10000)</f>
        <v>0.183460021189684</v>
      </c>
      <c r="G21" s="0" t="n">
        <f aca="false">(E21-$D$7)*1000*$J$7</f>
        <v>101.304</v>
      </c>
      <c r="I21" s="0" t="n">
        <v>0</v>
      </c>
      <c r="J21" s="0" t="n">
        <f aca="false">D7</f>
        <v>0.079</v>
      </c>
      <c r="S21" s="0" t="n">
        <v>-1.182</v>
      </c>
      <c r="T21" s="0" t="n">
        <f aca="false">S21+'sureau_ini.txt'!$B$10*0.01</f>
        <v>-1.172</v>
      </c>
      <c r="U21" s="0" t="n">
        <v>0.1117</v>
      </c>
      <c r="AQ21" s="72" t="s">
        <v>176</v>
      </c>
      <c r="AR21" s="94" t="n">
        <v>0.46</v>
      </c>
      <c r="AS21" s="94" t="n">
        <v>0.034</v>
      </c>
      <c r="AT21" s="94" t="n">
        <v>0.016</v>
      </c>
      <c r="AU21" s="94" t="n">
        <v>1.37</v>
      </c>
      <c r="AV21" s="94" t="n">
        <v>3.93675988914084</v>
      </c>
      <c r="AW21" s="94" t="n">
        <v>0.5</v>
      </c>
      <c r="AX21" s="113" t="n">
        <v>0</v>
      </c>
      <c r="AY21" s="113" t="n">
        <v>0</v>
      </c>
      <c r="AZ21" s="113" t="n">
        <v>0</v>
      </c>
      <c r="BA21" s="75" t="n">
        <f aca="false">AS21+(AR21-AS21)/(1+(AT21*0.033*10000)^AU21)^(1-1/AU21)</f>
        <v>0.258185803243731</v>
      </c>
      <c r="BB21" s="75" t="n">
        <f aca="false">AS21+(AR21-AS21)/(1+(AT21*1.585*10000)^AU21)^(1-1/AU21)</f>
        <v>0.0889306510116079</v>
      </c>
      <c r="BC21" s="75" t="n">
        <f aca="false">AS21+(AR21-AS21)/(1+(AT21*3.5*10000)^AU21)^(1-1/AU21)</f>
        <v>0.0749788609061304</v>
      </c>
      <c r="BD21" s="75" t="n">
        <f aca="false">(AR21-AS21)*Soil_Depth*1000*(1-(AX21+AY21+AZ21)/3)</f>
        <v>125.4144</v>
      </c>
      <c r="BE21" s="75" t="n">
        <f aca="false">(BA21-AS21)*Soil_Depth*1000*(1-(AX21+AY21+AZ21)/3)</f>
        <v>66.0003004749543</v>
      </c>
      <c r="BF21" s="75" t="n">
        <f aca="false">(BA21-AS21)/(AR21-AS21)</f>
        <v>0.526257754093265</v>
      </c>
      <c r="BG21" s="75" t="n">
        <f aca="false">(BA21-BB21)*Soil_Depth*1000*(1-(AX21+AY21+AZ21)/3)</f>
        <v>49.8287168171369</v>
      </c>
      <c r="BH21" s="75" t="n">
        <f aca="false">(BA21-BC21)*Soil_Depth*1000*(1-(AX21+AY21+AZ21)/3)</f>
        <v>53.9361238241895</v>
      </c>
      <c r="BJ21" s="0" t="n">
        <f aca="false">AR21-BA21</f>
        <v>0.201814196756269</v>
      </c>
      <c r="BK21" s="0" t="n">
        <f aca="false">AR21-BB21</f>
        <v>0.371069348988392</v>
      </c>
      <c r="BL21" s="0" t="n">
        <f aca="false">AR21-AS21</f>
        <v>0.426</v>
      </c>
      <c r="BM21" s="0" t="n">
        <f aca="false">BA21-BB21</f>
        <v>0.169255152232123</v>
      </c>
      <c r="BN21" s="0" t="n">
        <f aca="false">BA21-AS21</f>
        <v>0.224185803243731</v>
      </c>
      <c r="BO21" s="0" t="n">
        <f aca="false">BB21-AS21</f>
        <v>0.0549306510116079</v>
      </c>
      <c r="BP21" s="0" t="n">
        <f aca="false">-0.046*LN(BM21)-0.0679</f>
        <v>0.0138120046008004</v>
      </c>
      <c r="BR21" s="0" t="n">
        <f aca="false">LOG(BO21)*-0.3206+0.9205</f>
        <v>1.32451539240008</v>
      </c>
      <c r="BS21" s="0" t="n">
        <f aca="false">$BS$1/(BM21-$BU$1)+$BT$1</f>
        <v>1.40540614104352</v>
      </c>
      <c r="CX21" s="115" t="s">
        <v>2205</v>
      </c>
      <c r="CY21" s="115" t="s">
        <v>2206</v>
      </c>
      <c r="CZ21" s="0" t="n">
        <f aca="false">DN7</f>
        <v>42.81673</v>
      </c>
      <c r="DA21" s="0" t="n">
        <f aca="false">DN4</f>
        <v>43.43396</v>
      </c>
      <c r="DL21" s="0" t="s">
        <v>2164</v>
      </c>
      <c r="DN21" s="0" t="s">
        <v>2164</v>
      </c>
    </row>
    <row r="22" customFormat="false" ht="15.75" hidden="false" customHeight="false" outlineLevel="0" collapsed="false">
      <c r="A22" s="0" t="n">
        <f aca="false">C22*-1000</f>
        <v>0.160546255036187</v>
      </c>
      <c r="B22" s="0" t="n">
        <f aca="false">B21-0.01</f>
        <v>0.89</v>
      </c>
      <c r="C22" s="0" t="n">
        <f aca="false">-((B22^(-1/$I$7)-1)^(1/$F$7))/$E$7/10000</f>
        <v>-0.000160546255036187</v>
      </c>
      <c r="D22" s="0" t="n">
        <f aca="false">$G$7*B22^$H$7*(1-(1-B22^(1/$I$7))^$I$7)^2</f>
        <v>2266.2695549682</v>
      </c>
      <c r="E22" s="0" t="n">
        <f aca="false">$D$7+B22*($C$7-$D$7)</f>
        <v>0.49641</v>
      </c>
      <c r="F22" s="0" t="n">
        <f aca="false">LOG(-C22*10000)</f>
        <v>0.205600179500229</v>
      </c>
      <c r="G22" s="0" t="n">
        <f aca="false">(E22-$D$7)*1000*$J$7</f>
        <v>100.1784</v>
      </c>
      <c r="I22" s="0" t="n">
        <v>10</v>
      </c>
      <c r="J22" s="0" t="n">
        <f aca="false">D7</f>
        <v>0.079</v>
      </c>
      <c r="S22" s="0" t="n">
        <v>-1.1748</v>
      </c>
      <c r="T22" s="0" t="n">
        <f aca="false">S22+'sureau_ini.txt'!$B$10*0.01</f>
        <v>-1.1648</v>
      </c>
      <c r="U22" s="0" t="n">
        <v>0.1398</v>
      </c>
      <c r="AQ22" s="72" t="s">
        <v>188</v>
      </c>
      <c r="AR22" s="94" t="n">
        <v>0.45</v>
      </c>
      <c r="AS22" s="94" t="n">
        <v>0.067</v>
      </c>
      <c r="AT22" s="94" t="n">
        <v>0.02</v>
      </c>
      <c r="AU22" s="94" t="n">
        <v>1.41</v>
      </c>
      <c r="AV22" s="94" t="n">
        <v>7.08616780045352</v>
      </c>
      <c r="AW22" s="94" t="n">
        <v>0.5</v>
      </c>
      <c r="AX22" s="113" t="n">
        <v>0</v>
      </c>
      <c r="AY22" s="113" t="n">
        <v>0</v>
      </c>
      <c r="AZ22" s="113" t="n">
        <v>0</v>
      </c>
      <c r="BA22" s="75" t="n">
        <f aca="false">AS22+(AR22-AS22)/(1+(AT22*0.033*10000)^AU22)^(1-1/AU22)</f>
        <v>0.24024232056603</v>
      </c>
      <c r="BB22" s="75" t="n">
        <f aca="false">AS22+(AR22-AS22)/(1+(AT22*1.585*10000)^AU22)^(1-1/AU22)</f>
        <v>0.103118267554351</v>
      </c>
      <c r="BC22" s="75" t="n">
        <f aca="false">AS22+(AR22-AS22)/(1+(AT22*3.5*10000)^AU22)^(1-1/AU22)</f>
        <v>0.0931033521462202</v>
      </c>
      <c r="BD22" s="75" t="n">
        <f aca="false">(AR22-AS22)*Soil_Depth*1000*(1-(AX22+AY22+AZ22)/3)</f>
        <v>112.7552</v>
      </c>
      <c r="BE22" s="75" t="n">
        <f aca="false">(BA22-AS22)*Soil_Depth*1000*(1-(AX22+AY22+AZ22)/3)</f>
        <v>51.0025391746394</v>
      </c>
      <c r="BF22" s="75" t="n">
        <f aca="false">(BA22-AS22)/(AR22-AS22)</f>
        <v>0.452329818710262</v>
      </c>
      <c r="BG22" s="75" t="n">
        <f aca="false">(BA22-BB22)*Soil_Depth*1000*(1-(AX22+AY22+AZ22)/3)</f>
        <v>40.3693212066386</v>
      </c>
      <c r="BH22" s="75" t="n">
        <f aca="false">(BA22-BC22)*Soil_Depth*1000*(1-(AX22+AY22+AZ22)/3)</f>
        <v>43.3177123027921</v>
      </c>
      <c r="BJ22" s="0" t="n">
        <f aca="false">AR22-BA22</f>
        <v>0.209757679433969</v>
      </c>
      <c r="BK22" s="0" t="n">
        <f aca="false">AR22-BB22</f>
        <v>0.346881732445649</v>
      </c>
      <c r="BL22" s="0" t="n">
        <f aca="false">AR22-AS22</f>
        <v>0.383</v>
      </c>
      <c r="BM22" s="0" t="n">
        <f aca="false">BA22-BB22</f>
        <v>0.13712405301168</v>
      </c>
      <c r="BN22" s="0" t="n">
        <f aca="false">BA22-AS22</f>
        <v>0.173242320566031</v>
      </c>
      <c r="BO22" s="0" t="n">
        <f aca="false">BB22-AS22</f>
        <v>0.0361182675543506</v>
      </c>
      <c r="BP22" s="0" t="n">
        <f aca="false">-0.046*LN(BM22)-0.0679</f>
        <v>0.023495986255917</v>
      </c>
      <c r="BR22" s="0" t="n">
        <f aca="false">LOG(BO22)*-0.3206+0.9205</f>
        <v>1.38289275239429</v>
      </c>
      <c r="BS22" s="0" t="n">
        <f aca="false">$BS$1/(BM22-$BU$1)+$BT$1</f>
        <v>1.42827086225153</v>
      </c>
      <c r="CX22" s="115" t="s">
        <v>2207</v>
      </c>
      <c r="CY22" s="115" t="s">
        <v>2208</v>
      </c>
      <c r="CZ22" s="0" t="n">
        <f aca="false">DN34</f>
        <v>1.73</v>
      </c>
      <c r="DA22" s="0" t="n">
        <f aca="false">DN13</f>
        <v>1.74</v>
      </c>
      <c r="DL22" s="0" t="n">
        <v>28</v>
      </c>
      <c r="DN22" s="0" t="n">
        <v>0.39</v>
      </c>
    </row>
    <row r="23" customFormat="false" ht="15.75" hidden="false" customHeight="false" outlineLevel="0" collapsed="false">
      <c r="A23" s="0" t="n">
        <f aca="false">C23*-1000</f>
        <v>0.168318884764093</v>
      </c>
      <c r="B23" s="0" t="n">
        <f aca="false">B22-0.01</f>
        <v>0.88</v>
      </c>
      <c r="C23" s="0" t="n">
        <f aca="false">-((B23^(-1/$I$7)-1)^(1/$F$7))/$E$7/10000</f>
        <v>-0.000168318884764093</v>
      </c>
      <c r="D23" s="0" t="n">
        <f aca="false">$G$7*B23^$H$7*(1-(1-B23^(1/$I$7))^$I$7)^2</f>
        <v>2112.39515208732</v>
      </c>
      <c r="E23" s="0" t="n">
        <f aca="false">$D$7+B23*($C$7-$D$7)</f>
        <v>0.49172</v>
      </c>
      <c r="F23" s="0" t="n">
        <f aca="false">LOG(-C23*10000)</f>
        <v>0.22613284496411</v>
      </c>
      <c r="G23" s="0" t="n">
        <f aca="false">(E23-$D$7)*1000*$J$7</f>
        <v>99.0528</v>
      </c>
      <c r="S23" s="0" t="n">
        <v>-1.1748</v>
      </c>
      <c r="T23" s="0" t="n">
        <f aca="false">S23+'sureau_ini.txt'!$B$10*0.01</f>
        <v>-1.1648</v>
      </c>
      <c r="U23" s="0" t="n">
        <v>0.1749</v>
      </c>
      <c r="AQ23" s="72" t="s">
        <v>196</v>
      </c>
      <c r="AR23" s="94" t="n">
        <v>0.39</v>
      </c>
      <c r="AS23" s="94" t="n">
        <v>0.1</v>
      </c>
      <c r="AT23" s="94" t="n">
        <v>0.059</v>
      </c>
      <c r="AU23" s="94" t="n">
        <v>1.48</v>
      </c>
      <c r="AV23" s="94" t="n">
        <v>20.628621819098</v>
      </c>
      <c r="AW23" s="94" t="n">
        <v>0.5</v>
      </c>
      <c r="AX23" s="113" t="n">
        <v>0</v>
      </c>
      <c r="AY23" s="113" t="n">
        <v>0</v>
      </c>
      <c r="AZ23" s="113" t="n">
        <v>0</v>
      </c>
      <c r="BA23" s="75" t="n">
        <f aca="false">AS23+(AR23-AS23)/(1+(AT23*0.033*10000)^AU23)^(1-1/AU23)</f>
        <v>0.169466143156028</v>
      </c>
      <c r="BB23" s="75" t="n">
        <f aca="false">AS23+(AR23-AS23)/(1+(AT23*1.585*10000)^AU23)^(1-1/AU23)</f>
        <v>0.110873499452369</v>
      </c>
      <c r="BC23" s="75" t="n">
        <f aca="false">AS23+(AR23-AS23)/(1+(AT23*3.5*10000)^AU23)^(1-1/AU23)</f>
        <v>0.107434206536619</v>
      </c>
      <c r="BD23" s="75" t="n">
        <f aca="false">(AR23-AS23)*Soil_Depth*1000*(1-(AX23+AY23+AZ23)/3)</f>
        <v>85.376</v>
      </c>
      <c r="BE23" s="75" t="n">
        <f aca="false">(BA23-AS23)*Soil_Depth*1000*(1-(AX23+AY23+AZ23)/3)</f>
        <v>20.4508325451345</v>
      </c>
      <c r="BF23" s="75" t="n">
        <f aca="false">(BA23-AS23)/(AR23-AS23)</f>
        <v>0.239538424675957</v>
      </c>
      <c r="BG23" s="75" t="n">
        <f aca="false">(BA23-BB23)*Soil_Depth*1000*(1-(AX23+AY23+AZ23)/3)</f>
        <v>17.249674306357</v>
      </c>
      <c r="BH23" s="75" t="n">
        <f aca="false">(BA23-BC23)*Soil_Depth*1000*(1-(AX23+AY23+AZ23)/3)</f>
        <v>18.262202140754</v>
      </c>
      <c r="BJ23" s="0" t="n">
        <f aca="false">AR23-BA23</f>
        <v>0.220533856843972</v>
      </c>
      <c r="BK23" s="0" t="n">
        <f aca="false">AR23-BB23</f>
        <v>0.279126500547631</v>
      </c>
      <c r="BL23" s="0" t="n">
        <f aca="false">AR23-AS23</f>
        <v>0.29</v>
      </c>
      <c r="BM23" s="0" t="n">
        <f aca="false">BA23-BB23</f>
        <v>0.0585926437036583</v>
      </c>
      <c r="BN23" s="0" t="n">
        <f aca="false">BA23-AS23</f>
        <v>0.0694661431560276</v>
      </c>
      <c r="BO23" s="0" t="n">
        <f aca="false">BB23-AS23</f>
        <v>0.0108734994523692</v>
      </c>
      <c r="BP23" s="0" t="n">
        <f aca="false">-0.046*LN(BM23)-0.0679</f>
        <v>0.0626087217199387</v>
      </c>
      <c r="BR23" s="0" t="n">
        <f aca="false">LOG(BO23)*-0.3206+0.9205</f>
        <v>1.55003999057858</v>
      </c>
      <c r="BS23" s="0" t="n">
        <f aca="false">$BS$1/(BM23-$BU$1)+$BT$1</f>
        <v>1.57301736202042</v>
      </c>
      <c r="CX23" s="115" t="s">
        <v>2209</v>
      </c>
      <c r="CY23" s="115" t="s">
        <v>2210</v>
      </c>
      <c r="CZ23" s="0" t="n">
        <f aca="false">DN19</f>
        <v>4</v>
      </c>
      <c r="DA23" s="0" t="n">
        <f aca="false">DN16</f>
        <v>4</v>
      </c>
    </row>
    <row r="24" customFormat="false" ht="15.75" hidden="false" customHeight="false" outlineLevel="0" collapsed="false">
      <c r="A24" s="0" t="n">
        <f aca="false">C24*-1000</f>
        <v>0.175923263772012</v>
      </c>
      <c r="B24" s="0" t="n">
        <f aca="false">B23-0.01</f>
        <v>0.87</v>
      </c>
      <c r="C24" s="0" t="n">
        <f aca="false">-((B24^(-1/$I$7)-1)^(1/$F$7))/$E$7/10000</f>
        <v>-0.000175923263772012</v>
      </c>
      <c r="D24" s="0" t="n">
        <f aca="false">$G$7*B24^$H$7*(1-(1-B24^(1/$I$7))^$I$7)^2</f>
        <v>1970.55998294238</v>
      </c>
      <c r="E24" s="0" t="n">
        <f aca="false">$D$7+B24*($C$7-$D$7)</f>
        <v>0.48703</v>
      </c>
      <c r="F24" s="0" t="n">
        <f aca="false">LOG(-C24*10000)</f>
        <v>0.245323273566391</v>
      </c>
      <c r="G24" s="0" t="n">
        <f aca="false">(E24-$D$7)*1000*$J$7</f>
        <v>97.9272</v>
      </c>
      <c r="S24" s="0" t="n">
        <v>-1.2036</v>
      </c>
      <c r="T24" s="0" t="n">
        <f aca="false">S24+'sureau_ini.txt'!$B$10*0.01</f>
        <v>-1.1936</v>
      </c>
      <c r="U24" s="0" t="n">
        <v>0.1905</v>
      </c>
      <c r="AQ24" s="72" t="s">
        <v>202</v>
      </c>
      <c r="AR24" s="94" t="n">
        <v>0.41</v>
      </c>
      <c r="AS24" s="94" t="n">
        <v>0.095</v>
      </c>
      <c r="AT24" s="94" t="n">
        <v>0.019</v>
      </c>
      <c r="AU24" s="94" t="n">
        <v>1.31</v>
      </c>
      <c r="AV24" s="94" t="n">
        <v>4.09423028470648</v>
      </c>
      <c r="AW24" s="94" t="n">
        <v>0.5</v>
      </c>
      <c r="AX24" s="113" t="n">
        <v>0</v>
      </c>
      <c r="AY24" s="113" t="n">
        <v>0</v>
      </c>
      <c r="AZ24" s="113" t="n">
        <v>0</v>
      </c>
      <c r="BA24" s="75" t="n">
        <f aca="false">AS24+(AR24-AS24)/(1+(AT24*0.033*10000)^AU24)^(1-1/AU24)</f>
        <v>0.269692718378457</v>
      </c>
      <c r="BB24" s="75" t="n">
        <f aca="false">AS24+(AR24-AS24)/(1+(AT24*1.585*10000)^AU24)^(1-1/AU24)</f>
        <v>0.148682127018555</v>
      </c>
      <c r="BC24" s="75" t="n">
        <f aca="false">AS24+(AR24-AS24)/(1+(AT24*3.5*10000)^AU24)^(1-1/AU24)</f>
        <v>0.136996707215776</v>
      </c>
      <c r="BD24" s="75" t="n">
        <f aca="false">(AR24-AS24)*Soil_Depth*1000*(1-(AX24+AY24+AZ24)/3)</f>
        <v>92.736</v>
      </c>
      <c r="BE24" s="75" t="n">
        <f aca="false">(BA24-AS24)*Soil_Depth*1000*(1-(AX24+AY24+AZ24)/3)</f>
        <v>51.4295362906177</v>
      </c>
      <c r="BF24" s="75" t="n">
        <f aca="false">(BA24-AS24)/(AR24-AS24)</f>
        <v>0.554580058344307</v>
      </c>
      <c r="BG24" s="75" t="n">
        <f aca="false">(BA24-BB24)*Soil_Depth*1000*(1-(AX24+AY24+AZ24)/3)</f>
        <v>35.6255180963552</v>
      </c>
      <c r="BH24" s="75" t="n">
        <f aca="false">(BA24-BC24)*Soil_Depth*1000*(1-(AX24+AY24+AZ24)/3)</f>
        <v>39.0657056862933</v>
      </c>
      <c r="BJ24" s="0" t="n">
        <f aca="false">AR24-BA24</f>
        <v>0.140307281621543</v>
      </c>
      <c r="BK24" s="0" t="n">
        <f aca="false">AR24-BB24</f>
        <v>0.261317872981445</v>
      </c>
      <c r="BL24" s="0" t="n">
        <f aca="false">AR24-AS24</f>
        <v>0.315</v>
      </c>
      <c r="BM24" s="0" t="n">
        <f aca="false">BA24-BB24</f>
        <v>0.121010591359902</v>
      </c>
      <c r="BN24" s="0" t="n">
        <f aca="false">BA24-AS24</f>
        <v>0.174692718378457</v>
      </c>
      <c r="BO24" s="0" t="n">
        <f aca="false">BB24-AS24</f>
        <v>0.0536821270185545</v>
      </c>
      <c r="BP24" s="0" t="n">
        <f aca="false">-0.046*LN(BM24)-0.0679</f>
        <v>0.0292463514445393</v>
      </c>
      <c r="BR24" s="0" t="n">
        <f aca="false">LOG(BO24)*-0.3206+0.9205</f>
        <v>1.32771659326756</v>
      </c>
      <c r="BS24" s="0" t="n">
        <f aca="false">$BS$1/(BM24-$BU$1)+$BT$1</f>
        <v>1.44392784551809</v>
      </c>
      <c r="CX24" s="115" t="s">
        <v>2211</v>
      </c>
      <c r="CY24" s="115" t="s">
        <v>2210</v>
      </c>
      <c r="CZ24" s="0" t="n">
        <f aca="false">DN40</f>
        <v>3</v>
      </c>
      <c r="DA24" s="0" t="n">
        <f aca="false">DN37</f>
        <v>4</v>
      </c>
      <c r="DL24" s="0" t="s">
        <v>2164</v>
      </c>
      <c r="DN24" s="0" t="s">
        <v>2164</v>
      </c>
    </row>
    <row r="25" customFormat="false" ht="15.75" hidden="false" customHeight="false" outlineLevel="0" collapsed="false">
      <c r="A25" s="0" t="n">
        <f aca="false">C25*-1000</f>
        <v>0.183390954360498</v>
      </c>
      <c r="B25" s="0" t="n">
        <f aca="false">B24-0.01</f>
        <v>0.86</v>
      </c>
      <c r="C25" s="0" t="n">
        <f aca="false">-((B25^(-1/$I$7)-1)^(1/$F$7))/$E$7/10000</f>
        <v>-0.000183390954360498</v>
      </c>
      <c r="D25" s="0" t="n">
        <f aca="false">$G$7*B25^$H$7*(1-(1-B25^(1/$I$7))^$I$7)^2</f>
        <v>1839.42560737502</v>
      </c>
      <c r="E25" s="0" t="n">
        <f aca="false">$D$7+B25*($C$7-$D$7)</f>
        <v>0.48234</v>
      </c>
      <c r="F25" s="0" t="n">
        <f aca="false">LOG(-C25*10000)</f>
        <v>0.263377910569532</v>
      </c>
      <c r="G25" s="0" t="n">
        <f aca="false">(E25-$D$7)*1000*$J$7</f>
        <v>96.8016</v>
      </c>
      <c r="S25" s="0" t="n">
        <v>-0.9117</v>
      </c>
      <c r="T25" s="0" t="n">
        <f aca="false">S25+'sureau_ini.txt'!$B$10*0.01</f>
        <v>-0.9017</v>
      </c>
      <c r="U25" s="0" t="n">
        <v>0.1597</v>
      </c>
      <c r="AQ25" s="72" t="s">
        <v>210</v>
      </c>
      <c r="AR25" s="94" t="n">
        <v>0.43</v>
      </c>
      <c r="AS25" s="94" t="n">
        <v>0.089</v>
      </c>
      <c r="AT25" s="94" t="n">
        <v>0.01</v>
      </c>
      <c r="AU25" s="94" t="n">
        <v>1.23</v>
      </c>
      <c r="AV25" s="94" t="n">
        <v>1.10229276895944</v>
      </c>
      <c r="AW25" s="94" t="n">
        <v>0.5</v>
      </c>
      <c r="AX25" s="113" t="n">
        <v>0</v>
      </c>
      <c r="AY25" s="113" t="n">
        <v>0</v>
      </c>
      <c r="AZ25" s="113" t="n">
        <v>0</v>
      </c>
      <c r="BA25" s="75" t="n">
        <f aca="false">AS25+(AR25-AS25)/(1+(AT25*0.033*10000)^AU25)^(1-1/AU25)</f>
        <v>0.338268359863349</v>
      </c>
      <c r="BB25" s="75" t="n">
        <f aca="false">AS25+(AR25-AS25)/(1+(AT25*1.585*10000)^AU25)^(1-1/AU25)</f>
        <v>0.195313399828886</v>
      </c>
      <c r="BC25" s="75" t="n">
        <f aca="false">AS25+(AR25-AS25)/(1+(AT25*3.5*10000)^AU25)^(1-1/AU25)</f>
        <v>0.17762544711916</v>
      </c>
      <c r="BD25" s="75" t="n">
        <f aca="false">(AR25-AS25)*Soil_Depth*1000*(1-(AX25+AY25+AZ25)/3)</f>
        <v>100.3904</v>
      </c>
      <c r="BE25" s="75" t="n">
        <f aca="false">(BA25-AS25)*Soil_Depth*1000*(1-(AX25+AY25+AZ25)/3)</f>
        <v>73.3846051437701</v>
      </c>
      <c r="BF25" s="75" t="n">
        <f aca="false">(BA25-AS25)/(AR25-AS25)</f>
        <v>0.730992257663781</v>
      </c>
      <c r="BG25" s="75" t="n">
        <f aca="false">(BA25-BB25)*Soil_Depth*1000*(1-(AX25+AY25+AZ25)/3)</f>
        <v>42.0859402341461</v>
      </c>
      <c r="BH25" s="75" t="n">
        <f aca="false">(BA25-BC25)*Soil_Depth*1000*(1-(AX25+AY25+AZ25)/3)</f>
        <v>47.2932735118895</v>
      </c>
      <c r="BJ25" s="0" t="n">
        <f aca="false">AR25-BA25</f>
        <v>0.0917316401366506</v>
      </c>
      <c r="BK25" s="0" t="n">
        <f aca="false">AR25-BB25</f>
        <v>0.234686600171114</v>
      </c>
      <c r="BL25" s="0" t="n">
        <f aca="false">AR25-AS25</f>
        <v>0.341</v>
      </c>
      <c r="BM25" s="0" t="n">
        <f aca="false">BA25-BB25</f>
        <v>0.142954960034464</v>
      </c>
      <c r="BN25" s="0" t="n">
        <f aca="false">BA25-AS25</f>
        <v>0.249268359863349</v>
      </c>
      <c r="BO25" s="0" t="n">
        <f aca="false">BB25-AS25</f>
        <v>0.106313399828886</v>
      </c>
      <c r="BP25" s="0" t="n">
        <f aca="false">-0.046*LN(BM25)-0.0679</f>
        <v>0.0215803805038888</v>
      </c>
      <c r="BR25" s="0" t="n">
        <f aca="false">LOG(BO25)*-0.3206+0.9205</f>
        <v>1.232575885017</v>
      </c>
      <c r="BS25" s="0" t="n">
        <f aca="false">$BS$1/(BM25-$BU$1)+$BT$1</f>
        <v>1.42341271756199</v>
      </c>
      <c r="CX25" s="115" t="s">
        <v>2212</v>
      </c>
      <c r="CY25" s="115" t="s">
        <v>529</v>
      </c>
      <c r="CZ25" s="0" t="n">
        <f aca="false">DN43</f>
        <v>2.18</v>
      </c>
      <c r="DA25" s="0" t="n">
        <f aca="false">DN22</f>
        <v>0.39</v>
      </c>
      <c r="DL25" s="0" t="n">
        <v>0</v>
      </c>
      <c r="DN25" s="0" t="n">
        <v>88</v>
      </c>
    </row>
    <row r="26" customFormat="false" ht="15.75" hidden="false" customHeight="false" outlineLevel="0" collapsed="false">
      <c r="A26" s="0" t="n">
        <f aca="false">C26*-1000</f>
        <v>0.190748294464232</v>
      </c>
      <c r="B26" s="0" t="n">
        <f aca="false">B25-0.01</f>
        <v>0.85</v>
      </c>
      <c r="C26" s="0" t="n">
        <f aca="false">-((B26^(-1/$I$7)-1)^(1/$F$7))/$E$7/10000</f>
        <v>-0.000190748294464232</v>
      </c>
      <c r="D26" s="0" t="n">
        <f aca="false">$G$7*B26^$H$7*(1-(1-B26^(1/$I$7))^$I$7)^2</f>
        <v>1717.87582693988</v>
      </c>
      <c r="E26" s="0" t="n">
        <f aca="false">$D$7+B26*($C$7-$D$7)</f>
        <v>0.47765</v>
      </c>
      <c r="F26" s="0" t="n">
        <f aca="false">LOG(-C26*10000)</f>
        <v>0.280460663491483</v>
      </c>
      <c r="G26" s="0" t="n">
        <f aca="false">(E26-$D$7)*1000*$J$7</f>
        <v>95.676</v>
      </c>
      <c r="S26" s="0" t="n">
        <v>-0.9766</v>
      </c>
      <c r="T26" s="0" t="n">
        <f aca="false">S26+'sureau_ini.txt'!$B$10*0.01</f>
        <v>-0.9666</v>
      </c>
      <c r="U26" s="0" t="n">
        <v>0.2232</v>
      </c>
      <c r="AQ26" s="72" t="s">
        <v>221</v>
      </c>
      <c r="AR26" s="94" t="n">
        <v>0.38</v>
      </c>
      <c r="AS26" s="94" t="n">
        <v>0.1</v>
      </c>
      <c r="AT26" s="94" t="n">
        <v>0.027</v>
      </c>
      <c r="AU26" s="94" t="n">
        <v>1.23</v>
      </c>
      <c r="AV26" s="94" t="n">
        <v>1.8896447467876</v>
      </c>
      <c r="AW26" s="94" t="n">
        <v>0.5</v>
      </c>
      <c r="AX26" s="113" t="n">
        <v>0</v>
      </c>
      <c r="AY26" s="113" t="n">
        <v>0</v>
      </c>
      <c r="AZ26" s="113" t="n">
        <v>0</v>
      </c>
      <c r="BA26" s="75" t="n">
        <f aca="false">AS26+(AR26-AS26)/(1+(AT26*0.033*10000)^AU26)^(1-1/AU26)</f>
        <v>0.267245244989273</v>
      </c>
      <c r="BB26" s="75" t="n">
        <f aca="false">AS26+(AR26-AS26)/(1+(AT26*1.585*10000)^AU26)^(1-1/AU26)</f>
        <v>0.169484918248738</v>
      </c>
      <c r="BC26" s="75" t="n">
        <f aca="false">AS26+(AR26-AS26)/(1+(AT26*3.5*10000)^AU26)^(1-1/AU26)</f>
        <v>0.15791498412862</v>
      </c>
      <c r="BD26" s="75" t="n">
        <f aca="false">(AR26-AS26)*Soil_Depth*1000*(1-(AX26+AY26+AZ26)/3)</f>
        <v>82.432</v>
      </c>
      <c r="BE26" s="75" t="n">
        <f aca="false">(BA26-AS26)*Soil_Depth*1000*(1-(AX26+AY26+AZ26)/3)</f>
        <v>49.237000124842</v>
      </c>
      <c r="BF26" s="75" t="n">
        <f aca="false">(BA26-AS26)/(AR26-AS26)</f>
        <v>0.597304446390261</v>
      </c>
      <c r="BG26" s="75" t="n">
        <f aca="false">(BA26-BB26)*Soil_Depth*1000*(1-(AX26+AY26+AZ26)/3)</f>
        <v>28.7806401924134</v>
      </c>
      <c r="BH26" s="75" t="n">
        <f aca="false">(BA26-BC26)*Soil_Depth*1000*(1-(AX26+AY26+AZ26)/3)</f>
        <v>32.1868287973763</v>
      </c>
      <c r="BJ26" s="0" t="n">
        <f aca="false">AR26-BA26</f>
        <v>0.112754755010727</v>
      </c>
      <c r="BK26" s="0" t="n">
        <f aca="false">AR26-BB26</f>
        <v>0.210515081751262</v>
      </c>
      <c r="BL26" s="0" t="n">
        <f aca="false">AR26-AS26</f>
        <v>0.28</v>
      </c>
      <c r="BM26" s="0" t="n">
        <f aca="false">BA26-BB26</f>
        <v>0.0977603267405346</v>
      </c>
      <c r="BN26" s="0" t="n">
        <f aca="false">BA26-AS26</f>
        <v>0.167245244989273</v>
      </c>
      <c r="BO26" s="0" t="n">
        <f aca="false">BB26-AS26</f>
        <v>0.0694849182487384</v>
      </c>
      <c r="BP26" s="0" t="n">
        <f aca="false">-0.046*LN(BM26)-0.0679</f>
        <v>0.0390608762994408</v>
      </c>
      <c r="BR26" s="0" t="n">
        <f aca="false">LOG(BO26)*-0.3206+0.9205</f>
        <v>1.29178988938454</v>
      </c>
      <c r="BS26" s="0" t="n">
        <f aca="false">$BS$1/(BM26-$BU$1)+$BT$1</f>
        <v>1.47469605479696</v>
      </c>
      <c r="CX26" s="115" t="s">
        <v>2213</v>
      </c>
      <c r="CY26" s="115" t="s">
        <v>2210</v>
      </c>
      <c r="CZ26" s="0" t="n">
        <f aca="false">DN46</f>
        <v>87</v>
      </c>
      <c r="DA26" s="0" t="n">
        <f aca="false">DN25</f>
        <v>88</v>
      </c>
    </row>
    <row r="27" customFormat="false" ht="15.75" hidden="false" customHeight="false" outlineLevel="0" collapsed="false">
      <c r="A27" s="0" t="n">
        <f aca="false">C27*-1000</f>
        <v>0.198017654996211</v>
      </c>
      <c r="B27" s="0" t="n">
        <f aca="false">B26-0.01</f>
        <v>0.84</v>
      </c>
      <c r="C27" s="0" t="n">
        <f aca="false">-((B27^(-1/$I$7)-1)^(1/$F$7))/$E$7/10000</f>
        <v>-0.000198017654996211</v>
      </c>
      <c r="D27" s="0" t="n">
        <f aca="false">$G$7*B27^$H$7*(1-(1-B27^(1/$I$7))^$I$7)^2</f>
        <v>1604.96717951588</v>
      </c>
      <c r="E27" s="0" t="n">
        <f aca="false">$D$7+B27*($C$7-$D$7)</f>
        <v>0.47296</v>
      </c>
      <c r="F27" s="0" t="n">
        <f aca="false">LOG(-C27*10000)</f>
        <v>0.296703913118156</v>
      </c>
      <c r="G27" s="0" t="n">
        <f aca="false">(E27-$D$7)*1000*$J$7</f>
        <v>94.5504</v>
      </c>
      <c r="S27" s="0" t="n">
        <v>-1.0631</v>
      </c>
      <c r="T27" s="0" t="n">
        <f aca="false">S27+'sureau_ini.txt'!$B$10*0.01</f>
        <v>-1.0531</v>
      </c>
      <c r="U27" s="0" t="n">
        <v>0.2713</v>
      </c>
      <c r="AQ27" s="72" t="s">
        <v>231</v>
      </c>
      <c r="AR27" s="94" t="n">
        <v>0.36</v>
      </c>
      <c r="AS27" s="94" t="n">
        <v>0.07</v>
      </c>
      <c r="AT27" s="94" t="n">
        <v>0.005</v>
      </c>
      <c r="AU27" s="94" t="n">
        <v>1.09</v>
      </c>
      <c r="AV27" s="94" t="n">
        <v>0.314940791131267</v>
      </c>
      <c r="AW27" s="94" t="n">
        <v>0.5</v>
      </c>
      <c r="AX27" s="113" t="n">
        <v>0</v>
      </c>
      <c r="AY27" s="113" t="n">
        <v>0</v>
      </c>
      <c r="AZ27" s="113" t="n">
        <v>0</v>
      </c>
      <c r="BA27" s="75" t="n">
        <f aca="false">AS27+(AR27-AS27)/(1+(AT27*0.033*10000)^AU27)^(1-1/AU27)</f>
        <v>0.336953902662093</v>
      </c>
      <c r="BB27" s="75" t="n">
        <f aca="false">AS27+(AR27-AS27)/(1+(AT27*1.585*10000)^AU27)^(1-1/AU27)</f>
        <v>0.265516800058064</v>
      </c>
      <c r="BC27" s="75" t="n">
        <f aca="false">AS27+(AR27-AS27)/(1+(AT27*3.5*10000)^AU27)^(1-1/AU27)</f>
        <v>0.252136116088805</v>
      </c>
      <c r="BD27" s="75" t="n">
        <f aca="false">(AR27-AS27)*Soil_Depth*1000*(1-(AX27+AY27+AZ27)/3)</f>
        <v>85.376</v>
      </c>
      <c r="BE27" s="75" t="n">
        <f aca="false">(BA27-AS27)*Soil_Depth*1000*(1-(AX27+AY27+AZ27)/3)</f>
        <v>78.5912289437201</v>
      </c>
      <c r="BF27" s="75" t="n">
        <f aca="false">(BA27-AS27)/(AR27-AS27)</f>
        <v>0.920530698834803</v>
      </c>
      <c r="BG27" s="75" t="n">
        <f aca="false">(BA27-BB27)*Soil_Depth*1000*(1-(AX27+AY27+AZ27)/3)</f>
        <v>21.0310830066262</v>
      </c>
      <c r="BH27" s="75" t="n">
        <f aca="false">(BA27-BC27)*Soil_Depth*1000*(1-(AX27+AY27+AZ27)/3)</f>
        <v>24.970356367176</v>
      </c>
      <c r="BJ27" s="0" t="n">
        <f aca="false">AR27-BA27</f>
        <v>0.0230460973379071</v>
      </c>
      <c r="BK27" s="0" t="n">
        <f aca="false">AR27-BB27</f>
        <v>0.0944831999419364</v>
      </c>
      <c r="BL27" s="0" t="n">
        <f aca="false">AR27-AS27</f>
        <v>0.29</v>
      </c>
      <c r="BM27" s="0" t="n">
        <f aca="false">BA27-BB27</f>
        <v>0.0714371026040293</v>
      </c>
      <c r="BN27" s="0" t="n">
        <f aca="false">BA27-AS27</f>
        <v>0.266953902662093</v>
      </c>
      <c r="BO27" s="0" t="n">
        <f aca="false">BB27-AS27</f>
        <v>0.195516800058064</v>
      </c>
      <c r="BP27" s="0" t="n">
        <f aca="false">-0.046*LN(BM27)-0.0679</f>
        <v>0.0534911434133775</v>
      </c>
      <c r="BR27" s="0" t="n">
        <f aca="false">LOG(BO27)*-0.3206+0.9205</f>
        <v>1.14774638372632</v>
      </c>
      <c r="BS27" s="0" t="n">
        <f aca="false">$BS$1/(BM27-$BU$1)+$BT$1</f>
        <v>1.53047874561122</v>
      </c>
      <c r="CX27" s="115" t="s">
        <v>2214</v>
      </c>
      <c r="CY27" s="115" t="s">
        <v>2210</v>
      </c>
      <c r="CZ27" s="0" t="n">
        <f aca="false">DN49</f>
        <v>9</v>
      </c>
      <c r="DA27" s="0" t="n">
        <f aca="false">DN28</f>
        <v>8</v>
      </c>
      <c r="DL27" s="0" t="s">
        <v>2215</v>
      </c>
      <c r="DN27" s="0" t="s">
        <v>2164</v>
      </c>
    </row>
    <row r="28" customFormat="false" ht="15.75" hidden="false" customHeight="false" outlineLevel="0" collapsed="false">
      <c r="A28" s="0" t="n">
        <f aca="false">C28*-1000</f>
        <v>0.205218345129835</v>
      </c>
      <c r="B28" s="0" t="n">
        <f aca="false">B27-0.01</f>
        <v>0.83</v>
      </c>
      <c r="C28" s="0" t="n">
        <f aca="false">-((B28^(-1/$I$7)-1)^(1/$F$7))/$E$7/10000</f>
        <v>-0.000205218345129835</v>
      </c>
      <c r="D28" s="0" t="n">
        <f aca="false">$G$7*B28^$H$7*(1-(1-B28^(1/$I$7))^$I$7)^2</f>
        <v>1499.89290551411</v>
      </c>
      <c r="E28" s="0" t="n">
        <f aca="false">$D$7+B28*($C$7-$D$7)</f>
        <v>0.46827</v>
      </c>
      <c r="F28" s="0" t="n">
        <f aca="false">LOG(-C28*10000)</f>
        <v>0.312216181159761</v>
      </c>
      <c r="G28" s="0" t="n">
        <f aca="false">(E28-$D$7)*1000*$J$7</f>
        <v>93.4248</v>
      </c>
      <c r="S28" s="0" t="n">
        <v>-1.027</v>
      </c>
      <c r="T28" s="0" t="n">
        <f aca="false">S28+'sureau_ini.txt'!$B$10*0.01</f>
        <v>-1.017</v>
      </c>
      <c r="U28" s="0" t="n">
        <v>0.2796</v>
      </c>
      <c r="AQ28" s="72" t="s">
        <v>65</v>
      </c>
      <c r="AR28" s="94" t="n">
        <v>0.38</v>
      </c>
      <c r="AS28" s="94" t="n">
        <v>0.068</v>
      </c>
      <c r="AT28" s="94" t="n">
        <v>0.008</v>
      </c>
      <c r="AU28" s="94" t="n">
        <v>1.09</v>
      </c>
      <c r="AV28" s="94" t="n">
        <v>3.14940791131267</v>
      </c>
      <c r="AW28" s="94" t="n">
        <v>0.5</v>
      </c>
      <c r="AX28" s="113" t="n">
        <v>0</v>
      </c>
      <c r="AY28" s="113" t="n">
        <v>0</v>
      </c>
      <c r="AZ28" s="113" t="n">
        <v>0</v>
      </c>
      <c r="BA28" s="75" t="n">
        <f aca="false">AS28+(AR28-AS28)/(1+(AT28*0.033*10000)^AU28)^(1-1/AU28)</f>
        <v>0.346949708575026</v>
      </c>
      <c r="BB28" s="75" t="n">
        <f aca="false">AS28+(AR28-AS28)/(1+(AT28*1.585*10000)^AU28)^(1-1/AU28)</f>
        <v>0.269693281391439</v>
      </c>
      <c r="BC28" s="75" t="n">
        <f aca="false">AS28+(AR28-AS28)/(1+(AT28*3.5*10000)^AU28)^(1-1/AU28)</f>
        <v>0.255859571981011</v>
      </c>
      <c r="BD28" s="75" t="n">
        <f aca="false">(AR28-AS28)*Soil_Depth*1000*(1-(AX28+AY28+AZ28)/3)</f>
        <v>91.8528</v>
      </c>
      <c r="BE28" s="75" t="n">
        <f aca="false">(BA28-AS28)*Soil_Depth*1000*(1-(AX28+AY28+AZ28)/3)</f>
        <v>82.1227942044878</v>
      </c>
      <c r="BF28" s="75" t="n">
        <f aca="false">(BA28-AS28)/(AR28-AS28)</f>
        <v>0.89406957876611</v>
      </c>
      <c r="BG28" s="75" t="n">
        <f aca="false">(BA28-BB28)*Soil_Depth*1000*(1-(AX28+AY28+AZ28)/3)</f>
        <v>22.7442921628482</v>
      </c>
      <c r="BH28" s="75" t="n">
        <f aca="false">(BA28-BC28)*Soil_Depth*1000*(1-(AX28+AY28+AZ28)/3)</f>
        <v>26.816936213278</v>
      </c>
      <c r="BJ28" s="0" t="n">
        <f aca="false">AR28-BA28</f>
        <v>0.0330502914249737</v>
      </c>
      <c r="BK28" s="0" t="n">
        <f aca="false">AR28-BB28</f>
        <v>0.110306718608561</v>
      </c>
      <c r="BL28" s="0" t="n">
        <f aca="false">AR28-AS28</f>
        <v>0.312</v>
      </c>
      <c r="BM28" s="0" t="n">
        <f aca="false">BA28-BB28</f>
        <v>0.0772564271835877</v>
      </c>
      <c r="BN28" s="0" t="n">
        <f aca="false">BA28-AS28</f>
        <v>0.278949708575026</v>
      </c>
      <c r="BO28" s="0" t="n">
        <f aca="false">BB28-AS28</f>
        <v>0.201693281391439</v>
      </c>
      <c r="BR28" s="0" t="n">
        <f aca="false">LOG(BO28)*-0.3206+0.9205</f>
        <v>1.14341592700906</v>
      </c>
      <c r="BS28" s="0" t="n">
        <f aca="false">$BS$1/(BM28-$BU$1)+$BT$1</f>
        <v>1.51528177160941</v>
      </c>
      <c r="CX28" s="115" t="s">
        <v>2216</v>
      </c>
      <c r="CY28" s="115" t="s">
        <v>2206</v>
      </c>
      <c r="CZ28" s="0" t="n">
        <f aca="false">DN52</f>
        <v>42.81673</v>
      </c>
      <c r="DA28" s="0" t="n">
        <f aca="false">DN31</f>
        <v>43.50063</v>
      </c>
      <c r="DL28" s="0" t="n">
        <v>4912</v>
      </c>
      <c r="DN28" s="0" t="n">
        <v>8</v>
      </c>
    </row>
    <row r="29" customFormat="false" ht="15.75" hidden="false" customHeight="false" outlineLevel="0" collapsed="false">
      <c r="A29" s="0" t="n">
        <f aca="false">C29*-1000</f>
        <v>0.212367279479259</v>
      </c>
      <c r="B29" s="0" t="n">
        <f aca="false">B28-0.01</f>
        <v>0.82</v>
      </c>
      <c r="C29" s="0" t="n">
        <f aca="false">-((B29^(-1/$I$7)-1)^(1/$F$7))/$E$7/10000</f>
        <v>-0.000212367279479259</v>
      </c>
      <c r="D29" s="0" t="n">
        <f aca="false">$G$7*B29^$H$7*(1-(1-B29^(1/$I$7))^$I$7)^2</f>
        <v>1401.95613872776</v>
      </c>
      <c r="E29" s="0" t="n">
        <f aca="false">$D$7+B29*($C$7-$D$7)</f>
        <v>0.46358</v>
      </c>
      <c r="F29" s="0" t="n">
        <f aca="false">LOG(-C29*10000)</f>
        <v>0.327087603575736</v>
      </c>
      <c r="G29" s="0" t="n">
        <f aca="false">(E29-$D$7)*1000*$J$7</f>
        <v>92.2992</v>
      </c>
      <c r="S29" s="0" t="n">
        <v>-0.9586</v>
      </c>
      <c r="T29" s="0" t="n">
        <f aca="false">S29+'sureau_ini.txt'!$B$10*0.01</f>
        <v>-0.9486</v>
      </c>
      <c r="U29" s="0" t="n">
        <v>0.3678</v>
      </c>
      <c r="BL29" s="0" t="n">
        <f aca="false">AR29-AS29</f>
        <v>0</v>
      </c>
      <c r="BM29" s="0" t="n">
        <f aca="false">BA29-BB29</f>
        <v>0</v>
      </c>
      <c r="BN29" s="0" t="n">
        <f aca="false">BA29-AS29</f>
        <v>0</v>
      </c>
    </row>
    <row r="30" customFormat="false" ht="15.75" hidden="false" customHeight="false" outlineLevel="0" collapsed="false">
      <c r="A30" s="0" t="n">
        <f aca="false">C30*-1000</f>
        <v>0.219479480093568</v>
      </c>
      <c r="B30" s="0" t="n">
        <f aca="false">B29-0.01</f>
        <v>0.81</v>
      </c>
      <c r="C30" s="0" t="n">
        <f aca="false">-((B30^(-1/$I$7)-1)^(1/$F$7))/$E$7/10000</f>
        <v>-0.000219479480093568</v>
      </c>
      <c r="D30" s="0" t="n">
        <f aca="false">$G$7*B30^$H$7*(1-(1-B30^(1/$I$7))^$I$7)^2</f>
        <v>1310.54957597824</v>
      </c>
      <c r="E30" s="0" t="n">
        <f aca="false">$D$7+B30*($C$7-$D$7)</f>
        <v>0.45889</v>
      </c>
      <c r="F30" s="0" t="n">
        <f aca="false">LOG(-C30*10000)</f>
        <v>0.341393922761686</v>
      </c>
      <c r="G30" s="0" t="n">
        <f aca="false">(E30-$D$7)*1000*$J$7</f>
        <v>91.1736</v>
      </c>
      <c r="S30" s="0" t="n">
        <v>-0.8613</v>
      </c>
      <c r="T30" s="0" t="n">
        <f aca="false">S30+'sureau_ini.txt'!$B$10*0.01</f>
        <v>-0.8513</v>
      </c>
      <c r="U30" s="0" t="n">
        <v>0.3224</v>
      </c>
      <c r="AP30" s="0" t="s">
        <v>2217</v>
      </c>
      <c r="AQ30" s="72" t="s">
        <v>93</v>
      </c>
      <c r="AR30" s="94" t="n">
        <v>0.512</v>
      </c>
      <c r="AS30" s="94" t="n">
        <v>0</v>
      </c>
      <c r="AT30" s="94" t="n">
        <v>0.009</v>
      </c>
      <c r="AU30" s="94" t="n">
        <v>1.536</v>
      </c>
      <c r="BA30" s="75" t="n">
        <f aca="false">AS30+(AR30-AS30)/(1+(AT30*0.033*10000)^AU30)^(1-1/AU30)</f>
        <v>0.269018343633394</v>
      </c>
      <c r="BB30" s="75" t="n">
        <f aca="false">AS30+(AR30-AS30)/(1+(AT30*1.585*10000)^AU30)^(1-1/AU30)</f>
        <v>0.0358513821448161</v>
      </c>
      <c r="BC30" s="75" t="n">
        <f aca="false">AS30+(AR30-AS30)/(1+(AT30*3.5*10000)^AU30)^(1-1/AU30)</f>
        <v>0.0234505735309506</v>
      </c>
      <c r="BD30" s="75" t="n">
        <f aca="false">(AR30-AS30)*Soil_Depth*1000*(1-(AX30+AY30+AZ30)/3)</f>
        <v>150.7328</v>
      </c>
      <c r="BE30" s="75" t="n">
        <f aca="false">(BA30-AS30)*Soil_Depth*1000*(1-(AX30+AY30+AZ30)/3)</f>
        <v>79.1990003656712</v>
      </c>
      <c r="BF30" s="75" t="n">
        <f aca="false">(BA30-AS30)/(AR30-AS30)</f>
        <v>0.525426452408973</v>
      </c>
      <c r="BG30" s="75" t="n">
        <f aca="false">(BA30-BB30)*Soil_Depth*1000*(1-(AX30+AY30+AZ30)/3)</f>
        <v>68.6443534622373</v>
      </c>
      <c r="BH30" s="75" t="n">
        <f aca="false">(BA30-BC30)*Soil_Depth*1000*(1-(AX30+AY30+AZ30)/3)</f>
        <v>72.2951515181593</v>
      </c>
      <c r="BJ30" s="0" t="n">
        <f aca="false">AR30-BA30</f>
        <v>0.242981656366606</v>
      </c>
      <c r="BK30" s="0" t="n">
        <f aca="false">AR30-BB30</f>
        <v>0.476148617855184</v>
      </c>
      <c r="BL30" s="0" t="n">
        <f aca="false">AR30-AS30</f>
        <v>0.512</v>
      </c>
      <c r="BM30" s="0" t="n">
        <f aca="false">BA30-BB30</f>
        <v>0.233166961488578</v>
      </c>
      <c r="BN30" s="0" t="n">
        <f aca="false">BA30-AS30</f>
        <v>0.269018343633394</v>
      </c>
      <c r="BO30" s="0" t="n">
        <f aca="false">BB30-AS30</f>
        <v>0.0358513821448161</v>
      </c>
      <c r="BP30" s="0" t="n">
        <f aca="false">-0.046*LN(BM30)-0.0679</f>
        <v>-0.000923976580485847</v>
      </c>
      <c r="BR30" s="0" t="n">
        <f aca="false">LOG(BO30)*-0.3206+0.9205</f>
        <v>1.38392540740982</v>
      </c>
      <c r="BS30" s="0" t="n">
        <f aca="false">$BS$1/(BM30-$BU$1)+$BT$1</f>
        <v>1.37781560569934</v>
      </c>
      <c r="DL30" s="0" t="s">
        <v>2218</v>
      </c>
      <c r="DN30" s="0" t="s">
        <v>2164</v>
      </c>
    </row>
    <row r="31" customFormat="false" ht="15.75" hidden="false" customHeight="false" outlineLevel="0" collapsed="false">
      <c r="A31" s="0" t="n">
        <f aca="false">C31*-1000</f>
        <v>0.22656846129269</v>
      </c>
      <c r="B31" s="0" t="n">
        <f aca="false">B30-0.01</f>
        <v>0.8</v>
      </c>
      <c r="C31" s="0" t="n">
        <f aca="false">-((B31^(-1/$I$7)-1)^(1/$F$7))/$E$7/10000</f>
        <v>-0.00022656846129269</v>
      </c>
      <c r="D31" s="0" t="n">
        <f aca="false">$G$7*B31^$H$7*(1-(1-B31^(1/$I$7))^$I$7)^2</f>
        <v>1225.13979901573</v>
      </c>
      <c r="E31" s="0" t="n">
        <f aca="false">$D$7+B31*($C$7-$D$7)</f>
        <v>0.4542</v>
      </c>
      <c r="F31" s="0" t="n">
        <f aca="false">LOG(-C31*10000)</f>
        <v>0.355199455219191</v>
      </c>
      <c r="G31" s="0" t="n">
        <f aca="false">(E31-$D$7)*1000*$J$7</f>
        <v>90.048</v>
      </c>
      <c r="S31" s="0" t="n">
        <v>-0.8</v>
      </c>
      <c r="T31" s="0" t="n">
        <f aca="false">S31+'sureau_ini.txt'!$B$10*0.01</f>
        <v>-0.79</v>
      </c>
      <c r="U31" s="0" t="n">
        <v>0.2702</v>
      </c>
      <c r="AQ31" s="72" t="s">
        <v>2194</v>
      </c>
      <c r="AR31" s="94" t="n">
        <v>0.482</v>
      </c>
      <c r="AS31" s="94" t="n">
        <v>0.111</v>
      </c>
      <c r="AT31" s="94" t="n">
        <v>0.013</v>
      </c>
      <c r="AU31" s="94" t="n">
        <v>1.373</v>
      </c>
      <c r="BA31" s="75" t="n">
        <f aca="false">AS31+(AR31-AS31)/(1+(AT31*0.033*10000)^AU31)^(1-1/AU31)</f>
        <v>0.319201853516038</v>
      </c>
      <c r="BB31" s="75" t="n">
        <f aca="false">AS31+(AR31-AS31)/(1+(AT31*1.585*10000)^AU31)^(1-1/AU31)</f>
        <v>0.161837439974313</v>
      </c>
      <c r="BC31" s="75" t="n">
        <f aca="false">AS31+(AR31-AS31)/(1+(AT31*3.5*10000)^AU31)^(1-1/AU31)</f>
        <v>0.148836348313337</v>
      </c>
      <c r="BD31" s="75" t="n">
        <f aca="false">(AR31-AS31)*Soil_Depth*1000*(1-(AX31+AY31+AZ31)/3)</f>
        <v>109.2224</v>
      </c>
      <c r="BE31" s="75" t="n">
        <f aca="false">(BA31-AS31)*Soil_Depth*1000*(1-(AX31+AY31+AZ31)/3)</f>
        <v>61.2946256751215</v>
      </c>
      <c r="BF31" s="75" t="n">
        <f aca="false">(BA31-AS31)/(AR31-AS31)</f>
        <v>0.561190979827595</v>
      </c>
      <c r="BG31" s="75" t="n">
        <f aca="false">(BA31-BB31)*Soil_Depth*1000*(1-(AX31+AY31+AZ31)/3)</f>
        <v>46.3280833466839</v>
      </c>
      <c r="BH31" s="75" t="n">
        <f aca="false">(BA31-BC31)*Soil_Depth*1000*(1-(AX31+AY31+AZ31)/3)</f>
        <v>50.1556047316752</v>
      </c>
      <c r="BJ31" s="0" t="n">
        <f aca="false">AR31-BA31</f>
        <v>0.162798146483962</v>
      </c>
      <c r="BK31" s="0" t="n">
        <f aca="false">AR31-BB31</f>
        <v>0.320162560025687</v>
      </c>
      <c r="BL31" s="0" t="n">
        <f aca="false">AR31-AS31</f>
        <v>0.371</v>
      </c>
      <c r="BM31" s="0" t="n">
        <f aca="false">BA31-BB31</f>
        <v>0.157364413541725</v>
      </c>
      <c r="BN31" s="0" t="n">
        <f aca="false">BA31-AS31</f>
        <v>0.208201853516038</v>
      </c>
      <c r="BO31" s="0" t="n">
        <f aca="false">BB31-AS31</f>
        <v>0.0508374399743125</v>
      </c>
      <c r="BP31" s="0" t="n">
        <f aca="false">-0.046*LN(BM31)-0.0679</f>
        <v>0.0171627886623177</v>
      </c>
      <c r="BR31" s="0" t="n">
        <f aca="false">LOG(BO31)*-0.3206+0.9205</f>
        <v>1.33529751455641</v>
      </c>
      <c r="BS31" s="0" t="n">
        <f aca="false">$BS$1/(BM31-$BU$1)+$BT$1</f>
        <v>1.41285045099683</v>
      </c>
      <c r="DL31" s="0" t="n">
        <v>347</v>
      </c>
      <c r="DN31" s="0" t="n">
        <v>43.50063</v>
      </c>
    </row>
    <row r="32" customFormat="false" ht="15.75" hidden="false" customHeight="false" outlineLevel="0" collapsed="false">
      <c r="A32" s="0" t="n">
        <f aca="false">C32*-1000</f>
        <v>0.233646529797688</v>
      </c>
      <c r="B32" s="0" t="n">
        <f aca="false">B31-0.01</f>
        <v>0.79</v>
      </c>
      <c r="C32" s="0" t="n">
        <f aca="false">-((B32^(-1/$I$7)-1)^(1/$F$7))/$E$7/10000</f>
        <v>-0.000233646529797688</v>
      </c>
      <c r="D32" s="0" t="n">
        <f aca="false">$G$7*B32^$H$7*(1-(1-B32^(1/$I$7))^$I$7)^2</f>
        <v>1145.25500298841</v>
      </c>
      <c r="E32" s="0" t="n">
        <f aca="false">$D$7+B32*($C$7-$D$7)</f>
        <v>0.44951</v>
      </c>
      <c r="F32" s="0" t="n">
        <f aca="false">LOG(-C32*10000)</f>
        <v>0.368559335110356</v>
      </c>
      <c r="G32" s="0" t="n">
        <f aca="false">(E32-$D$7)*1000*$J$7</f>
        <v>88.9224</v>
      </c>
      <c r="S32" s="0" t="n">
        <v>-0.8</v>
      </c>
      <c r="T32" s="0" t="n">
        <f aca="false">S32+'sureau_ini.txt'!$B$10*0.01</f>
        <v>-0.79</v>
      </c>
      <c r="U32" s="0" t="n">
        <v>0.252</v>
      </c>
      <c r="AQ32" s="72" t="s">
        <v>2219</v>
      </c>
      <c r="AR32" s="94" t="n">
        <v>0.45</v>
      </c>
      <c r="AS32" s="94" t="n">
        <v>0.135</v>
      </c>
      <c r="AT32" s="94" t="n">
        <v>0.034</v>
      </c>
      <c r="AU32" s="94" t="n">
        <v>1.15</v>
      </c>
      <c r="BA32" s="75" t="n">
        <f aca="false">AS32+(AR32-AS32)/(1+(AT32*0.033*10000)^AU32)^(1-1/AU32)</f>
        <v>0.352471921703564</v>
      </c>
      <c r="BB32" s="75" t="n">
        <f aca="false">AS32+(AR32-AS32)/(1+(AT32*1.585*10000)^AU32)^(1-1/AU32)</f>
        <v>0.257614948566553</v>
      </c>
      <c r="BC32" s="75" t="n">
        <f aca="false">AS32+(AR32-AS32)/(1+(AT32*3.5*10000)^AU32)^(1-1/AU32)</f>
        <v>0.243883496079453</v>
      </c>
      <c r="BD32" s="75" t="n">
        <f aca="false">(AR32-AS32)*Soil_Depth*1000*(1-(AX32+AY32+AZ32)/3)</f>
        <v>92.736</v>
      </c>
      <c r="BE32" s="75" t="n">
        <f aca="false">(BA32-AS32)*Soil_Depth*1000*(1-(AX32+AY32+AZ32)/3)</f>
        <v>64.0237337495292</v>
      </c>
      <c r="BF32" s="75" t="n">
        <f aca="false">(BA32-AS32)/(AR32-AS32)</f>
        <v>0.690387053027187</v>
      </c>
      <c r="BG32" s="75" t="n">
        <f aca="false">(BA32-BB32)*Soil_Depth*1000*(1-(AX32+AY32+AZ32)/3)</f>
        <v>27.925892891536</v>
      </c>
      <c r="BH32" s="75" t="n">
        <f aca="false">(BA32-BC32)*Soil_Depth*1000*(1-(AX32+AY32+AZ32)/3)</f>
        <v>31.9684325037383</v>
      </c>
      <c r="BJ32" s="0" t="n">
        <f aca="false">AR32-BA32</f>
        <v>0.0975280782964361</v>
      </c>
      <c r="BK32" s="0" t="n">
        <f aca="false">AR32-BB32</f>
        <v>0.192385051433447</v>
      </c>
      <c r="BL32" s="0" t="n">
        <f aca="false">AR32-AS32</f>
        <v>0.315</v>
      </c>
      <c r="BM32" s="0" t="n">
        <f aca="false">BA32-BB32</f>
        <v>0.094856973137011</v>
      </c>
      <c r="BN32" s="0" t="n">
        <f aca="false">BA32-AS32</f>
        <v>0.217471921703564</v>
      </c>
      <c r="BO32" s="0" t="n">
        <f aca="false">BB32-AS32</f>
        <v>0.122614948566553</v>
      </c>
      <c r="BP32" s="0" t="n">
        <f aca="false">-0.046*LN(BM32)-0.0679</f>
        <v>0.0404477131179202</v>
      </c>
      <c r="BR32" s="0" t="n">
        <f aca="false">LOG(BO32)*-0.3206+0.9205</f>
        <v>1.21271297945236</v>
      </c>
      <c r="BS32" s="0" t="n">
        <f aca="false">$BS$1/(BM32-$BU$1)+$BT$1</f>
        <v>1.47948746725838</v>
      </c>
    </row>
    <row r="33" customFormat="false" ht="15.75" hidden="false" customHeight="false" outlineLevel="0" collapsed="false">
      <c r="A33" s="0" t="n">
        <f aca="false">C33*-1000</f>
        <v>0.240725022586707</v>
      </c>
      <c r="B33" s="0" t="n">
        <f aca="false">B32-0.01</f>
        <v>0.78</v>
      </c>
      <c r="C33" s="0" t="n">
        <f aca="false">-((B33^(-1/$I$7)-1)^(1/$F$7))/$E$7/10000</f>
        <v>-0.000240725022586707</v>
      </c>
      <c r="D33" s="0" t="n">
        <f aca="false">$G$7*B33^$H$7*(1-(1-B33^(1/$I$7))^$I$7)^2</f>
        <v>1070.47526300989</v>
      </c>
      <c r="E33" s="0" t="n">
        <f aca="false">$D$7+B33*($C$7-$D$7)</f>
        <v>0.44482</v>
      </c>
      <c r="F33" s="0" t="n">
        <f aca="false">LOG(-C33*10000)</f>
        <v>0.38152123612674</v>
      </c>
      <c r="G33" s="0" t="n">
        <f aca="false">(E33-$D$7)*1000*$J$7</f>
        <v>87.7968</v>
      </c>
      <c r="S33" s="0" t="n">
        <v>-0.7387</v>
      </c>
      <c r="T33" s="0" t="n">
        <f aca="false">S33+'sureau_ini.txt'!$B$10*0.01</f>
        <v>-0.7287</v>
      </c>
      <c r="U33" s="0" t="n">
        <v>0.2517</v>
      </c>
      <c r="AQ33" s="72" t="s">
        <v>2220</v>
      </c>
      <c r="AR33" s="94" t="n">
        <v>0.5</v>
      </c>
      <c r="AS33" s="94" t="n">
        <v>0.088</v>
      </c>
      <c r="AT33" s="94" t="n">
        <v>0.028</v>
      </c>
      <c r="AU33" s="94" t="n">
        <v>1.287</v>
      </c>
      <c r="BA33" s="75" t="n">
        <f aca="false">AS33+(AR33-AS33)/(1+(AT33*0.033*10000)^AU33)^(1-1/AU33)</f>
        <v>0.302963605331092</v>
      </c>
      <c r="BB33" s="75" t="n">
        <f aca="false">AS33+(AR33-AS33)/(1+(AT33*1.585*10000)^AU33)^(1-1/AU33)</f>
        <v>0.159633558137911</v>
      </c>
      <c r="BC33" s="75" t="n">
        <f aca="false">AS33+(AR33-AS33)/(1+(AT33*3.5*10000)^AU33)^(1-1/AU33)</f>
        <v>0.145069181524723</v>
      </c>
      <c r="BD33" s="75" t="n">
        <f aca="false">(AR33-AS33)*Soil_Depth*1000*(1-(AX33+AY33+AZ33)/3)</f>
        <v>121.2928</v>
      </c>
      <c r="BE33" s="75" t="n">
        <f aca="false">(BA33-AS33)*Soil_Depth*1000*(1-(AX33+AY33+AZ33)/3)</f>
        <v>63.2852854094736</v>
      </c>
      <c r="BF33" s="75" t="n">
        <f aca="false">(BA33-AS33)/(AR33-AS33)</f>
        <v>0.521756323619156</v>
      </c>
      <c r="BG33" s="75" t="n">
        <f aca="false">(BA33-BB33)*Soil_Depth*1000*(1-(AX33+AY33+AZ33)/3)</f>
        <v>42.1963658936727</v>
      </c>
      <c r="BH33" s="75" t="n">
        <f aca="false">(BA33-BC33)*Soil_Depth*1000*(1-(AX33+AY33+AZ33)/3)</f>
        <v>46.484118368595</v>
      </c>
      <c r="BJ33" s="0" t="n">
        <f aca="false">AR33-BA33</f>
        <v>0.197036394668908</v>
      </c>
      <c r="BK33" s="0" t="n">
        <f aca="false">AR33-BB33</f>
        <v>0.340366441862089</v>
      </c>
      <c r="BL33" s="0" t="n">
        <f aca="false">AR33-AS33</f>
        <v>0.412</v>
      </c>
      <c r="BM33" s="0" t="n">
        <f aca="false">BA33-BB33</f>
        <v>0.143330047193182</v>
      </c>
      <c r="BN33" s="0" t="n">
        <f aca="false">BA33-AS33</f>
        <v>0.214963605331092</v>
      </c>
      <c r="BO33" s="0" t="n">
        <f aca="false">BB33-AS33</f>
        <v>0.0716335581379109</v>
      </c>
      <c r="BP33" s="0" t="n">
        <f aca="false">-0.046*LN(BM33)-0.0679</f>
        <v>0.0214598431460941</v>
      </c>
      <c r="BR33" s="0" t="n">
        <f aca="false">LOG(BO33)*-0.3206+0.9205</f>
        <v>1.28754964250114</v>
      </c>
      <c r="BS33" s="0" t="n">
        <f aca="false">$BS$1/(BM33-$BU$1)+$BT$1</f>
        <v>1.42311277256474</v>
      </c>
      <c r="DL33" s="0" t="s">
        <v>2221</v>
      </c>
      <c r="DN33" s="0" t="s">
        <v>2164</v>
      </c>
    </row>
    <row r="34" customFormat="false" ht="15.75" hidden="false" customHeight="false" outlineLevel="0" collapsed="false">
      <c r="A34" s="0" t="n">
        <f aca="false">C34*-1000</f>
        <v>0.247814498299913</v>
      </c>
      <c r="B34" s="0" t="n">
        <f aca="false">B33-0.01</f>
        <v>0.77</v>
      </c>
      <c r="C34" s="0" t="n">
        <f aca="false">-((B34^(-1/$I$7)-1)^(1/$F$7))/$E$7/10000</f>
        <v>-0.000247814498299913</v>
      </c>
      <c r="D34" s="0" t="n">
        <f aca="false">$G$7*B34^$H$7*(1-(1-B34^(1/$I$7))^$I$7)^2</f>
        <v>1000.42472134826</v>
      </c>
      <c r="E34" s="0" t="n">
        <f aca="false">$D$7+B34*($C$7-$D$7)</f>
        <v>0.44013</v>
      </c>
      <c r="F34" s="0" t="n">
        <f aca="false">LOG(-C34*10000)</f>
        <v>0.394126711028977</v>
      </c>
      <c r="G34" s="0" t="n">
        <f aca="false">(E34-$D$7)*1000*$J$7</f>
        <v>86.6712</v>
      </c>
      <c r="S34" s="0" t="n">
        <v>-0.7495</v>
      </c>
      <c r="T34" s="0" t="n">
        <f aca="false">S34+'sureau_ini.txt'!$B$10*0.01</f>
        <v>-0.7395</v>
      </c>
      <c r="U34" s="0" t="n">
        <v>0.2911</v>
      </c>
      <c r="AQ34" s="72" t="s">
        <v>2197</v>
      </c>
      <c r="AR34" s="94" t="n">
        <v>0.53</v>
      </c>
      <c r="AS34" s="94" t="n">
        <v>0.03</v>
      </c>
      <c r="AT34" s="94" t="n">
        <v>0.01</v>
      </c>
      <c r="AU34" s="94" t="n">
        <v>1.33</v>
      </c>
      <c r="BA34" s="75" t="n">
        <f aca="false">AS34+(AR34-AS34)/(1+(AT34*0.033*10000)^AU34)^(1-1/AU34)</f>
        <v>0.351976325098319</v>
      </c>
      <c r="BB34" s="75" t="n">
        <f aca="false">AS34+(AR34-AS34)/(1+(AT34*1.585*10000)^AU34)^(1-1/AU34)</f>
        <v>0.123936128752618</v>
      </c>
      <c r="BC34" s="75" t="n">
        <f aca="false">AS34+(AR34-AS34)/(1+(AT34*3.5*10000)^AU34)^(1-1/AU34)</f>
        <v>0.102340750508957</v>
      </c>
      <c r="BD34" s="75" t="n">
        <f aca="false">(AR34-AS34)*Soil_Depth*1000*(1-(AX34+AY34+AZ34)/3)</f>
        <v>147.2</v>
      </c>
      <c r="BE34" s="75" t="n">
        <f aca="false">(BA34-AS34)*Soil_Depth*1000*(1-(AX34+AY34+AZ34)/3)</f>
        <v>94.789830108945</v>
      </c>
      <c r="BF34" s="75" t="n">
        <f aca="false">(BA34-AS34)/(AR34-AS34)</f>
        <v>0.643952650196638</v>
      </c>
      <c r="BG34" s="75" t="n">
        <f aca="false">(BA34-BB34)*Soil_Depth*1000*(1-(AX34+AY34+AZ34)/3)</f>
        <v>67.1350338041742</v>
      </c>
      <c r="BH34" s="75" t="n">
        <f aca="false">(BA34-BC34)*Soil_Depth*1000*(1-(AX34+AY34+AZ34)/3)</f>
        <v>73.4927131591081</v>
      </c>
      <c r="BJ34" s="0" t="n">
        <f aca="false">AR34-BA34</f>
        <v>0.178023674901681</v>
      </c>
      <c r="BK34" s="0" t="n">
        <f aca="false">AR34-BB34</f>
        <v>0.406063871247382</v>
      </c>
      <c r="BL34" s="0" t="n">
        <f aca="false">AR34-AS34</f>
        <v>0.5</v>
      </c>
      <c r="BM34" s="0" t="n">
        <f aca="false">BA34-BB34</f>
        <v>0.2280401963457</v>
      </c>
      <c r="BN34" s="0" t="n">
        <f aca="false">BA34-AS34</f>
        <v>0.321976325098319</v>
      </c>
      <c r="BO34" s="0" t="n">
        <f aca="false">BB34-AS34</f>
        <v>0.0939361287526183</v>
      </c>
      <c r="BP34" s="0" t="n">
        <f aca="false">-0.046*LN(BM34)-0.0679</f>
        <v>9.87348270221206E-005</v>
      </c>
      <c r="BR34" s="0" t="n">
        <f aca="false">LOG(BO34)*-0.3206+0.9205</f>
        <v>1.2498098497505</v>
      </c>
      <c r="BS34" s="0" t="n">
        <f aca="false">$BS$1/(BM34-$BU$1)+$BT$1</f>
        <v>1.379484539799</v>
      </c>
      <c r="DL34" s="0" t="n">
        <v>11931</v>
      </c>
      <c r="DN34" s="0" t="n">
        <v>1.73</v>
      </c>
    </row>
    <row r="35" customFormat="false" ht="15.75" hidden="false" customHeight="false" outlineLevel="0" collapsed="false">
      <c r="A35" s="0" t="n">
        <f aca="false">C35*-1000</f>
        <v>0.254924893563687</v>
      </c>
      <c r="B35" s="0" t="n">
        <f aca="false">B34-0.01</f>
        <v>0.76</v>
      </c>
      <c r="C35" s="0" t="n">
        <f aca="false">-((B35^(-1/$I$7)-1)^(1/$F$7))/$E$7/10000</f>
        <v>-0.000254924893563687</v>
      </c>
      <c r="D35" s="0" t="n">
        <f aca="false">$G$7*B35^$H$7*(1-(1-B35^(1/$I$7))^$I$7)^2</f>
        <v>934.765248428016</v>
      </c>
      <c r="E35" s="0" t="n">
        <f aca="false">$D$7+B35*($C$7-$D$7)</f>
        <v>0.43544</v>
      </c>
      <c r="F35" s="0" t="n">
        <f aca="false">LOG(-C35*10000)</f>
        <v>0.406412246648044</v>
      </c>
      <c r="G35" s="0" t="n">
        <f aca="false">(E35-$D$7)*1000*$J$7</f>
        <v>85.5456</v>
      </c>
      <c r="S35" s="0" t="n">
        <v>-0.764</v>
      </c>
      <c r="T35" s="0" t="n">
        <f aca="false">S35+'sureau_ini.txt'!$B$10*0.01</f>
        <v>-0.754</v>
      </c>
      <c r="U35" s="0" t="n">
        <v>0.2293</v>
      </c>
      <c r="AQ35" s="72" t="s">
        <v>2222</v>
      </c>
      <c r="AR35" s="94" t="n">
        <v>0.508</v>
      </c>
      <c r="AS35" s="94" t="n">
        <v>0.149</v>
      </c>
      <c r="AT35" s="94" t="n">
        <v>0.048</v>
      </c>
      <c r="AU35" s="94" t="n">
        <v>1.151</v>
      </c>
      <c r="BA35" s="75" t="n">
        <f aca="false">AS35+(AR35-AS35)/(1+(AT35*0.033*10000)^AU35)^(1-1/AU35)</f>
        <v>0.384293149015338</v>
      </c>
      <c r="BB35" s="75" t="n">
        <f aca="false">AS35+(AR35-AS35)/(1+(AT35*1.585*10000)^AU35)^(1-1/AU35)</f>
        <v>0.280824189077729</v>
      </c>
      <c r="BC35" s="75" t="n">
        <f aca="false">AS35+(AR35-AS35)/(1+(AT35*3.5*10000)^AU35)^(1-1/AU35)</f>
        <v>0.265966554842619</v>
      </c>
      <c r="BD35" s="75" t="n">
        <f aca="false">(AR35-AS35)*Soil_Depth*1000*(1-(AX35+AY35+AZ35)/3)</f>
        <v>105.6896</v>
      </c>
      <c r="BE35" s="75" t="n">
        <f aca="false">(BA35-AS35)*Soil_Depth*1000*(1-(AX35+AY35+AZ35)/3)</f>
        <v>69.2703030701154</v>
      </c>
      <c r="BF35" s="75" t="n">
        <f aca="false">(BA35-AS35)/(AR35-AS35)</f>
        <v>0.655412671351915</v>
      </c>
      <c r="BG35" s="75" t="n">
        <f aca="false">(BA35-BB35)*Soil_Depth*1000*(1-(AX35+AY35+AZ35)/3)</f>
        <v>30.4612618056321</v>
      </c>
      <c r="BH35" s="75" t="n">
        <f aca="false">(BA35-BC35)*Soil_Depth*1000*(1-(AX35+AY35+AZ35)/3)</f>
        <v>34.8353493244484</v>
      </c>
      <c r="BJ35" s="0" t="n">
        <f aca="false">AR35-BA35</f>
        <v>0.123706850984662</v>
      </c>
      <c r="BK35" s="0" t="n">
        <f aca="false">AR35-BB35</f>
        <v>0.227175810922271</v>
      </c>
      <c r="BL35" s="0" t="n">
        <f aca="false">AR35-AS35</f>
        <v>0.359</v>
      </c>
      <c r="BM35" s="0" t="n">
        <f aca="false">BA35-BB35</f>
        <v>0.103468959937609</v>
      </c>
      <c r="BN35" s="0" t="n">
        <f aca="false">BA35-AS35</f>
        <v>0.235293149015338</v>
      </c>
      <c r="BO35" s="0" t="n">
        <f aca="false">BB35-AS35</f>
        <v>0.131824189077729</v>
      </c>
      <c r="BP35" s="0" t="n">
        <f aca="false">-0.046*LN(BM35)-0.0679</f>
        <v>0.0364502463011026</v>
      </c>
      <c r="BR35" s="0" t="n">
        <f aca="false">LOG(BO35)*-0.3206+0.9205</f>
        <v>1.20262956823728</v>
      </c>
      <c r="BS35" s="0" t="n">
        <f aca="false">$BS$1/(BM35-$BU$1)+$BT$1</f>
        <v>1.46598386156698</v>
      </c>
    </row>
    <row r="36" customFormat="false" ht="15.75" hidden="false" customHeight="false" outlineLevel="0" collapsed="false">
      <c r="A36" s="0" t="n">
        <f aca="false">C36*-1000</f>
        <v>0.262065652544517</v>
      </c>
      <c r="B36" s="0" t="n">
        <f aca="false">B35-0.01</f>
        <v>0.75</v>
      </c>
      <c r="C36" s="0" t="n">
        <f aca="false">-((B36^(-1/$I$7)-1)^(1/$F$7))/$E$7/10000</f>
        <v>-0.000262065652544517</v>
      </c>
      <c r="D36" s="0" t="n">
        <f aca="false">$G$7*B36^$H$7*(1-(1-B36^(1/$I$7))^$I$7)^2</f>
        <v>873.191249166263</v>
      </c>
      <c r="E36" s="0" t="n">
        <f aca="false">$D$7+B36*($C$7-$D$7)</f>
        <v>0.43075</v>
      </c>
      <c r="F36" s="0" t="n">
        <f aca="false">LOG(-C36*10000)</f>
        <v>0.41841010416721</v>
      </c>
      <c r="G36" s="0" t="n">
        <f aca="false">(E36-$D$7)*1000*$J$7</f>
        <v>84.42</v>
      </c>
      <c r="S36" s="0" t="n">
        <v>-0.8324</v>
      </c>
      <c r="T36" s="0" t="n">
        <f aca="false">S36+'sureau_ini.txt'!$B$10*0.01</f>
        <v>-0.8224</v>
      </c>
      <c r="U36" s="0" t="n">
        <v>0.3729</v>
      </c>
      <c r="AQ36" s="72" t="s">
        <v>2169</v>
      </c>
      <c r="AR36" s="94" t="n">
        <v>0.485</v>
      </c>
      <c r="AS36" s="94" t="n">
        <v>0.095</v>
      </c>
      <c r="AT36" s="94" t="n">
        <v>0.025</v>
      </c>
      <c r="AU36" s="94" t="n">
        <v>1.23</v>
      </c>
      <c r="BA36" s="75" t="n">
        <f aca="false">AS36+(AR36-AS36)/(1+(AT36*0.033*10000)^AU36)^(1-1/AU36)</f>
        <v>0.331830154521376</v>
      </c>
      <c r="BB36" s="75" t="n">
        <f aca="false">AS36+(AR36-AS36)/(1+(AT36*1.585*10000)^AU36)^(1-1/AU36)</f>
        <v>0.193509908809096</v>
      </c>
      <c r="BC36" s="75" t="n">
        <f aca="false">AS36+(AR36-AS36)/(1+(AT36*3.5*10000)^AU36)^(1-1/AU36)</f>
        <v>0.177107573286138</v>
      </c>
      <c r="BD36" s="75" t="n">
        <f aca="false">(AR36-AS36)*Soil_Depth*1000*(1-(AX36+AY36+AZ36)/3)</f>
        <v>114.816</v>
      </c>
      <c r="BE36" s="75" t="n">
        <f aca="false">(BA36-AS36)*Soil_Depth*1000*(1-(AX36+AY36+AZ36)/3)</f>
        <v>69.722797491093</v>
      </c>
      <c r="BF36" s="75" t="n">
        <f aca="false">(BA36-AS36)/(AR36-AS36)</f>
        <v>0.607256806465066</v>
      </c>
      <c r="BG36" s="75" t="n">
        <f aca="false">(BA36-BB36)*Soil_Depth*1000*(1-(AX36+AY36+AZ36)/3)</f>
        <v>40.7214803376951</v>
      </c>
      <c r="BH36" s="75" t="n">
        <f aca="false">(BA36-BC36)*Soil_Depth*1000*(1-(AX36+AY36+AZ36)/3)</f>
        <v>45.550327915654</v>
      </c>
      <c r="BJ36" s="0" t="n">
        <f aca="false">AR36-BA36</f>
        <v>0.153169845478624</v>
      </c>
      <c r="BK36" s="0" t="n">
        <f aca="false">AR36-BB36</f>
        <v>0.291490091190904</v>
      </c>
      <c r="BL36" s="0" t="n">
        <f aca="false">AR36-AS36</f>
        <v>0.39</v>
      </c>
      <c r="BM36" s="0" t="n">
        <f aca="false">BA36-BB36</f>
        <v>0.138320245712279</v>
      </c>
      <c r="BN36" s="0" t="n">
        <f aca="false">BA36-AS36</f>
        <v>0.236830154521376</v>
      </c>
      <c r="BO36" s="0" t="n">
        <f aca="false">BB36-AS36</f>
        <v>0.0985099088090963</v>
      </c>
      <c r="BP36" s="0" t="n">
        <f aca="false">-0.046*LN(BM36)-0.0679</f>
        <v>0.0230964484153893</v>
      </c>
      <c r="BR36" s="0" t="n">
        <f aca="false">LOG(BO36)*-0.3206+0.9205</f>
        <v>1.24319033859616</v>
      </c>
      <c r="BS36" s="0" t="n">
        <f aca="false">$BS$1/(BM36-$BU$1)+$BT$1</f>
        <v>1.42724329450013</v>
      </c>
      <c r="DL36" s="0" t="s">
        <v>2223</v>
      </c>
      <c r="DN36" s="0" t="s">
        <v>2164</v>
      </c>
    </row>
    <row r="37" customFormat="false" ht="15.75" hidden="false" customHeight="false" outlineLevel="0" collapsed="false">
      <c r="A37" s="0" t="n">
        <f aca="false">C37*-1000</f>
        <v>0.269245835903682</v>
      </c>
      <c r="B37" s="0" t="n">
        <f aca="false">B36-0.01</f>
        <v>0.74</v>
      </c>
      <c r="C37" s="0" t="n">
        <f aca="false">-((B37^(-1/$I$7)-1)^(1/$F$7))/$E$7/10000</f>
        <v>-0.000269245835903682</v>
      </c>
      <c r="D37" s="0" t="n">
        <f aca="false">$G$7*B37^$H$7*(1-(1-B37^(1/$I$7))^$I$7)^2</f>
        <v>815.42536966219</v>
      </c>
      <c r="E37" s="0" t="n">
        <f aca="false">$D$7+B37*($C$7-$D$7)</f>
        <v>0.42606</v>
      </c>
      <c r="F37" s="0" t="n">
        <f aca="false">LOG(-C37*10000)</f>
        <v>0.430148995319927</v>
      </c>
      <c r="G37" s="0" t="n">
        <f aca="false">(E37-$D$7)*1000*$J$7</f>
        <v>83.2944</v>
      </c>
      <c r="S37" s="0" t="n">
        <v>-0.6883</v>
      </c>
      <c r="T37" s="0" t="n">
        <f aca="false">S37+'sureau_ini.txt'!$B$10*0.01</f>
        <v>-0.6783</v>
      </c>
      <c r="U37" s="0" t="n">
        <v>0.3695</v>
      </c>
      <c r="AQ37" s="72" t="s">
        <v>2224</v>
      </c>
      <c r="AR37" s="94" t="n">
        <v>0.501</v>
      </c>
      <c r="AS37" s="94" t="n">
        <v>0.167</v>
      </c>
      <c r="AT37" s="94" t="n">
        <v>0.098</v>
      </c>
      <c r="AU37" s="94" t="n">
        <v>1.179</v>
      </c>
      <c r="BA37" s="75" t="n">
        <f aca="false">AS37+(AR37-AS37)/(1+(AT37*0.033*10000)^AU37)^(1-1/AU37)</f>
        <v>0.345820652980987</v>
      </c>
      <c r="BB37" s="75" t="n">
        <f aca="false">AS37+(AR37-AS37)/(1+(AT37*1.585*10000)^AU37)^(1-1/AU37)</f>
        <v>0.256639694686375</v>
      </c>
      <c r="BC37" s="75" t="n">
        <f aca="false">AS37+(AR37-AS37)/(1+(AT37*3.5*10000)^AU37)^(1-1/AU37)</f>
        <v>0.244790102228589</v>
      </c>
      <c r="BD37" s="75" t="n">
        <f aca="false">(AR37-AS37)*Soil_Depth*1000*(1-(AX37+AY37+AZ37)/3)</f>
        <v>98.3296</v>
      </c>
      <c r="BE37" s="75" t="n">
        <f aca="false">(BA37-AS37)*Soil_Depth*1000*(1-(AX37+AY37+AZ37)/3)</f>
        <v>52.6448002376026</v>
      </c>
      <c r="BF37" s="75" t="n">
        <f aca="false">(BA37-AS37)/(AR37-AS37)</f>
        <v>0.535391176589782</v>
      </c>
      <c r="BG37" s="75" t="n">
        <f aca="false">(BA37-BB37)*Soil_Depth*1000*(1-(AX37+AY37+AZ37)/3)</f>
        <v>26.2548741219339</v>
      </c>
      <c r="BH37" s="75" t="n">
        <f aca="false">(BA37-BC37)*Soil_Depth*1000*(1-(AX37+AY37+AZ37)/3)</f>
        <v>29.7433941415061</v>
      </c>
      <c r="BJ37" s="0" t="n">
        <f aca="false">AR37-BA37</f>
        <v>0.155179347019013</v>
      </c>
      <c r="BK37" s="0" t="n">
        <f aca="false">AR37-BB37</f>
        <v>0.244360305313625</v>
      </c>
      <c r="BL37" s="0" t="n">
        <f aca="false">AR37-AS37</f>
        <v>0.334</v>
      </c>
      <c r="BM37" s="0" t="n">
        <f aca="false">BA37-BB37</f>
        <v>0.0891809582946126</v>
      </c>
      <c r="BN37" s="0" t="n">
        <f aca="false">BA37-AS37</f>
        <v>0.178820652980987</v>
      </c>
      <c r="BO37" s="0" t="n">
        <f aca="false">BB37-AS37</f>
        <v>0.0896396946863745</v>
      </c>
      <c r="BP37" s="0" t="n">
        <f aca="false">-0.046*LN(BM37)-0.0679</f>
        <v>0.0432860357740309</v>
      </c>
      <c r="BR37" s="0" t="n">
        <f aca="false">LOG(BO37)*-0.3206+0.9205</f>
        <v>1.25632838180936</v>
      </c>
      <c r="BS37" s="0" t="n">
        <f aca="false">$BS$1/(BM37-$BU$1)+$BT$1</f>
        <v>1.48965680028858</v>
      </c>
      <c r="DL37" s="0" t="n">
        <v>1618</v>
      </c>
      <c r="DN37" s="0" t="n">
        <v>4</v>
      </c>
    </row>
    <row r="38" customFormat="false" ht="15.75" hidden="false" customHeight="false" outlineLevel="0" collapsed="false">
      <c r="A38" s="0" t="n">
        <f aca="false">C38*-1000</f>
        <v>0.276474213804715</v>
      </c>
      <c r="B38" s="0" t="n">
        <f aca="false">B37-0.01</f>
        <v>0.73</v>
      </c>
      <c r="C38" s="0" t="n">
        <f aca="false">-((B38^(-1/$I$7)-1)^(1/$F$7))/$E$7/10000</f>
        <v>-0.000276474213804715</v>
      </c>
      <c r="D38" s="0" t="n">
        <f aca="false">$G$7*B38^$H$7*(1-(1-B38^(1/$I$7))^$I$7)^2</f>
        <v>761.21491912577</v>
      </c>
      <c r="E38" s="0" t="n">
        <f aca="false">$D$7+B38*($C$7-$D$7)</f>
        <v>0.42137</v>
      </c>
      <c r="F38" s="0" t="n">
        <f aca="false">LOG(-C38*10000)</f>
        <v>0.44165463175446</v>
      </c>
      <c r="G38" s="0" t="n">
        <f aca="false">(E38-$D$7)*1000*$J$7</f>
        <v>82.1688</v>
      </c>
      <c r="S38" s="0" t="n">
        <v>-0.609</v>
      </c>
      <c r="T38" s="0" t="n">
        <f aca="false">S38+'sureau_ini.txt'!$B$10*0.01</f>
        <v>-0.599</v>
      </c>
      <c r="U38" s="0" t="n">
        <v>0.2974</v>
      </c>
      <c r="AQ38" s="72" t="s">
        <v>2225</v>
      </c>
      <c r="AR38" s="94" t="n">
        <v>0.542</v>
      </c>
      <c r="AS38" s="94" t="n">
        <v>0.202</v>
      </c>
      <c r="AT38" s="94" t="n">
        <v>0.072</v>
      </c>
      <c r="AU38" s="94" t="n">
        <v>1.129</v>
      </c>
      <c r="BA38" s="75" t="n">
        <f aca="false">AS38+(AR38-AS38)/(1+(AT38*0.033*10000)^AU38)^(1-1/AU38)</f>
        <v>0.427229829742858</v>
      </c>
      <c r="BB38" s="75" t="n">
        <f aca="false">AS38+(AR38-AS38)/(1+(AT38*1.585*10000)^AU38)^(1-1/AU38)</f>
        <v>0.339107659477192</v>
      </c>
      <c r="BC38" s="75" t="n">
        <f aca="false">AS38+(AR38-AS38)/(1+(AT38*3.5*10000)^AU38)^(1-1/AU38)</f>
        <v>0.325791572045168</v>
      </c>
      <c r="BD38" s="75" t="n">
        <f aca="false">(AR38-AS38)*Soil_Depth*1000*(1-(AX38+AY38+AZ38)/3)</f>
        <v>100.096</v>
      </c>
      <c r="BE38" s="75" t="n">
        <f aca="false">(BA38-AS38)*Soil_Depth*1000*(1-(AX38+AY38+AZ38)/3)</f>
        <v>66.3076618762973</v>
      </c>
      <c r="BF38" s="75" t="n">
        <f aca="false">(BA38-AS38)/(AR38-AS38)</f>
        <v>0.662440675714287</v>
      </c>
      <c r="BG38" s="75" t="n">
        <f aca="false">(BA38-BB38)*Soil_Depth*1000*(1-(AX38+AY38+AZ38)/3)</f>
        <v>25.9431669262119</v>
      </c>
      <c r="BH38" s="75" t="n">
        <f aca="false">(BA38-BC38)*Soil_Depth*1000*(1-(AX38+AY38+AZ38)/3)</f>
        <v>29.8634230661998</v>
      </c>
      <c r="BJ38" s="0" t="n">
        <f aca="false">AR38-BA38</f>
        <v>0.114770170257142</v>
      </c>
      <c r="BK38" s="0" t="n">
        <f aca="false">AR38-BB38</f>
        <v>0.202892340522808</v>
      </c>
      <c r="BL38" s="0" t="n">
        <f aca="false">AR38-AS38</f>
        <v>0.34</v>
      </c>
      <c r="BM38" s="0" t="n">
        <f aca="false">BA38-BB38</f>
        <v>0.0881221702656653</v>
      </c>
      <c r="BN38" s="0" t="n">
        <f aca="false">BA38-AS38</f>
        <v>0.225229829742858</v>
      </c>
      <c r="BO38" s="0" t="n">
        <f aca="false">BB38-AS38</f>
        <v>0.137107659477192</v>
      </c>
      <c r="BP38" s="0" t="n">
        <f aca="false">-0.046*LN(BM38)-0.0679</f>
        <v>0.0438354319259864</v>
      </c>
      <c r="BR38" s="0" t="n">
        <f aca="false">LOG(BO38)*-0.3206+0.9205</f>
        <v>1.19715801346736</v>
      </c>
      <c r="BS38" s="0" t="n">
        <f aca="false">$BS$1/(BM38-$BU$1)+$BT$1</f>
        <v>1.49168264727333</v>
      </c>
    </row>
    <row r="39" customFormat="false" ht="15.75" hidden="false" customHeight="false" outlineLevel="0" collapsed="false">
      <c r="A39" s="0" t="n">
        <f aca="false">C39*-1000</f>
        <v>0.283759346531971</v>
      </c>
      <c r="B39" s="0" t="n">
        <f aca="false">B38-0.01</f>
        <v>0.72</v>
      </c>
      <c r="C39" s="0" t="n">
        <f aca="false">-((B39^(-1/$I$7)-1)^(1/$F$7))/$E$7/10000</f>
        <v>-0.000283759346531971</v>
      </c>
      <c r="D39" s="0" t="n">
        <f aca="false">$G$7*B39^$H$7*(1-(1-B39^(1/$I$7))^$I$7)^2</f>
        <v>710.328865484847</v>
      </c>
      <c r="E39" s="0" t="n">
        <f aca="false">$D$7+B39*($C$7-$D$7)</f>
        <v>0.41668</v>
      </c>
      <c r="F39" s="0" t="n">
        <f aca="false">LOG(-C39*10000)</f>
        <v>0.452950175330373</v>
      </c>
      <c r="G39" s="0" t="n">
        <f aca="false">(E39-$D$7)*1000*$J$7</f>
        <v>81.0432</v>
      </c>
      <c r="S39" s="0" t="n">
        <v>-0.5622</v>
      </c>
      <c r="T39" s="0" t="n">
        <f aca="false">S39+'sureau_ini.txt'!$B$10*0.01</f>
        <v>-0.5522</v>
      </c>
      <c r="U39" s="0" t="n">
        <v>0.3423</v>
      </c>
      <c r="DL39" s="0" t="s">
        <v>2226</v>
      </c>
      <c r="DN39" s="0" t="s">
        <v>2164</v>
      </c>
    </row>
    <row r="40" customFormat="false" ht="15.75" hidden="false" customHeight="false" outlineLevel="0" collapsed="false">
      <c r="A40" s="0" t="n">
        <f aca="false">C40*-1000</f>
        <v>0.291109655481796</v>
      </c>
      <c r="B40" s="0" t="n">
        <f aca="false">B39-0.01</f>
        <v>0.71</v>
      </c>
      <c r="C40" s="0" t="n">
        <f aca="false">-((B40^(-1/$I$7)-1)^(1/$F$7))/$E$7/10000</f>
        <v>-0.000291109655481796</v>
      </c>
      <c r="D40" s="0" t="n">
        <f aca="false">$G$7*B40^$H$7*(1-(1-B40^(1/$I$7))^$I$7)^2</f>
        <v>662.555295220038</v>
      </c>
      <c r="E40" s="0" t="n">
        <f aca="false">$D$7+B40*($C$7-$D$7)</f>
        <v>0.41199</v>
      </c>
      <c r="F40" s="0" t="n">
        <f aca="false">LOG(-C40*10000)</f>
        <v>0.464056610292544</v>
      </c>
      <c r="G40" s="0" t="n">
        <f aca="false">(E40-$D$7)*1000*$J$7</f>
        <v>79.9176</v>
      </c>
      <c r="S40" s="0" t="n">
        <v>-0.591</v>
      </c>
      <c r="T40" s="0" t="n">
        <f aca="false">S40+'sureau_ini.txt'!$B$10*0.01</f>
        <v>-0.581</v>
      </c>
      <c r="U40" s="0" t="n">
        <v>0.3536</v>
      </c>
      <c r="AQ40" s="72" t="s">
        <v>56</v>
      </c>
      <c r="AR40" s="94" t="n">
        <v>0.41</v>
      </c>
      <c r="AS40" s="94" t="n">
        <v>0.037</v>
      </c>
      <c r="AT40" s="94" t="n">
        <v>0.038</v>
      </c>
      <c r="AU40" s="94" t="n">
        <v>2.474</v>
      </c>
      <c r="BA40" s="75" t="n">
        <f aca="false">AS40+(AR40-AS40)/(1+(AT40*0.033*10000)^AU40)^(1-1/AU40)</f>
        <v>0.0459602988692126</v>
      </c>
      <c r="BB40" s="75" t="n">
        <f aca="false">AS40+(AR40-AS40)/(1+(AT40*1.585*10000)^AU40)^(1-1/AU40)</f>
        <v>0.0370298033194031</v>
      </c>
      <c r="BC40" s="75" t="n">
        <f aca="false">AS40+(AR40-AS40)/(1+(AT40*3.5*10000)^AU40)^(1-1/AU40)</f>
        <v>0.0370092715321409</v>
      </c>
      <c r="BD40" s="75" t="n">
        <f aca="false">(AR40-AS40)*Soil_Depth*1000*(1-(AX40+AY40+AZ40)/3)</f>
        <v>109.8112</v>
      </c>
      <c r="BE40" s="75" t="n">
        <f aca="false">(BA40-AS40)*Soil_Depth*1000*(1-(AX40+AY40+AZ40)/3)</f>
        <v>2.63791198709619</v>
      </c>
      <c r="BF40" s="75" t="n">
        <f aca="false">(BA40-AS40)/(AR40-AS40)</f>
        <v>0.0240222489791222</v>
      </c>
      <c r="BG40" s="75" t="n">
        <f aca="false">(BA40-BB40)*Soil_Depth*1000*(1-(AX40+AY40+AZ40)/3)</f>
        <v>2.62913788986391</v>
      </c>
      <c r="BH40" s="75" t="n">
        <f aca="false">(BA40-BC40)*Soil_Depth*1000*(1-(AX40+AY40+AZ40)/3)</f>
        <v>2.63518244803389</v>
      </c>
      <c r="BJ40" s="0" t="n">
        <f aca="false">AR40-BA40</f>
        <v>0.364039701130787</v>
      </c>
      <c r="BK40" s="0" t="n">
        <f aca="false">AR40-BB40</f>
        <v>0.372970196680597</v>
      </c>
      <c r="BL40" s="0" t="n">
        <f aca="false">AR40-AS40</f>
        <v>0.373</v>
      </c>
      <c r="BM40" s="0" t="n">
        <f aca="false">BA40-BB40</f>
        <v>0.00893049554980949</v>
      </c>
      <c r="BN40" s="0" t="n">
        <f aca="false">BA40-AS40</f>
        <v>0.00896029886921259</v>
      </c>
      <c r="BO40" s="0" t="n">
        <f aca="false">BB40-AS40</f>
        <v>2.9803319403103E-005</v>
      </c>
      <c r="BP40" s="0" t="n">
        <f aca="false">-0.046*LN(BM40)-0.0679</f>
        <v>0.149141036074944</v>
      </c>
      <c r="BR40" s="0" t="n">
        <f aca="false">LOG(BO40)*-0.3206+0.9205</f>
        <v>2.37145075732358</v>
      </c>
      <c r="BS40" s="0" t="n">
        <f aca="false">$BS$1/(BM40-$BU$1)+$BT$1</f>
        <v>2.25331297470833</v>
      </c>
      <c r="DL40" s="0" t="n">
        <v>141680</v>
      </c>
      <c r="DN40" s="0" t="n">
        <v>3</v>
      </c>
    </row>
    <row r="41" customFormat="false" ht="15.75" hidden="false" customHeight="false" outlineLevel="0" collapsed="false">
      <c r="A41" s="0" t="n">
        <f aca="false">C41*-1000</f>
        <v>0.298533486701225</v>
      </c>
      <c r="B41" s="0" t="n">
        <f aca="false">B40-0.01</f>
        <v>0.7</v>
      </c>
      <c r="C41" s="0" t="n">
        <f aca="false">-((B41^(-1/$I$7)-1)^(1/$F$7))/$E$7/10000</f>
        <v>-0.000298533486701225</v>
      </c>
      <c r="D41" s="0" t="n">
        <f aca="false">$G$7*B41^$H$7*(1-(1-B41^(1/$I$7))^$I$7)^2</f>
        <v>617.699251942578</v>
      </c>
      <c r="E41" s="0" t="n">
        <f aca="false">$D$7+B41*($C$7-$D$7)</f>
        <v>0.4073</v>
      </c>
      <c r="F41" s="0" t="n">
        <f aca="false">LOG(-C41*10000)</f>
        <v>0.474993053300813</v>
      </c>
      <c r="G41" s="0" t="n">
        <f aca="false">(E41-$D$7)*1000*$J$7</f>
        <v>78.792</v>
      </c>
      <c r="S41" s="0" t="n">
        <v>-0.555</v>
      </c>
      <c r="T41" s="0" t="n">
        <f aca="false">S41+'sureau_ini.txt'!$B$10*0.01</f>
        <v>-0.545</v>
      </c>
      <c r="U41" s="0" t="n">
        <v>0.3563</v>
      </c>
      <c r="AQ41" s="72" t="s">
        <v>93</v>
      </c>
      <c r="AR41" s="94" t="n">
        <v>0.438</v>
      </c>
      <c r="AS41" s="94" t="n">
        <v>0.062</v>
      </c>
      <c r="AT41" s="94" t="n">
        <v>0.0837</v>
      </c>
      <c r="AU41" s="94" t="n">
        <v>1.672</v>
      </c>
      <c r="BA41" s="75" t="n">
        <f aca="false">AS41+(AR41-AS41)/(1+(AT41*0.033*10000)^AU41)^(1-1/AU41)</f>
        <v>0.102364244372567</v>
      </c>
      <c r="BB41" s="75" t="n">
        <f aca="false">AS41+(AR41-AS41)/(1+(AT41*1.585*10000)^AU41)^(1-1/AU41)</f>
        <v>0.0649970612687032</v>
      </c>
      <c r="BC41" s="75" t="n">
        <f aca="false">AS41+(AR41-AS41)/(1+(AT41*3.5*10000)^AU41)^(1-1/AU41)</f>
        <v>0.063759958115959</v>
      </c>
      <c r="BD41" s="75" t="n">
        <f aca="false">(AR41-AS41)*Soil_Depth*1000*(1-(AX41+AY41+AZ41)/3)</f>
        <v>110.6944</v>
      </c>
      <c r="BE41" s="75" t="n">
        <f aca="false">(BA41-AS41)*Soil_Depth*1000*(1-(AX41+AY41+AZ41)/3)</f>
        <v>11.8832335432838</v>
      </c>
      <c r="BF41" s="75" t="n">
        <f aca="false">(BA41-AS41)/(AR41-AS41)</f>
        <v>0.107351713756828</v>
      </c>
      <c r="BG41" s="75" t="n">
        <f aca="false">(BA41-BB41)*Soil_Depth*1000*(1-(AX41+AY41+AZ41)/3)</f>
        <v>11.0008987057776</v>
      </c>
      <c r="BH41" s="75" t="n">
        <f aca="false">(BA41-BC41)*Soil_Depth*1000*(1-(AX41+AY41+AZ41)/3)</f>
        <v>11.3651018739455</v>
      </c>
      <c r="BJ41" s="0" t="n">
        <f aca="false">AR41-BA41</f>
        <v>0.335635755627433</v>
      </c>
      <c r="BK41" s="0" t="n">
        <f aca="false">AR41-BB41</f>
        <v>0.373002938731297</v>
      </c>
      <c r="BL41" s="0" t="n">
        <f aca="false">AR41-AS41</f>
        <v>0.376</v>
      </c>
      <c r="BM41" s="0" t="n">
        <f aca="false">BA41-BB41</f>
        <v>0.0373671831038642</v>
      </c>
      <c r="BN41" s="0" t="n">
        <f aca="false">BA41-AS41</f>
        <v>0.0403642443725674</v>
      </c>
      <c r="BO41" s="0" t="n">
        <f aca="false">BB41-AS41</f>
        <v>0.00299706126870321</v>
      </c>
      <c r="BP41" s="0" t="n">
        <f aca="false">-0.046*LN(BM41)-0.0679</f>
        <v>0.0833002711759473</v>
      </c>
      <c r="BR41" s="0" t="n">
        <f aca="false">LOG(BO41)*-0.3206+0.9205</f>
        <v>1.72947138381553</v>
      </c>
      <c r="BS41" s="0" t="n">
        <f aca="false">$BS$1/(BM41-$BU$1)+$BT$1</f>
        <v>1.69282833484843</v>
      </c>
    </row>
    <row r="42" customFormat="false" ht="15.75" hidden="false" customHeight="false" outlineLevel="0" collapsed="false">
      <c r="A42" s="0" t="n">
        <f aca="false">C42*-1000</f>
        <v>0.30603916871382</v>
      </c>
      <c r="B42" s="0" t="n">
        <f aca="false">B41-0.01</f>
        <v>0.69</v>
      </c>
      <c r="C42" s="0" t="n">
        <f aca="false">-((B42^(-1/$I$7)-1)^(1/$F$7))/$E$7/10000</f>
        <v>-0.00030603916871382</v>
      </c>
      <c r="D42" s="0" t="n">
        <f aca="false">$G$7*B42^$H$7*(1-(1-B42^(1/$I$7))^$I$7)^2</f>
        <v>575.580886320645</v>
      </c>
      <c r="E42" s="0" t="n">
        <f aca="false">$D$7+B42*($C$7-$D$7)</f>
        <v>0.40261</v>
      </c>
      <c r="F42" s="0" t="n">
        <f aca="false">LOG(-C42*10000)</f>
        <v>0.485777013630796</v>
      </c>
      <c r="G42" s="0" t="n">
        <f aca="false">(E42-$D$7)*1000*$J$7</f>
        <v>77.6664</v>
      </c>
      <c r="S42" s="0" t="n">
        <v>-0.4828</v>
      </c>
      <c r="T42" s="0" t="n">
        <f aca="false">S42+'sureau_ini.txt'!$B$10*0.01</f>
        <v>-0.4728</v>
      </c>
      <c r="U42" s="0" t="n">
        <v>0.3616</v>
      </c>
      <c r="AQ42" s="72" t="s">
        <v>2194</v>
      </c>
      <c r="AR42" s="94" t="n">
        <v>0.461</v>
      </c>
      <c r="AS42" s="94" t="n">
        <v>0.111</v>
      </c>
      <c r="AT42" s="94" t="n">
        <v>0.0396</v>
      </c>
      <c r="AU42" s="94" t="n">
        <v>1.553</v>
      </c>
      <c r="BA42" s="75" t="n">
        <f aca="false">AS42+(AR42-AS42)/(1+(AT42*0.033*10000)^AU42)^(1-1/AU42)</f>
        <v>0.194940926568568</v>
      </c>
      <c r="BB42" s="75" t="n">
        <f aca="false">AS42+(AR42-AS42)/(1+(AT42*1.585*10000)^AU42)^(1-1/AU42)</f>
        <v>0.120929318287579</v>
      </c>
      <c r="BC42" s="75" t="n">
        <f aca="false">AS42+(AR42-AS42)/(1+(AT42*3.5*10000)^AU42)^(1-1/AU42)</f>
        <v>0.117407239166466</v>
      </c>
      <c r="BD42" s="75" t="n">
        <f aca="false">(AR42-AS42)*Soil_Depth*1000*(1-(AX42+AY42+AZ42)/3)</f>
        <v>103.04</v>
      </c>
      <c r="BE42" s="75" t="n">
        <f aca="false">(BA42-AS42)*Soil_Depth*1000*(1-(AX42+AY42+AZ42)/3)</f>
        <v>24.7122087817863</v>
      </c>
      <c r="BF42" s="75" t="n">
        <f aca="false">(BA42-AS42)/(AR42-AS42)</f>
        <v>0.239831218767336</v>
      </c>
      <c r="BG42" s="75" t="n">
        <f aca="false">(BA42-BB42)*Soil_Depth*1000*(1-(AX42+AY42+AZ42)/3)</f>
        <v>21.7890174779232</v>
      </c>
      <c r="BH42" s="75" t="n">
        <f aca="false">(BA42-BC42)*Soil_Depth*1000*(1-(AX42+AY42+AZ42)/3)</f>
        <v>22.8259175711788</v>
      </c>
      <c r="BJ42" s="0" t="n">
        <f aca="false">AR42-BA42</f>
        <v>0.266059073431432</v>
      </c>
      <c r="BK42" s="0" t="n">
        <f aca="false">AR42-BB42</f>
        <v>0.340070681712421</v>
      </c>
      <c r="BL42" s="0" t="n">
        <f aca="false">AR42-AS42</f>
        <v>0.35</v>
      </c>
      <c r="BM42" s="0" t="n">
        <f aca="false">BA42-BB42</f>
        <v>0.0740116082809892</v>
      </c>
      <c r="BN42" s="0" t="n">
        <f aca="false">BA42-AS42</f>
        <v>0.0839409265685678</v>
      </c>
      <c r="BO42" s="0" t="n">
        <f aca="false">BB42-AS42</f>
        <v>0.00992931828757854</v>
      </c>
      <c r="BP42" s="0" t="n">
        <f aca="false">-0.046*LN(BM42)-0.0679</f>
        <v>0.0518625331532534</v>
      </c>
      <c r="BR42" s="0" t="n">
        <f aca="false">LOG(BO42)*-0.3206+0.9205</f>
        <v>1.56268762998156</v>
      </c>
      <c r="BS42" s="0" t="n">
        <f aca="false">$BS$1/(BM42-$BU$1)+$BT$1</f>
        <v>1.52349888896584</v>
      </c>
      <c r="DL42" s="0" t="s">
        <v>2227</v>
      </c>
      <c r="DN42" s="0" t="s">
        <v>2164</v>
      </c>
    </row>
    <row r="43" customFormat="false" ht="15.75" hidden="false" customHeight="false" outlineLevel="0" collapsed="false">
      <c r="A43" s="0" t="n">
        <f aca="false">C43*-1000</f>
        <v>0.313635066047309</v>
      </c>
      <c r="B43" s="0" t="n">
        <f aca="false">B42-0.01</f>
        <v>0.68</v>
      </c>
      <c r="C43" s="0" t="n">
        <f aca="false">-((B43^(-1/$I$7)-1)^(1/$F$7))/$E$7/10000</f>
        <v>-0.000313635066047309</v>
      </c>
      <c r="D43" s="0" t="n">
        <f aca="false">$G$7*B43^$H$7*(1-(1-B43^(1/$I$7))^$I$7)^2</f>
        <v>536.033863758671</v>
      </c>
      <c r="E43" s="0" t="n">
        <f aca="false">$D$7+B43*($C$7-$D$7)</f>
        <v>0.39792</v>
      </c>
      <c r="F43" s="0" t="n">
        <f aca="false">LOG(-C43*10000)</f>
        <v>0.496424613130628</v>
      </c>
      <c r="G43" s="0" t="n">
        <f aca="false">(E43-$D$7)*1000*$J$7</f>
        <v>76.5408</v>
      </c>
      <c r="S43" s="0" t="n">
        <v>-0.5261</v>
      </c>
      <c r="T43" s="0" t="n">
        <f aca="false">S43+'sureau_ini.txt'!$B$10*0.01</f>
        <v>-0.5161</v>
      </c>
      <c r="U43" s="0" t="n">
        <v>0.3084</v>
      </c>
      <c r="AO43" s="0" t="s">
        <v>2228</v>
      </c>
      <c r="AQ43" s="72" t="s">
        <v>82</v>
      </c>
      <c r="AR43" s="94" t="n">
        <v>0.521</v>
      </c>
      <c r="AS43" s="94" t="n">
        <v>0.155</v>
      </c>
      <c r="AT43" s="94" t="n">
        <v>0.0246</v>
      </c>
      <c r="AU43" s="94" t="n">
        <v>1.461</v>
      </c>
      <c r="BA43" s="75" t="n">
        <f aca="false">AS43+(AR43-AS43)/(1+(AT43*0.033*10000)^AU43)^(1-1/AU43)</f>
        <v>0.292386011470019</v>
      </c>
      <c r="BB43" s="75" t="n">
        <f aca="false">AS43+(AR43-AS43)/(1+(AT43*1.585*10000)^AU43)^(1-1/AU43)</f>
        <v>0.178389667583787</v>
      </c>
      <c r="BC43" s="75" t="n">
        <f aca="false">AS43+(AR43-AS43)/(1+(AT43*3.5*10000)^AU43)^(1-1/AU43)</f>
        <v>0.171234449737327</v>
      </c>
      <c r="BD43" s="75" t="n">
        <f aca="false">(AR43-AS43)*Soil_Depth*1000*(1-(AX43+AY43+AZ43)/3)</f>
        <v>107.7504</v>
      </c>
      <c r="BE43" s="75" t="n">
        <f aca="false">(BA43-AS43)*Soil_Depth*1000*(1-(AX43+AY43+AZ43)/3)</f>
        <v>40.4464417767736</v>
      </c>
      <c r="BF43" s="75" t="n">
        <f aca="false">(BA43-AS43)/(AR43-AS43)</f>
        <v>0.375371616038303</v>
      </c>
      <c r="BG43" s="75" t="n">
        <f aca="false">(BA43-BB43)*Soil_Depth*1000*(1-(AX43+AY43+AZ43)/3)</f>
        <v>33.5605236401068</v>
      </c>
      <c r="BH43" s="75" t="n">
        <f aca="false">(BA43-BC43)*Soil_Depth*1000*(1-(AX43+AY43+AZ43)/3)</f>
        <v>35.6670197741044</v>
      </c>
      <c r="BJ43" s="0" t="n">
        <f aca="false">AR43-BA43</f>
        <v>0.228613988529981</v>
      </c>
      <c r="BK43" s="0" t="n">
        <f aca="false">AR43-BB43</f>
        <v>0.342610332416214</v>
      </c>
      <c r="BL43" s="0" t="n">
        <f aca="false">AR43-AS43</f>
        <v>0.366</v>
      </c>
      <c r="BM43" s="0" t="n">
        <f aca="false">BA43-BB43</f>
        <v>0.113996343886232</v>
      </c>
      <c r="BN43" s="0" t="n">
        <f aca="false">BA43-AS43</f>
        <v>0.137386011470019</v>
      </c>
      <c r="BO43" s="0" t="n">
        <f aca="false">BB43-AS43</f>
        <v>0.0233896675837865</v>
      </c>
      <c r="BP43" s="0" t="n">
        <f aca="false">-0.046*LN(BM43)-0.0679</f>
        <v>0.0319930895046653</v>
      </c>
      <c r="BR43" s="0" t="n">
        <f aca="false">LOG(BO43)*-0.3206+0.9205</f>
        <v>1.4433908896925</v>
      </c>
      <c r="BS43" s="0" t="n">
        <f aca="false">$BS$1/(BM43-$BU$1)+$BT$1</f>
        <v>1.45200444596438</v>
      </c>
      <c r="DL43" s="0" t="n">
        <v>-43000</v>
      </c>
      <c r="DN43" s="0" t="n">
        <v>2.18</v>
      </c>
    </row>
    <row r="44" customFormat="false" ht="15.75" hidden="false" customHeight="false" outlineLevel="0" collapsed="false">
      <c r="A44" s="0" t="n">
        <f aca="false">C44*-1000</f>
        <v>0.321329629634407</v>
      </c>
      <c r="B44" s="0" t="n">
        <f aca="false">B43-0.01</f>
        <v>0.67</v>
      </c>
      <c r="C44" s="0" t="n">
        <f aca="false">-((B44^(-1/$I$7)-1)^(1/$F$7))/$E$7/10000</f>
        <v>-0.000321329629634407</v>
      </c>
      <c r="D44" s="0" t="n">
        <f aca="false">$G$7*B44^$H$7*(1-(1-B44^(1/$I$7))^$I$7)^2</f>
        <v>498.9039868626</v>
      </c>
      <c r="E44" s="0" t="n">
        <f aca="false">$D$7+B44*($C$7-$D$7)</f>
        <v>0.39323</v>
      </c>
      <c r="F44" s="0" t="n">
        <f aca="false">LOG(-C44*10000)</f>
        <v>0.506950773461354</v>
      </c>
      <c r="G44" s="0" t="n">
        <f aca="false">(E44-$D$7)*1000*$J$7</f>
        <v>75.4152</v>
      </c>
      <c r="I44" s="0" t="n">
        <v>0</v>
      </c>
      <c r="J44" s="0" t="n">
        <v>0.548</v>
      </c>
      <c r="K44" s="0" t="n">
        <v>7.32</v>
      </c>
      <c r="L44" s="0" t="n">
        <f aca="false">K44*944.8</f>
        <v>6915.936</v>
      </c>
      <c r="S44" s="0" t="n">
        <v>-0.4541</v>
      </c>
      <c r="T44" s="0" t="n">
        <f aca="false">S44+'sureau_ini.txt'!$B$10*0.01</f>
        <v>-0.4441</v>
      </c>
      <c r="U44" s="0" t="n">
        <v>0.2898</v>
      </c>
      <c r="AQ44" s="72" t="s">
        <v>2197</v>
      </c>
      <c r="AR44" s="94" t="n">
        <v>0.601</v>
      </c>
      <c r="AS44" s="94" t="n">
        <v>0.223</v>
      </c>
      <c r="AT44" s="94" t="n">
        <v>0.0191</v>
      </c>
      <c r="AU44" s="94" t="n">
        <v>1.644</v>
      </c>
      <c r="BA44" s="75" t="n">
        <f aca="false">AS44+(AR44-AS44)/(1+(AT44*0.033*10000)^AU44)^(1-1/AU44)</f>
        <v>0.336378234704283</v>
      </c>
      <c r="BB44" s="75" t="n">
        <f aca="false">AS44+(AR44-AS44)/(1+(AT44*1.585*10000)^AU44)^(1-1/AU44)</f>
        <v>0.232542744079023</v>
      </c>
      <c r="BC44" s="75" t="n">
        <f aca="false">AS44+(AR44-AS44)/(1+(AT44*3.5*10000)^AU44)^(1-1/AU44)</f>
        <v>0.22872957796372</v>
      </c>
      <c r="BD44" s="75" t="n">
        <f aca="false">(AR44-AS44)*Soil_Depth*1000*(1-(AX44+AY44+AZ44)/3)</f>
        <v>111.2832</v>
      </c>
      <c r="BE44" s="75" t="n">
        <f aca="false">(BA44-AS44)*Soil_Depth*1000*(1-(AX44+AY44+AZ44)/3)</f>
        <v>33.3785522969409</v>
      </c>
      <c r="BF44" s="75" t="n">
        <f aca="false">(BA44-AS44)/(AR44-AS44)</f>
        <v>0.2999424198526</v>
      </c>
      <c r="BG44" s="75" t="n">
        <f aca="false">(BA44-BB44)*Soil_Depth*1000*(1-(AX44+AY44+AZ44)/3)</f>
        <v>30.5691684400766</v>
      </c>
      <c r="BH44" s="75" t="n">
        <f aca="false">(BA44-BC44)*Soil_Depth*1000*(1-(AX44+AY44+AZ44)/3)</f>
        <v>31.6917645444218</v>
      </c>
      <c r="BJ44" s="0" t="n">
        <f aca="false">AR44-BA44</f>
        <v>0.264621765295717</v>
      </c>
      <c r="BK44" s="0" t="n">
        <f aca="false">AR44-BB44</f>
        <v>0.368457255920977</v>
      </c>
      <c r="BL44" s="0" t="n">
        <f aca="false">AR44-AS44</f>
        <v>0.378</v>
      </c>
      <c r="BM44" s="0" t="n">
        <f aca="false">BA44-BB44</f>
        <v>0.10383549062526</v>
      </c>
      <c r="BN44" s="0" t="n">
        <f aca="false">BA44-AS44</f>
        <v>0.113378234704283</v>
      </c>
      <c r="BO44" s="0" t="n">
        <f aca="false">BB44-AS44</f>
        <v>0.0095427440790227</v>
      </c>
      <c r="BP44" s="0" t="n">
        <f aca="false">-0.046*LN(BM44)-0.0679</f>
        <v>0.0362875828449602</v>
      </c>
      <c r="BR44" s="0" t="n">
        <f aca="false">LOG(BO44)*-0.3206+0.9205</f>
        <v>1.56821674742364</v>
      </c>
      <c r="BS44" s="0" t="n">
        <f aca="false">$BS$1/(BM44-$BU$1)+$BT$1</f>
        <v>1.46545407605739</v>
      </c>
    </row>
    <row r="45" customFormat="false" ht="15.75" hidden="false" customHeight="false" outlineLevel="0" collapsed="false">
      <c r="A45" s="0" t="n">
        <f aca="false">C45*-1000</f>
        <v>0.329131445076416</v>
      </c>
      <c r="B45" s="0" t="n">
        <f aca="false">B44-0.01</f>
        <v>0.66</v>
      </c>
      <c r="C45" s="0" t="n">
        <f aca="false">-((B45^(-1/$I$7)-1)^(1/$F$7))/$E$7/10000</f>
        <v>-0.000329131445076416</v>
      </c>
      <c r="D45" s="0" t="n">
        <f aca="false">$G$7*B45^$H$7*(1-(1-B45^(1/$I$7))^$I$7)^2</f>
        <v>464.047997984654</v>
      </c>
      <c r="E45" s="0" t="n">
        <f aca="false">$D$7+B45*($C$7-$D$7)</f>
        <v>0.38854</v>
      </c>
      <c r="F45" s="0" t="n">
        <f aca="false">LOG(-C45*10000)</f>
        <v>0.517369376584211</v>
      </c>
      <c r="G45" s="0" t="n">
        <f aca="false">(E45-$D$7)*1000*$J$7</f>
        <v>74.2896</v>
      </c>
      <c r="I45" s="0" t="n">
        <v>1</v>
      </c>
      <c r="J45" s="0" t="n">
        <v>0.191</v>
      </c>
      <c r="K45" s="142" t="n">
        <v>0.0055</v>
      </c>
      <c r="L45" s="0" t="n">
        <f aca="false">K45*944.8</f>
        <v>5.1964</v>
      </c>
      <c r="S45" s="0" t="n">
        <v>-0.4937</v>
      </c>
      <c r="T45" s="0" t="n">
        <f aca="false">S45+'sureau_ini.txt'!$B$10*0.01</f>
        <v>-0.4837</v>
      </c>
      <c r="U45" s="0" t="n">
        <v>0.2422</v>
      </c>
      <c r="AQ45" s="72" t="s">
        <v>2229</v>
      </c>
      <c r="AR45" s="94" t="n">
        <v>0.413</v>
      </c>
      <c r="AS45" s="94" t="n">
        <v>0.149</v>
      </c>
      <c r="AT45" s="94" t="n">
        <v>0.0644</v>
      </c>
      <c r="AU45" s="94" t="n">
        <v>1.535</v>
      </c>
      <c r="BA45" s="75" t="n">
        <f aca="false">AS45+(AR45-AS45)/(1+(AT45*0.033*10000)^AU45)^(1-1/AU45)</f>
        <v>0.200293590101174</v>
      </c>
      <c r="BB45" s="75" t="n">
        <f aca="false">AS45+(AR45-AS45)/(1+(AT45*1.585*10000)^AU45)^(1-1/AU45)</f>
        <v>0.155483816096103</v>
      </c>
      <c r="BC45" s="75" t="n">
        <f aca="false">AS45+(AR45-AS45)/(1+(AT45*3.5*10000)^AU45)^(1-1/AU45)</f>
        <v>0.153243971947344</v>
      </c>
      <c r="BD45" s="75" t="n">
        <f aca="false">(AR45-AS45)*Soil_Depth*1000*(1-(AX45+AY45+AZ45)/3)</f>
        <v>77.7216</v>
      </c>
      <c r="BE45" s="75" t="n">
        <f aca="false">(BA45-AS45)*Soil_Depth*1000*(1-(AX45+AY45+AZ45)/3)</f>
        <v>15.1008329257857</v>
      </c>
      <c r="BF45" s="75" t="n">
        <f aca="false">(BA45-AS45)/(AR45-AS45)</f>
        <v>0.194293901898387</v>
      </c>
      <c r="BG45" s="75" t="n">
        <f aca="false">(BA45-BB45)*Soil_Depth*1000*(1-(AX45+AY45+AZ45)/3)</f>
        <v>13.191997467093</v>
      </c>
      <c r="BH45" s="75" t="n">
        <f aca="false">(BA45-BC45)*Soil_Depth*1000*(1-(AX45+AY45+AZ45)/3)</f>
        <v>13.8514075844877</v>
      </c>
      <c r="BJ45" s="0" t="n">
        <f aca="false">AR45-BA45</f>
        <v>0.212706409898826</v>
      </c>
      <c r="BK45" s="0" t="n">
        <f aca="false">AR45-BB45</f>
        <v>0.257516183903897</v>
      </c>
      <c r="BL45" s="0" t="n">
        <f aca="false">AR45-AS45</f>
        <v>0.264</v>
      </c>
      <c r="BM45" s="0" t="n">
        <f aca="false">BA45-BB45</f>
        <v>0.0448097740050715</v>
      </c>
      <c r="BN45" s="0" t="n">
        <f aca="false">BA45-AS45</f>
        <v>0.0512935901011741</v>
      </c>
      <c r="BO45" s="0" t="n">
        <f aca="false">BB45-AS45</f>
        <v>0.0064838160961026</v>
      </c>
      <c r="BP45" s="0" t="n">
        <f aca="false">-0.046*LN(BM45)-0.0679</f>
        <v>0.0749451337056321</v>
      </c>
      <c r="BR45" s="0" t="n">
        <f aca="false">LOG(BO45)*-0.3206+0.9205</f>
        <v>1.62202708135423</v>
      </c>
      <c r="BS45" s="0" t="n">
        <f aca="false">$BS$1/(BM45-$BU$1)+$BT$1</f>
        <v>1.64044215979576</v>
      </c>
      <c r="DL45" s="0" t="s">
        <v>2164</v>
      </c>
      <c r="DN45" s="0" t="s">
        <v>2164</v>
      </c>
    </row>
    <row r="46" customFormat="false" ht="15.75" hidden="false" customHeight="false" outlineLevel="0" collapsed="false">
      <c r="A46" s="0" t="n">
        <f aca="false">C46*-1000</f>
        <v>0.337049279624274</v>
      </c>
      <c r="B46" s="0" t="n">
        <f aca="false">B45-0.01</f>
        <v>0.65</v>
      </c>
      <c r="C46" s="0" t="n">
        <f aca="false">-((B46^(-1/$I$7)-1)^(1/$F$7))/$E$7/10000</f>
        <v>-0.000337049279624274</v>
      </c>
      <c r="D46" s="0" t="n">
        <f aca="false">$G$7*B46^$H$7*(1-(1-B46^(1/$I$7))^$I$7)^2</f>
        <v>431.332533615934</v>
      </c>
      <c r="E46" s="0" t="n">
        <f aca="false">$D$7+B46*($C$7-$D$7)</f>
        <v>0.38385</v>
      </c>
      <c r="F46" s="0" t="n">
        <f aca="false">LOG(-C46*10000)</f>
        <v>0.527693403257819</v>
      </c>
      <c r="G46" s="0" t="n">
        <f aca="false">(E46-$D$7)*1000*$J$7</f>
        <v>73.164</v>
      </c>
      <c r="I46" s="0" t="n">
        <v>5</v>
      </c>
      <c r="J46" s="0" t="n">
        <v>0.097</v>
      </c>
      <c r="K46" s="142" t="n">
        <v>2.1E-006</v>
      </c>
      <c r="L46" s="0" t="n">
        <f aca="false">K46*944.8</f>
        <v>0.00198408</v>
      </c>
      <c r="S46" s="0" t="n">
        <v>-0.4072</v>
      </c>
      <c r="T46" s="0" t="n">
        <f aca="false">S46+'sureau_ini.txt'!$B$10*0.01</f>
        <v>-0.3972</v>
      </c>
      <c r="U46" s="0" t="n">
        <v>0.3304</v>
      </c>
      <c r="AQ46" s="72" t="s">
        <v>2169</v>
      </c>
      <c r="AR46" s="94" t="n">
        <v>0.519</v>
      </c>
      <c r="AS46" s="94" t="n">
        <v>0.226</v>
      </c>
      <c r="AT46" s="94" t="n">
        <v>0.0392</v>
      </c>
      <c r="AU46" s="94" t="n">
        <v>1.437</v>
      </c>
      <c r="BA46" s="75" t="n">
        <f aca="false">AS46+(AR46-AS46)/(1+(AT46*0.033*10000)^AU46)^(1-1/AU46)</f>
        <v>0.320998556238414</v>
      </c>
      <c r="BB46" s="75" t="n">
        <f aca="false">AS46+(AR46-AS46)/(1+(AT46*1.585*10000)^AU46)^(1-1/AU46)</f>
        <v>0.243626903699148</v>
      </c>
      <c r="BC46" s="75" t="n">
        <f aca="false">AS46+(AR46-AS46)/(1+(AT46*3.5*10000)^AU46)^(1-1/AU46)</f>
        <v>0.238469234057717</v>
      </c>
      <c r="BD46" s="75" t="n">
        <f aca="false">(AR46-AS46)*Soil_Depth*1000*(1-(AX46+AY46+AZ46)/3)</f>
        <v>86.2592</v>
      </c>
      <c r="BE46" s="75" t="n">
        <f aca="false">(BA46-AS46)*Soil_Depth*1000*(1-(AX46+AY46+AZ46)/3)</f>
        <v>27.9675749565891</v>
      </c>
      <c r="BF46" s="75" t="n">
        <f aca="false">(BA46-AS46)/(AR46-AS46)</f>
        <v>0.324227154397318</v>
      </c>
      <c r="BG46" s="75" t="n">
        <f aca="false">(BA46-BB46)*Soil_Depth*1000*(1-(AX46+AY46+AZ46)/3)</f>
        <v>22.7782145075599</v>
      </c>
      <c r="BH46" s="75" t="n">
        <f aca="false">(BA46-BC46)*Soil_Depth*1000*(1-(AX46+AY46+AZ46)/3)</f>
        <v>24.2966324499972</v>
      </c>
      <c r="BJ46" s="0" t="n">
        <f aca="false">AR46-BA46</f>
        <v>0.198001443761586</v>
      </c>
      <c r="BK46" s="0" t="n">
        <f aca="false">AR46-BB46</f>
        <v>0.275373096300852</v>
      </c>
      <c r="BL46" s="0" t="n">
        <f aca="false">AR46-AS46</f>
        <v>0.293</v>
      </c>
      <c r="BM46" s="0" t="n">
        <f aca="false">BA46-BB46</f>
        <v>0.0773716525392661</v>
      </c>
      <c r="BN46" s="0" t="n">
        <f aca="false">BA46-AS46</f>
        <v>0.0949985562384141</v>
      </c>
      <c r="BO46" s="0" t="n">
        <f aca="false">BB46-AS46</f>
        <v>0.017626903699148</v>
      </c>
      <c r="BP46" s="0" t="n">
        <f aca="false">-0.046*LN(BM46)-0.0679</f>
        <v>0.0498202013397507</v>
      </c>
      <c r="BR46" s="0" t="n">
        <f aca="false">LOG(BO46)*-0.3206+0.9205</f>
        <v>1.48277596419162</v>
      </c>
      <c r="BS46" s="0" t="n">
        <f aca="false">$BS$1/(BM46-$BU$1)+$BT$1</f>
        <v>1.51500107165652</v>
      </c>
      <c r="DL46" s="0" t="n">
        <v>0</v>
      </c>
      <c r="DN46" s="0" t="n">
        <v>87</v>
      </c>
    </row>
    <row r="47" customFormat="false" ht="15.75" hidden="false" customHeight="false" outlineLevel="0" collapsed="false">
      <c r="A47" s="0" t="n">
        <f aca="false">C47*-1000</f>
        <v>0.345092128633372</v>
      </c>
      <c r="B47" s="0" t="n">
        <f aca="false">B46-0.01</f>
        <v>0.64</v>
      </c>
      <c r="C47" s="0" t="n">
        <f aca="false">-((B47^(-1/$I$7)-1)^(1/$F$7))/$E$7/10000</f>
        <v>-0.000345092128633372</v>
      </c>
      <c r="D47" s="0" t="n">
        <f aca="false">$G$7*B47^$H$7*(1-(1-B47^(1/$I$7))^$I$7)^2</f>
        <v>400.633207510327</v>
      </c>
      <c r="E47" s="0" t="n">
        <f aca="false">$D$7+B47*($C$7-$D$7)</f>
        <v>0.37916</v>
      </c>
      <c r="F47" s="0" t="n">
        <f aca="false">LOG(-C47*10000)</f>
        <v>0.53793505337993</v>
      </c>
      <c r="G47" s="0" t="n">
        <f aca="false">(E47-$D$7)*1000*$J$7</f>
        <v>72.0384</v>
      </c>
      <c r="I47" s="0" t="n">
        <v>10</v>
      </c>
      <c r="J47" s="0" t="n">
        <v>0.087</v>
      </c>
      <c r="K47" s="142" t="n">
        <v>6.8E-008</v>
      </c>
      <c r="L47" s="0" t="n">
        <f aca="false">K47*944.8</f>
        <v>6.42464E-005</v>
      </c>
      <c r="S47" s="0" t="n">
        <v>-0.2847</v>
      </c>
      <c r="T47" s="0" t="n">
        <f aca="false">S47+'sureau_ini.txt'!$B$10*0.01</f>
        <v>-0.2747</v>
      </c>
      <c r="U47" s="0" t="n">
        <v>0.32</v>
      </c>
      <c r="AQ47" s="72" t="s">
        <v>2200</v>
      </c>
      <c r="AR47" s="94" t="n">
        <v>0.586</v>
      </c>
      <c r="AS47" s="94" t="n">
        <v>0.267</v>
      </c>
      <c r="AT47" s="94" t="n">
        <v>0.0298</v>
      </c>
      <c r="AU47" s="94" t="n">
        <v>1.513</v>
      </c>
      <c r="BA47" s="75" t="n">
        <f aca="false">AS47+(AR47-AS47)/(1+(AT47*0.033*10000)^AU47)^(1-1/AU47)</f>
        <v>0.364713914868792</v>
      </c>
      <c r="BB47" s="75" t="n">
        <f aca="false">AS47+(AR47-AS47)/(1+(AT47*1.585*10000)^AU47)^(1-1/AU47)</f>
        <v>0.2805484460148</v>
      </c>
      <c r="BC47" s="75" t="n">
        <f aca="false">AS47+(AR47-AS47)/(1+(AT47*3.5*10000)^AU47)^(1-1/AU47)</f>
        <v>0.276024161083575</v>
      </c>
      <c r="BD47" s="75" t="n">
        <f aca="false">(AR47-AS47)*Soil_Depth*1000*(1-(AX47+AY47+AZ47)/3)</f>
        <v>93.9136</v>
      </c>
      <c r="BE47" s="75" t="n">
        <f aca="false">(BA47-AS47)*Soil_Depth*1000*(1-(AX47+AY47+AZ47)/3)</f>
        <v>28.7669765373725</v>
      </c>
      <c r="BF47" s="75" t="n">
        <f aca="false">(BA47-AS47)/(AR47-AS47)</f>
        <v>0.306313212754835</v>
      </c>
      <c r="BG47" s="75" t="n">
        <f aca="false">(BA47-BB47)*Soil_Depth*1000*(1-(AX47+AY47+AZ47)/3)</f>
        <v>24.7783140306155</v>
      </c>
      <c r="BH47" s="75" t="n">
        <f aca="false">(BA47-BC47)*Soil_Depth*1000*(1-(AX47+AY47+AZ47)/3)</f>
        <v>26.110263514368</v>
      </c>
      <c r="BJ47" s="0" t="n">
        <f aca="false">AR47-BA47</f>
        <v>0.221286085131207</v>
      </c>
      <c r="BK47" s="0" t="n">
        <f aca="false">AR47-BB47</f>
        <v>0.3054515539852</v>
      </c>
      <c r="BL47" s="0" t="n">
        <f aca="false">AR47-AS47</f>
        <v>0.319</v>
      </c>
      <c r="BM47" s="0" t="n">
        <f aca="false">BA47-BB47</f>
        <v>0.0841654688539927</v>
      </c>
      <c r="BN47" s="0" t="n">
        <f aca="false">BA47-AS47</f>
        <v>0.0977139148687925</v>
      </c>
      <c r="BO47" s="0" t="n">
        <f aca="false">BB47-AS47</f>
        <v>0.0135484460147998</v>
      </c>
      <c r="BP47" s="0" t="n">
        <f aca="false">-0.046*LN(BM47)-0.0679</f>
        <v>0.0459486453217953</v>
      </c>
      <c r="BR47" s="0" t="n">
        <f aca="false">LOG(BO47)*-0.3206+0.9205</f>
        <v>1.51941623105101</v>
      </c>
      <c r="BS47" s="0" t="n">
        <f aca="false">$BS$1/(BM47-$BU$1)+$BT$1</f>
        <v>1.49965225022062</v>
      </c>
    </row>
    <row r="48" customFormat="false" ht="15.75" hidden="false" customHeight="false" outlineLevel="0" collapsed="false">
      <c r="A48" s="0" t="n">
        <f aca="false">C48*-1000</f>
        <v>0.353269262179136</v>
      </c>
      <c r="B48" s="0" t="n">
        <f aca="false">B47-0.01</f>
        <v>0.63</v>
      </c>
      <c r="C48" s="0" t="n">
        <f aca="false">-((B48^(-1/$I$7)-1)^(1/$F$7))/$E$7/10000</f>
        <v>-0.000353269262179136</v>
      </c>
      <c r="D48" s="0" t="n">
        <f aca="false">$G$7*B48^$H$7*(1-(1-B48^(1/$I$7))^$I$7)^2</f>
        <v>371.833803494229</v>
      </c>
      <c r="E48" s="0" t="n">
        <f aca="false">$D$7+B48*($C$7-$D$7)</f>
        <v>0.37447</v>
      </c>
      <c r="F48" s="0" t="n">
        <f aca="false">LOG(-C48*10000)</f>
        <v>0.548105851285037</v>
      </c>
      <c r="G48" s="0" t="n">
        <f aca="false">(E48-$D$7)*1000*$J$7</f>
        <v>70.9128</v>
      </c>
      <c r="S48" s="0" t="n">
        <v>-0.2811</v>
      </c>
      <c r="T48" s="0" t="n">
        <f aca="false">S48+'sureau_ini.txt'!$B$10*0.01</f>
        <v>-0.2711</v>
      </c>
      <c r="U48" s="0" t="n">
        <v>0.3578</v>
      </c>
      <c r="AQ48" s="72" t="s">
        <v>2230</v>
      </c>
      <c r="AR48" s="94" t="n">
        <v>0.57</v>
      </c>
      <c r="AS48" s="94" t="n">
        <v>0.278</v>
      </c>
      <c r="AT48" s="94" t="n">
        <v>0.0258</v>
      </c>
      <c r="AU48" s="94" t="n">
        <v>1.466</v>
      </c>
      <c r="BA48" s="75" t="n">
        <f aca="false">AS48+(AR48-AS48)/(1+(AT48*0.033*10000)^AU48)^(1-1/AU48)</f>
        <v>0.384191473545371</v>
      </c>
      <c r="BB48" s="75" t="n">
        <f aca="false">AS48+(AR48-AS48)/(1+(AT48*1.585*10000)^AU48)^(1-1/AU48)</f>
        <v>0.295714706057052</v>
      </c>
      <c r="BC48" s="75" t="n">
        <f aca="false">AS48+(AR48-AS48)/(1+(AT48*3.5*10000)^AU48)^(1-1/AU48)</f>
        <v>0.290246893688553</v>
      </c>
      <c r="BD48" s="75" t="n">
        <f aca="false">(AR48-AS48)*Soil_Depth*1000*(1-(AX48+AY48+AZ48)/3)</f>
        <v>85.9648</v>
      </c>
      <c r="BE48" s="75" t="n">
        <f aca="false">(BA48-AS48)*Soil_Depth*1000*(1-(AX48+AY48+AZ48)/3)</f>
        <v>31.2627698117573</v>
      </c>
      <c r="BF48" s="75" t="n">
        <f aca="false">(BA48-AS48)/(AR48-AS48)</f>
        <v>0.363669429949902</v>
      </c>
      <c r="BG48" s="75" t="n">
        <f aca="false">(BA48-BB48)*Soil_Depth*1000*(1-(AX48+AY48+AZ48)/3)</f>
        <v>26.0475603485614</v>
      </c>
      <c r="BH48" s="75" t="n">
        <f aca="false">(BA48-BC48)*Soil_Depth*1000*(1-(AX48+AY48+AZ48)/3)</f>
        <v>27.6572843098472</v>
      </c>
      <c r="BJ48" s="0" t="n">
        <f aca="false">AR48-BA48</f>
        <v>0.185808526454629</v>
      </c>
      <c r="BK48" s="0" t="n">
        <f aca="false">AR48-BB48</f>
        <v>0.274285293942948</v>
      </c>
      <c r="BL48" s="0" t="n">
        <f aca="false">AR48-AS48</f>
        <v>0.292</v>
      </c>
      <c r="BM48" s="0" t="n">
        <f aca="false">BA48-BB48</f>
        <v>0.0884767674883199</v>
      </c>
      <c r="BN48" s="0" t="n">
        <f aca="false">BA48-AS48</f>
        <v>0.106191473545371</v>
      </c>
      <c r="BO48" s="0" t="n">
        <f aca="false">BB48-AS48</f>
        <v>0.0177147060570515</v>
      </c>
      <c r="BP48" s="0" t="n">
        <f aca="false">-0.046*LN(BM48)-0.0679</f>
        <v>0.0436507026816215</v>
      </c>
      <c r="BR48" s="0" t="n">
        <f aca="false">LOG(BO48)*-0.3206+0.9205</f>
        <v>1.48208413549816</v>
      </c>
      <c r="BS48" s="0" t="n">
        <f aca="false">$BS$1/(BM48-$BU$1)+$BT$1</f>
        <v>1.49099937080516</v>
      </c>
      <c r="DL48" s="0" t="s">
        <v>2215</v>
      </c>
      <c r="DN48" s="0" t="s">
        <v>2164</v>
      </c>
    </row>
    <row r="49" customFormat="false" ht="15.75" hidden="false" customHeight="false" outlineLevel="0" collapsed="false">
      <c r="A49" s="0" t="n">
        <f aca="false">C49*-1000</f>
        <v>0.361590272474733</v>
      </c>
      <c r="B49" s="0" t="n">
        <f aca="false">B48-0.01</f>
        <v>0.62</v>
      </c>
      <c r="C49" s="0" t="n">
        <f aca="false">-((B49^(-1/$I$7)-1)^(1/$F$7))/$E$7/10000</f>
        <v>-0.000361590272474733</v>
      </c>
      <c r="D49" s="0" t="n">
        <f aca="false">$G$7*B49^$H$7*(1-(1-B49^(1/$I$7))^$I$7)^2</f>
        <v>344.825562179266</v>
      </c>
      <c r="E49" s="0" t="n">
        <f aca="false">$D$7+B49*($C$7-$D$7)</f>
        <v>0.36978</v>
      </c>
      <c r="F49" s="0" t="n">
        <f aca="false">LOG(-C49*10000)</f>
        <v>0.558216738541792</v>
      </c>
      <c r="G49" s="0" t="n">
        <f aca="false">(E49-$D$7)*1000*$J$7</f>
        <v>69.7872</v>
      </c>
      <c r="S49" s="0" t="n">
        <v>-0.3892</v>
      </c>
      <c r="T49" s="0" t="n">
        <f aca="false">S49+'sureau_ini.txt'!$B$10*0.01</f>
        <v>-0.3792</v>
      </c>
      <c r="U49" s="0" t="n">
        <v>0.3935</v>
      </c>
      <c r="AQ49" s="72" t="s">
        <v>2231</v>
      </c>
      <c r="AR49" s="94" t="n">
        <v>0.46</v>
      </c>
      <c r="AS49" s="94" t="n">
        <v>0.199</v>
      </c>
      <c r="AT49" s="94" t="n">
        <v>0.0509</v>
      </c>
      <c r="AU49" s="94" t="n">
        <v>1.396</v>
      </c>
      <c r="BA49" s="75" t="n">
        <f aca="false">AS49+(AR49-AS49)/(1+(AT49*0.033*10000)^AU49)^(1-1/AU49)</f>
        <v>0.283932135496588</v>
      </c>
      <c r="BB49" s="75" t="n">
        <f aca="false">AS49+(AR49-AS49)/(1+(AT49*1.585*10000)^AU49)^(1-1/AU49)</f>
        <v>0.217431381676298</v>
      </c>
      <c r="BC49" s="75" t="n">
        <f aca="false">AS49+(AR49-AS49)/(1+(AT49*3.5*10000)^AU49)^(1-1/AU49)</f>
        <v>0.212468702227366</v>
      </c>
      <c r="BD49" s="75" t="n">
        <f aca="false">(AR49-AS49)*Soil_Depth*1000*(1-(AX49+AY49+AZ49)/3)</f>
        <v>76.8384</v>
      </c>
      <c r="BE49" s="75" t="n">
        <f aca="false">(BA49-AS49)*Soil_Depth*1000*(1-(AX49+AY49+AZ49)/3)</f>
        <v>25.0040206901954</v>
      </c>
      <c r="BF49" s="75" t="n">
        <f aca="false">(BA49-AS49)/(AR49-AS49)</f>
        <v>0.325410480829838</v>
      </c>
      <c r="BG49" s="75" t="n">
        <f aca="false">(BA49-BB49)*Soil_Depth*1000*(1-(AX49+AY49+AZ49)/3)</f>
        <v>19.5778219246934</v>
      </c>
      <c r="BH49" s="75" t="n">
        <f aca="false">(BA49-BC49)*Soil_Depth*1000*(1-(AX49+AY49+AZ49)/3)</f>
        <v>21.0388347544589</v>
      </c>
      <c r="BJ49" s="0" t="n">
        <f aca="false">AR49-BA49</f>
        <v>0.176067864503412</v>
      </c>
      <c r="BK49" s="0" t="n">
        <f aca="false">AR49-BB49</f>
        <v>0.242568618323702</v>
      </c>
      <c r="BL49" s="0" t="n">
        <f aca="false">AR49-AS49</f>
        <v>0.261</v>
      </c>
      <c r="BM49" s="0" t="n">
        <f aca="false">BA49-BB49</f>
        <v>0.06650075382029</v>
      </c>
      <c r="BN49" s="0" t="n">
        <f aca="false">BA49-AS49</f>
        <v>0.0849321354965878</v>
      </c>
      <c r="BO49" s="0" t="n">
        <f aca="false">BB49-AS49</f>
        <v>0.0184313816762978</v>
      </c>
      <c r="BP49" s="0" t="n">
        <f aca="false">-0.046*LN(BM49)-0.0679</f>
        <v>0.0567849318040914</v>
      </c>
      <c r="BR49" s="0" t="n">
        <f aca="false">LOG(BO49)*-0.3206+0.9205</f>
        <v>1.4765621396434</v>
      </c>
      <c r="BS49" s="0" t="n">
        <f aca="false">$BS$1/(BM49-$BU$1)+$BT$1</f>
        <v>1.54515890573216</v>
      </c>
      <c r="DL49" s="0" t="n">
        <v>4912</v>
      </c>
      <c r="DN49" s="0" t="n">
        <v>9</v>
      </c>
    </row>
    <row r="50" customFormat="false" ht="15.75" hidden="false" customHeight="false" outlineLevel="0" collapsed="false">
      <c r="A50" s="0" t="n">
        <f aca="false">C50*-1000</f>
        <v>0.370065122706469</v>
      </c>
      <c r="B50" s="0" t="n">
        <f aca="false">B49-0.01</f>
        <v>0.61</v>
      </c>
      <c r="C50" s="0" t="n">
        <f aca="false">-((B50^(-1/$I$7)-1)^(1/$F$7))/$E$7/10000</f>
        <v>-0.000370065122706469</v>
      </c>
      <c r="D50" s="0" t="n">
        <f aca="false">$G$7*B50^$H$7*(1-(1-B50^(1/$I$7))^$I$7)^2</f>
        <v>319.506548427102</v>
      </c>
      <c r="E50" s="0" t="n">
        <f aca="false">$D$7+B50*($C$7-$D$7)</f>
        <v>0.36509</v>
      </c>
      <c r="F50" s="0" t="n">
        <f aca="false">LOG(-C50*10000)</f>
        <v>0.568278156346456</v>
      </c>
      <c r="G50" s="0" t="n">
        <f aca="false">(E50-$D$7)*1000*$J$7</f>
        <v>68.6616</v>
      </c>
      <c r="S50" s="0" t="n">
        <v>-0.4901</v>
      </c>
      <c r="T50" s="0" t="n">
        <f aca="false">S50+'sureau_ini.txt'!$B$10*0.01</f>
        <v>-0.4801</v>
      </c>
      <c r="U50" s="0" t="n">
        <v>0.415</v>
      </c>
      <c r="AQ50" s="72" t="s">
        <v>2232</v>
      </c>
      <c r="AR50" s="94" t="n">
        <v>0.546</v>
      </c>
      <c r="AS50" s="94" t="n">
        <v>0.267</v>
      </c>
      <c r="AT50" s="94" t="n">
        <v>0.0463</v>
      </c>
      <c r="AU50" s="94" t="n">
        <v>1.514</v>
      </c>
      <c r="BA50" s="75" t="n">
        <f aca="false">AS50+(AR50-AS50)/(1+(AT50*0.033*10000)^AU50)^(1-1/AU50)</f>
        <v>0.335331672650391</v>
      </c>
      <c r="BB50" s="75" t="n">
        <f aca="false">AS50+(AR50-AS50)/(1+(AT50*1.585*10000)^AU50)^(1-1/AU50)</f>
        <v>0.27639017678967</v>
      </c>
      <c r="BC50" s="75" t="n">
        <f aca="false">AS50+(AR50-AS50)/(1+(AT50*3.5*10000)^AU50)^(1-1/AU50)</f>
        <v>0.273249460984093</v>
      </c>
      <c r="BD50" s="75" t="n">
        <f aca="false">(AR50-AS50)*Soil_Depth*1000*(1-(AX50+AY50+AZ50)/3)</f>
        <v>82.1376</v>
      </c>
      <c r="BE50" s="75" t="n">
        <f aca="false">(BA50-AS50)*Soil_Depth*1000*(1-(AX50+AY50+AZ50)/3)</f>
        <v>20.1168444282751</v>
      </c>
      <c r="BF50" s="75" t="n">
        <f aca="false">(BA50-AS50)/(AR50-AS50)</f>
        <v>0.244916389427925</v>
      </c>
      <c r="BG50" s="75" t="n">
        <f aca="false">(BA50-BB50)*Soil_Depth*1000*(1-(AX50+AY50+AZ50)/3)</f>
        <v>17.3523763813964</v>
      </c>
      <c r="BH50" s="75" t="n">
        <f aca="false">(BA50-BC50)*Soil_Depth*1000*(1-(AX50+AY50+AZ50)/3)</f>
        <v>18.2770031145583</v>
      </c>
      <c r="BJ50" s="0" t="n">
        <f aca="false">AR50-BA50</f>
        <v>0.210668327349609</v>
      </c>
      <c r="BK50" s="0" t="n">
        <f aca="false">AR50-BB50</f>
        <v>0.26960982321033</v>
      </c>
      <c r="BL50" s="0" t="n">
        <f aca="false">AR50-AS50</f>
        <v>0.279</v>
      </c>
      <c r="BM50" s="0" t="n">
        <f aca="false">BA50-BB50</f>
        <v>0.0589414958607216</v>
      </c>
      <c r="BN50" s="0" t="n">
        <f aca="false">BA50-AS50</f>
        <v>0.0683316726503911</v>
      </c>
      <c r="BO50" s="0" t="n">
        <f aca="false">BB50-AS50</f>
        <v>0.00939017678966958</v>
      </c>
      <c r="BP50" s="0" t="n">
        <f aca="false">-0.046*LN(BM50)-0.0679</f>
        <v>0.0623356564402232</v>
      </c>
      <c r="BR50" s="0" t="n">
        <f aca="false">LOG(BO50)*-0.3206+0.9205</f>
        <v>1.570460789709</v>
      </c>
      <c r="BS50" s="0" t="n">
        <f aca="false">$BS$1/(BM50-$BU$1)+$BT$1</f>
        <v>1.57165561396965</v>
      </c>
    </row>
    <row r="51" customFormat="false" ht="15.75" hidden="false" customHeight="false" outlineLevel="0" collapsed="false">
      <c r="A51" s="0" t="n">
        <f aca="false">C51*-1000</f>
        <v>0.378704197894012</v>
      </c>
      <c r="B51" s="0" t="n">
        <f aca="false">B50-0.01</f>
        <v>0.6</v>
      </c>
      <c r="C51" s="0" t="n">
        <f aca="false">-((B51^(-1/$I$7)-1)^(1/$F$7))/$E$7/10000</f>
        <v>-0.000378704197894012</v>
      </c>
      <c r="D51" s="0" t="n">
        <f aca="false">$G$7*B51^$H$7*(1-(1-B51^(1/$I$7))^$I$7)^2</f>
        <v>295.781088551699</v>
      </c>
      <c r="E51" s="0" t="n">
        <f aca="false">$D$7+B51*($C$7-$D$7)</f>
        <v>0.3604</v>
      </c>
      <c r="F51" s="0" t="n">
        <f aca="false">LOG(-C51*10000)</f>
        <v>0.57830011925365</v>
      </c>
      <c r="G51" s="0" t="n">
        <f aca="false">(E51-$D$7)*1000*$J$7</f>
        <v>67.536</v>
      </c>
      <c r="S51" s="0" t="n">
        <v>-0.627</v>
      </c>
      <c r="T51" s="0" t="n">
        <f aca="false">S51+'sureau_ini.txt'!$B$10*0.01</f>
        <v>-0.617</v>
      </c>
      <c r="U51" s="0" t="n">
        <v>0.4521</v>
      </c>
      <c r="DL51" s="0" t="s">
        <v>2218</v>
      </c>
      <c r="DN51" s="0" t="s">
        <v>2164</v>
      </c>
    </row>
    <row r="52" customFormat="false" ht="15.75" hidden="false" customHeight="false" outlineLevel="0" collapsed="false">
      <c r="A52" s="0" t="n">
        <f aca="false">C52*-1000</f>
        <v>0.387518358389717</v>
      </c>
      <c r="B52" s="0" t="n">
        <f aca="false">B51-0.01</f>
        <v>0.59</v>
      </c>
      <c r="C52" s="0" t="n">
        <f aca="false">-((B52^(-1/$I$7)-1)^(1/$F$7))/$E$7/10000</f>
        <v>-0.000387518358389717</v>
      </c>
      <c r="D52" s="0" t="n">
        <f aca="false">$G$7*B52^$H$7*(1-(1-B52^(1/$I$7))^$I$7)^2</f>
        <v>273.559267988485</v>
      </c>
      <c r="E52" s="0" t="n">
        <f aca="false">$D$7+B52*($C$7-$D$7)</f>
        <v>0.35571</v>
      </c>
      <c r="F52" s="0" t="n">
        <f aca="false">LOG(-C52*10000)</f>
        <v>0.588292281702952</v>
      </c>
      <c r="G52" s="0" t="n">
        <f aca="false">(E52-$D$7)*1000*$J$7</f>
        <v>66.4104</v>
      </c>
      <c r="S52" s="0" t="n">
        <v>-0.5657</v>
      </c>
      <c r="T52" s="0" t="n">
        <f aca="false">S52+'sureau_ini.txt'!$B$10*0.01</f>
        <v>-0.5557</v>
      </c>
      <c r="U52" s="0" t="n">
        <v>0.4954</v>
      </c>
      <c r="AP52" s="0" t="s">
        <v>2233</v>
      </c>
      <c r="AQ52" s="0" t="s">
        <v>65</v>
      </c>
      <c r="AR52" s="178" t="n">
        <v>0.446</v>
      </c>
      <c r="AS52" s="178"/>
      <c r="AT52" s="178" t="n">
        <v>0.00152</v>
      </c>
      <c r="AU52" s="178" t="n">
        <v>1.17</v>
      </c>
      <c r="BA52" s="75" t="n">
        <f aca="false">AS52+(AR52-AS52)/(1+(AT52*0.033*10000)^AU52)^(1-1/AU52)</f>
        <v>0.422725846600906</v>
      </c>
      <c r="BB52" s="75" t="n">
        <f aca="false">AS52+(AR52-AS52)/(1+(AT52*1.585*10000)^AU52)^(1-1/AU52)</f>
        <v>0.258767455987176</v>
      </c>
      <c r="BC52" s="75" t="n">
        <f aca="false">AS52+(AR52-AS52)/(1+(AT52*3.5*10000)^AU52)^(1-1/AU52)</f>
        <v>0.226636145427293</v>
      </c>
      <c r="BD52" s="75" t="n">
        <f aca="false">(AR52-AS52)*Soil_Depth*1000*(1-(AX52+AY52+AZ52)/3)</f>
        <v>131.3024</v>
      </c>
      <c r="BE52" s="75" t="n">
        <f aca="false">(BA52-AS52)*Soil_Depth*1000*(1-(AX52+AY52+AZ52)/3)</f>
        <v>124.450489239307</v>
      </c>
      <c r="BF52" s="75" t="n">
        <f aca="false">(BA52-AS52)/(AR52-AS52)</f>
        <v>0.947815799553601</v>
      </c>
      <c r="BG52" s="75" t="n">
        <f aca="false">(BA52-BB52)*Soil_Depth*1000*(1-(AX52+AY52+AZ52)/3)</f>
        <v>48.2693501966822</v>
      </c>
      <c r="BH52" s="75" t="n">
        <f aca="false">(BA52-BC52)*Soil_Depth*1000*(1-(AX52+AY52+AZ52)/3)</f>
        <v>57.7288080255115</v>
      </c>
      <c r="BJ52" s="0" t="n">
        <f aca="false">AR52-BA52</f>
        <v>0.0232741533990941</v>
      </c>
      <c r="BK52" s="0" t="n">
        <f aca="false">AR52-BB52</f>
        <v>0.187232544012824</v>
      </c>
      <c r="BL52" s="0" t="n">
        <f aca="false">AR52-AS52</f>
        <v>0.446</v>
      </c>
      <c r="BM52" s="0" t="n">
        <f aca="false">BA52-BB52</f>
        <v>0.16395839061373</v>
      </c>
      <c r="BN52" s="0" t="n">
        <f aca="false">BA52-AS52</f>
        <v>0.422725846600906</v>
      </c>
      <c r="BO52" s="0" t="n">
        <f aca="false">BB52-AS52</f>
        <v>0.258767455987176</v>
      </c>
      <c r="BP52" s="0" t="n">
        <f aca="false">-0.046*LN(BM52)-0.0679</f>
        <v>0.0152745595594817</v>
      </c>
      <c r="BR52" s="0" t="n">
        <f aca="false">LOG(BO52)*-0.3206+0.9205</f>
        <v>1.10872116422939</v>
      </c>
      <c r="BS52" s="0" t="n">
        <f aca="false">$BS$1/(BM52-$BU$1)+$BT$1</f>
        <v>1.40859724951373</v>
      </c>
      <c r="DL52" s="0" t="n">
        <v>347</v>
      </c>
      <c r="DN52" s="0" t="n">
        <v>42.81673</v>
      </c>
    </row>
    <row r="53" customFormat="false" ht="15.75" hidden="false" customHeight="false" outlineLevel="0" collapsed="false">
      <c r="A53" s="0" t="n">
        <f aca="false">C53*-1000</f>
        <v>0.396518996653177</v>
      </c>
      <c r="B53" s="0" t="n">
        <f aca="false">B52-0.01</f>
        <v>0.58</v>
      </c>
      <c r="C53" s="0" t="n">
        <f aca="false">-((B53^(-1/$I$7)-1)^(1/$F$7))/$E$7/10000</f>
        <v>-0.000396518996653177</v>
      </c>
      <c r="D53" s="0" t="n">
        <f aca="false">$G$7*B53^$H$7*(1-(1-B53^(1/$I$7))^$I$7)^2</f>
        <v>252.756481591593</v>
      </c>
      <c r="E53" s="0" t="n">
        <f aca="false">$D$7+B53*($C$7-$D$7)</f>
        <v>0.35102</v>
      </c>
      <c r="F53" s="0" t="n">
        <f aca="false">LOG(-C53*10000)</f>
        <v>0.598263998574228</v>
      </c>
      <c r="G53" s="0" t="n">
        <f aca="false">(E53-$D$7)*1000*$J$7</f>
        <v>65.2848</v>
      </c>
      <c r="S53" s="0" t="n">
        <v>-0.4828</v>
      </c>
      <c r="T53" s="0" t="n">
        <f aca="false">S53+'sureau_ini.txt'!$B$10*0.01</f>
        <v>-0.4728</v>
      </c>
      <c r="U53" s="0" t="n">
        <v>0.4782</v>
      </c>
      <c r="AQ53" s="0" t="s">
        <v>82</v>
      </c>
      <c r="AR53" s="178" t="n">
        <v>0.52</v>
      </c>
      <c r="AS53" s="178" t="n">
        <v>0.218</v>
      </c>
      <c r="AT53" s="178" t="n">
        <v>0.0115</v>
      </c>
      <c r="AU53" s="178" t="n">
        <v>2.03</v>
      </c>
      <c r="BA53" s="75" t="n">
        <f aca="false">AS53+(AR53-AS53)/(1+(AT53*0.033*10000)^AU53)^(1-1/AU53)</f>
        <v>0.291992567393712</v>
      </c>
      <c r="BB53" s="75" t="n">
        <f aca="false">AS53+(AR53-AS53)/(1+(AT53*1.585*10000)^AU53)^(1-1/AU53)</f>
        <v>0.219417269200875</v>
      </c>
      <c r="BC53" s="75" t="n">
        <f aca="false">AS53+(AR53-AS53)/(1+(AT53*3.5*10000)^AU53)^(1-1/AU53)</f>
        <v>0.218626753756367</v>
      </c>
      <c r="BD53" s="75" t="n">
        <f aca="false">(AR53-AS53)*Soil_Depth*1000*(1-(AX53+AY53+AZ53)/3)</f>
        <v>88.9088</v>
      </c>
      <c r="BE53" s="75" t="n">
        <f aca="false">(BA53-AS53)*Soil_Depth*1000*(1-(AX53+AY53+AZ53)/3)</f>
        <v>21.7834118407088</v>
      </c>
      <c r="BF53" s="75" t="n">
        <f aca="false">(BA53-AS53)/(AR53-AS53)</f>
        <v>0.245008501303681</v>
      </c>
      <c r="BG53" s="75" t="n">
        <f aca="false">(BA53-BB53)*Soil_Depth*1000*(1-(AX53+AY53+AZ53)/3)</f>
        <v>21.366167787971</v>
      </c>
      <c r="BH53" s="75" t="n">
        <f aca="false">(BA53-BC53)*Soil_Depth*1000*(1-(AX53+AY53+AZ53)/3)</f>
        <v>21.5988955348342</v>
      </c>
      <c r="BJ53" s="0" t="n">
        <f aca="false">AR53-BA53</f>
        <v>0.228007432606288</v>
      </c>
      <c r="BK53" s="0" t="n">
        <f aca="false">AR53-BB53</f>
        <v>0.300582730799125</v>
      </c>
      <c r="BL53" s="0" t="n">
        <f aca="false">AR53-AS53</f>
        <v>0.302</v>
      </c>
      <c r="BM53" s="0" t="n">
        <f aca="false">BA53-BB53</f>
        <v>0.0725752981928364</v>
      </c>
      <c r="BN53" s="0" t="n">
        <f aca="false">BA53-AS53</f>
        <v>0.0739925673937118</v>
      </c>
      <c r="BO53" s="0" t="n">
        <f aca="false">BB53-AS53</f>
        <v>0.0014172692008754</v>
      </c>
      <c r="BP53" s="0" t="n">
        <f aca="false">-0.046*LN(BM53)-0.0679</f>
        <v>0.0527640103749812</v>
      </c>
      <c r="BR53" s="0" t="n">
        <f aca="false">LOG(BO53)*-0.3206+0.9205</f>
        <v>1.83374437677071</v>
      </c>
      <c r="BS53" s="0" t="n">
        <f aca="false">$BS$1/(BM53-$BU$1)+$BT$1</f>
        <v>1.52733990079414</v>
      </c>
    </row>
    <row r="54" customFormat="false" ht="15.75" hidden="false" customHeight="false" outlineLevel="0" collapsed="false">
      <c r="A54" s="0" t="n">
        <f aca="false">C54*-1000</f>
        <v>0.40571809797351</v>
      </c>
      <c r="B54" s="0" t="n">
        <f aca="false">B53-0.01</f>
        <v>0.57</v>
      </c>
      <c r="C54" s="0" t="n">
        <f aca="false">-((B54^(-1/$I$7)-1)^(1/$F$7))/$E$7/10000</f>
        <v>-0.00040571809797351</v>
      </c>
      <c r="D54" s="0" t="n">
        <f aca="false">$G$7*B54^$H$7*(1-(1-B54^(1/$I$7))^$I$7)^2</f>
        <v>233.293029901867</v>
      </c>
      <c r="E54" s="0" t="n">
        <f aca="false">$D$7+B54*($C$7-$D$7)</f>
        <v>0.34633</v>
      </c>
      <c r="F54" s="0" t="n">
        <f aca="false">LOG(-C54*10000)</f>
        <v>0.608224380824177</v>
      </c>
      <c r="G54" s="0" t="n">
        <f aca="false">(E54-$D$7)*1000*$J$7</f>
        <v>64.1592</v>
      </c>
      <c r="S54" s="0" t="n">
        <v>-0.3856</v>
      </c>
      <c r="T54" s="0" t="n">
        <f aca="false">S54+'sureau_ini.txt'!$B$10*0.01</f>
        <v>-0.3756</v>
      </c>
      <c r="U54" s="0" t="n">
        <v>0.4777</v>
      </c>
      <c r="AQ54" s="0" t="s">
        <v>2234</v>
      </c>
      <c r="AR54" s="178" t="n">
        <v>0.25</v>
      </c>
      <c r="AS54" s="178" t="n">
        <v>0.153</v>
      </c>
      <c r="AT54" s="178" t="n">
        <v>0.0079</v>
      </c>
      <c r="AU54" s="178" t="n">
        <v>10.4</v>
      </c>
      <c r="BA54" s="75" t="n">
        <f aca="false">AS54+(AR54-AS54)/(1+(AT54*0.033*10000)^AU54)^(1-1/AU54)</f>
        <v>0.153011885777363</v>
      </c>
      <c r="BB54" s="75" t="n">
        <f aca="false">AS54+(AR54-AS54)/(1+(AT54*1.585*10000)^AU54)^(1-1/AU54)</f>
        <v>0.153</v>
      </c>
      <c r="BC54" s="75" t="n">
        <f aca="false">AS54+(AR54-AS54)/(1+(AT54*3.5*10000)^AU54)^(1-1/AU54)</f>
        <v>0.153</v>
      </c>
      <c r="BD54" s="75" t="n">
        <f aca="false">(AR54-AS54)*Soil_Depth*1000*(1-(AX54+AY54+AZ54)/3)</f>
        <v>28.5568</v>
      </c>
      <c r="BE54" s="75" t="n">
        <f aca="false">(BA54-AS54)*Soil_Depth*1000*(1-(AX54+AY54+AZ54)/3)</f>
        <v>0.00349917285555179</v>
      </c>
      <c r="BF54" s="75" t="n">
        <f aca="false">(BA54-AS54)/(AR54-AS54)</f>
        <v>0.000122533787243381</v>
      </c>
      <c r="BG54" s="75" t="n">
        <f aca="false">(BA54-BB54)*Soil_Depth*1000*(1-(AX54+AY54+AZ54)/3)</f>
        <v>0.00349917285555179</v>
      </c>
      <c r="BH54" s="75" t="n">
        <f aca="false">(BA54-BC54)*Soil_Depth*1000*(1-(AX54+AY54+AZ54)/3)</f>
        <v>0.00349917285555179</v>
      </c>
      <c r="BJ54" s="0" t="n">
        <f aca="false">AR54-BA54</f>
        <v>0.0969881142226374</v>
      </c>
      <c r="BK54" s="0" t="n">
        <f aca="false">AR54-BB54</f>
        <v>0.097</v>
      </c>
      <c r="BL54" s="0" t="n">
        <f aca="false">AR54-AS54</f>
        <v>0.097</v>
      </c>
      <c r="BM54" s="0" t="n">
        <f aca="false">BA54-BB54</f>
        <v>1.1885777362608E-005</v>
      </c>
      <c r="BN54" s="0" t="n">
        <f aca="false">BA54-AS54</f>
        <v>1.1885777362608E-005</v>
      </c>
      <c r="BO54" s="0" t="n">
        <f aca="false">BB54-AS54</f>
        <v>0</v>
      </c>
      <c r="BP54" s="0" t="n">
        <f aca="false">-0.046*LN(BM54)-0.0679</f>
        <v>0.453747730403791</v>
      </c>
      <c r="DL54" s="0" t="s">
        <v>2221</v>
      </c>
    </row>
    <row r="55" customFormat="false" ht="15.75" hidden="false" customHeight="false" outlineLevel="0" collapsed="false">
      <c r="A55" s="0" t="n">
        <f aca="false">C55*-1000</f>
        <v>0.415128305862962</v>
      </c>
      <c r="B55" s="0" t="n">
        <f aca="false">B54-0.01</f>
        <v>0.56</v>
      </c>
      <c r="C55" s="0" t="n">
        <f aca="false">-((B55^(-1/$I$7)-1)^(1/$F$7))/$E$7/10000</f>
        <v>-0.000415128305862962</v>
      </c>
      <c r="D55" s="0" t="n">
        <f aca="false">$G$7*B55^$H$7*(1-(1-B55^(1/$I$7))^$I$7)^2</f>
        <v>215.093755708123</v>
      </c>
      <c r="E55" s="0" t="n">
        <f aca="false">$D$7+B55*($C$7-$D$7)</f>
        <v>0.34164</v>
      </c>
      <c r="F55" s="0" t="n">
        <f aca="false">LOG(-C55*10000)</f>
        <v>0.618182347112495</v>
      </c>
      <c r="G55" s="0" t="n">
        <f aca="false">(E55-$D$7)*1000*$J$7</f>
        <v>63.0336</v>
      </c>
      <c r="S55" s="0" t="n">
        <v>-0.3135</v>
      </c>
      <c r="T55" s="0" t="n">
        <f aca="false">S55+'sureau_ini.txt'!$B$10*0.01</f>
        <v>-0.3035</v>
      </c>
      <c r="U55" s="0" t="n">
        <v>0.4957</v>
      </c>
      <c r="AQ55" s="0" t="s">
        <v>2197</v>
      </c>
      <c r="AR55" s="178" t="n">
        <v>0.469</v>
      </c>
      <c r="AS55" s="178" t="n">
        <v>0.19</v>
      </c>
      <c r="AT55" s="178" t="n">
        <v>0.005</v>
      </c>
      <c r="AU55" s="178" t="n">
        <v>7.09</v>
      </c>
      <c r="BA55" s="75" t="n">
        <f aca="false">AS55+(AR55-AS55)/(1+(AT55*0.033*10000)^AU55)^(1-1/AU55)</f>
        <v>0.202899347164171</v>
      </c>
      <c r="BB55" s="75" t="n">
        <f aca="false">AS55+(AR55-AS55)/(1+(AT55*1.585*10000)^AU55)^(1-1/AU55)</f>
        <v>0.19000000000076</v>
      </c>
      <c r="BC55" s="75" t="n">
        <f aca="false">AS55+(AR55-AS55)/(1+(AT55*3.5*10000)^AU55)^(1-1/AU55)</f>
        <v>0.190000000000006</v>
      </c>
      <c r="BD55" s="75" t="n">
        <f aca="false">(AR55-AS55)*Soil_Depth*1000*(1-(AX55+AY55+AZ55)/3)</f>
        <v>82.1376</v>
      </c>
      <c r="BE55" s="75" t="n">
        <f aca="false">(BA55-AS55)*Soil_Depth*1000*(1-(AX55+AY55+AZ55)/3)</f>
        <v>3.79756780513192</v>
      </c>
      <c r="BF55" s="75" t="n">
        <f aca="false">(BA55-AS55)/(AR55-AS55)</f>
        <v>0.0462342192264191</v>
      </c>
      <c r="BG55" s="75" t="n">
        <f aca="false">(BA55-BB55)*Soil_Depth*1000*(1-(AX55+AY55+AZ55)/3)</f>
        <v>3.79756780490823</v>
      </c>
      <c r="BH55" s="75" t="n">
        <f aca="false">(BA55-BC55)*Soil_Depth*1000*(1-(AX55+AY55+AZ55)/3)</f>
        <v>3.79756780513012</v>
      </c>
      <c r="BJ55" s="0" t="n">
        <f aca="false">AR55-BA55</f>
        <v>0.266100652835829</v>
      </c>
      <c r="BK55" s="0" t="n">
        <f aca="false">AR55-BB55</f>
        <v>0.27899999999924</v>
      </c>
      <c r="BL55" s="0" t="n">
        <f aca="false">AR55-AS55</f>
        <v>0.279</v>
      </c>
      <c r="BM55" s="0" t="n">
        <f aca="false">BA55-BB55</f>
        <v>0.0128993471634111</v>
      </c>
      <c r="BN55" s="0" t="n">
        <f aca="false">BA55-AS55</f>
        <v>0.0128993471641709</v>
      </c>
      <c r="BO55" s="0" t="n">
        <f aca="false">BB55-AS55</f>
        <v>7.59808882477842E-013</v>
      </c>
      <c r="BP55" s="0" t="n">
        <f aca="false">-0.046*LN(BM55)-0.0679</f>
        <v>0.132226614513601</v>
      </c>
      <c r="BR55" s="0" t="n">
        <f aca="false">LOG(BO55)*-0.3206+0.9205</f>
        <v>4.80594618015486</v>
      </c>
      <c r="BS55" s="0" t="n">
        <f aca="false">$BS$1/(BM55-$BU$1)+$BT$1</f>
        <v>2.09500079521369</v>
      </c>
      <c r="DL55" s="0" t="n">
        <v>11931</v>
      </c>
    </row>
    <row r="56" customFormat="false" ht="15.75" hidden="false" customHeight="false" outlineLevel="0" collapsed="false">
      <c r="A56" s="0" t="n">
        <f aca="false">C56*-1000</f>
        <v>0.424762992912169</v>
      </c>
      <c r="B56" s="0" t="n">
        <f aca="false">B55-0.01</f>
        <v>0.55</v>
      </c>
      <c r="C56" s="0" t="n">
        <f aca="false">-((B56^(-1/$I$7)-1)^(1/$F$7))/$E$7/10000</f>
        <v>-0.000424762992912169</v>
      </c>
      <c r="D56" s="0" t="n">
        <f aca="false">$G$7*B56^$H$7*(1-(1-B56^(1/$I$7))^$I$7)^2</f>
        <v>198.087716040564</v>
      </c>
      <c r="E56" s="0" t="n">
        <f aca="false">$D$7+B56*($C$7-$D$7)</f>
        <v>0.33695</v>
      </c>
      <c r="F56" s="0" t="n">
        <f aca="false">LOG(-C56*10000)</f>
        <v>0.628146672211491</v>
      </c>
      <c r="G56" s="0" t="n">
        <f aca="false">(E56-$D$7)*1000*$J$7</f>
        <v>61.908</v>
      </c>
      <c r="S56" s="0" t="n">
        <v>-0.2306</v>
      </c>
      <c r="T56" s="0" t="n">
        <f aca="false">S56+'sureau_ini.txt'!$B$10*0.01</f>
        <v>-0.2206</v>
      </c>
      <c r="U56" s="0" t="n">
        <v>0.4982</v>
      </c>
    </row>
    <row r="57" customFormat="false" ht="15.75" hidden="false" customHeight="false" outlineLevel="0" collapsed="false">
      <c r="A57" s="0" t="n">
        <f aca="false">C57*-1000</f>
        <v>0.434636337981255</v>
      </c>
      <c r="B57" s="0" t="n">
        <f aca="false">B56-0.01</f>
        <v>0.54</v>
      </c>
      <c r="C57" s="0" t="n">
        <f aca="false">-((B57^(-1/$I$7)-1)^(1/$F$7))/$E$7/10000</f>
        <v>-0.000434636337981255</v>
      </c>
      <c r="D57" s="0" t="n">
        <f aca="false">$G$7*B57^$H$7*(1-(1-B57^(1/$I$7))^$I$7)^2</f>
        <v>182.207885418551</v>
      </c>
      <c r="E57" s="0" t="n">
        <f aca="false">$D$7+B57*($C$7-$D$7)</f>
        <v>0.33226</v>
      </c>
      <c r="F57" s="0" t="n">
        <f aca="false">LOG(-C57*10000)</f>
        <v>0.638126032902635</v>
      </c>
      <c r="G57" s="0" t="n">
        <f aca="false">(E57-$D$7)*1000*$J$7</f>
        <v>60.7824</v>
      </c>
      <c r="S57" s="0" t="n">
        <v>-0.209</v>
      </c>
      <c r="T57" s="0" t="n">
        <f aca="false">S57+'sureau_ini.txt'!$B$10*0.01</f>
        <v>-0.199</v>
      </c>
      <c r="U57" s="0" t="n">
        <v>0.4896</v>
      </c>
      <c r="DL57" s="0" t="s">
        <v>2223</v>
      </c>
    </row>
    <row r="58" customFormat="false" ht="15.75" hidden="false" customHeight="false" outlineLevel="0" collapsed="false">
      <c r="A58" s="0" t="n">
        <f aca="false">C58*-1000</f>
        <v>0.444763410703797</v>
      </c>
      <c r="B58" s="0" t="n">
        <f aca="false">B57-0.01</f>
        <v>0.53</v>
      </c>
      <c r="C58" s="0" t="n">
        <f aca="false">-((B58^(-1/$I$7)-1)^(1/$F$7))/$E$7/10000</f>
        <v>-0.000444763410703797</v>
      </c>
      <c r="D58" s="0" t="n">
        <f aca="false">$G$7*B58^$H$7*(1-(1-B58^(1/$I$7))^$I$7)^2</f>
        <v>167.390886749236</v>
      </c>
      <c r="E58" s="0" t="n">
        <f aca="false">$D$7+B58*($C$7-$D$7)</f>
        <v>0.32757</v>
      </c>
      <c r="F58" s="0" t="n">
        <f aca="false">LOG(-C58*10000)</f>
        <v>0.648129051993399</v>
      </c>
      <c r="G58" s="0" t="n">
        <f aca="false">(E58-$D$7)*1000*$J$7</f>
        <v>59.6567999999999</v>
      </c>
      <c r="S58" s="0" t="n">
        <v>-0.1514</v>
      </c>
      <c r="T58" s="0" t="n">
        <f aca="false">S58+'sureau_ini.txt'!$B$10*0.01</f>
        <v>-0.1414</v>
      </c>
      <c r="U58" s="0" t="n">
        <v>0.5301</v>
      </c>
      <c r="DL58" s="0" t="n">
        <v>1618</v>
      </c>
    </row>
    <row r="59" customFormat="false" ht="15.75" hidden="false" customHeight="false" outlineLevel="0" collapsed="false">
      <c r="A59" s="0" t="n">
        <f aca="false">C59*-1000</f>
        <v>0.456858798657415</v>
      </c>
      <c r="B59" s="0" t="n">
        <v>0.518391616272993</v>
      </c>
      <c r="C59" s="0" t="n">
        <f aca="false">-((B59^(-1/$I$7)-1)^(1/$F$7))/$E$7/10000</f>
        <v>-0.000456858798657415</v>
      </c>
      <c r="D59" s="0" t="n">
        <f aca="false">$G$7*B59^$H$7*(1-(1-B59^(1/$I$7))^$I$7)^2</f>
        <v>151.444661746777</v>
      </c>
      <c r="E59" s="506" t="n">
        <f aca="false">$D$7+B59*($C$7-$D$7)</f>
        <v>0.322125668032034</v>
      </c>
      <c r="F59" s="0" t="n">
        <f aca="false">LOG(-C59*10000)</f>
        <v>0.659781993418889</v>
      </c>
      <c r="G59" s="0" t="n">
        <f aca="false">(E59-$D$7)*1000*$J$7</f>
        <v>58.3501603276881</v>
      </c>
      <c r="S59" s="0" t="n">
        <v>-0.1514</v>
      </c>
      <c r="T59" s="0" t="n">
        <f aca="false">S59+'sureau_ini.txt'!$B$10*0.01</f>
        <v>-0.1414</v>
      </c>
      <c r="U59" s="0" t="n">
        <v>0.5006</v>
      </c>
      <c r="AQ59" s="108"/>
      <c r="AR59" s="108"/>
      <c r="AS59" s="108"/>
      <c r="AU59" s="108"/>
    </row>
    <row r="60" customFormat="false" ht="15.75" hidden="false" customHeight="false" outlineLevel="0" collapsed="false">
      <c r="A60" s="0" t="n">
        <f aca="false">C60*-1000</f>
        <v>0.467590399797797</v>
      </c>
      <c r="B60" s="0" t="n">
        <f aca="false">B59-0.01</f>
        <v>0.508391616272993</v>
      </c>
      <c r="C60" s="0" t="n">
        <f aca="false">-((B60^(-1/$I$7)-1)^(1/$F$7))/$E$7/10000</f>
        <v>-0.000467590399797797</v>
      </c>
      <c r="D60" s="0" t="n">
        <f aca="false">$G$7*B60^$H$7*(1-(1-B60^(1/$I$7))^$I$7)^2</f>
        <v>138.723653200783</v>
      </c>
      <c r="E60" s="0" t="n">
        <f aca="false">$D$7+B60*($C$7-$D$7)</f>
        <v>0.317435668032034</v>
      </c>
      <c r="F60" s="0" t="n">
        <f aca="false">LOG(-C60*10000)</f>
        <v>0.669865585985007</v>
      </c>
      <c r="G60" s="0" t="n">
        <f aca="false">(E60-$D$7)*1000*$J$7</f>
        <v>57.2245603276881</v>
      </c>
      <c r="S60" s="0" t="n">
        <v>-0.1045</v>
      </c>
      <c r="T60" s="0" t="n">
        <f aca="false">S60+'sureau_ini.txt'!$B$10*0.01</f>
        <v>-0.0945</v>
      </c>
      <c r="U60" s="0" t="n">
        <v>0.492</v>
      </c>
      <c r="AQ60" s="108"/>
      <c r="AR60" s="108"/>
      <c r="AU60" s="108"/>
      <c r="DL60" s="0" t="s">
        <v>2226</v>
      </c>
    </row>
    <row r="61" customFormat="false" ht="15.75" hidden="false" customHeight="false" outlineLevel="0" collapsed="false">
      <c r="A61" s="0" t="n">
        <f aca="false">C61*-1000</f>
        <v>0.478630331109001</v>
      </c>
      <c r="B61" s="0" t="n">
        <f aca="false">B60-0.01</f>
        <v>0.498391616272993</v>
      </c>
      <c r="C61" s="0" t="n">
        <f aca="false">-((B61^(-1/$I$7)-1)^(1/$F$7))/$E$7/10000</f>
        <v>-0.000478630331109001</v>
      </c>
      <c r="D61" s="0" t="n">
        <f aca="false">$G$7*B61^$H$7*(1-(1-B61^(1/$I$7))^$I$7)^2</f>
        <v>126.886506561947</v>
      </c>
      <c r="E61" s="0" t="n">
        <f aca="false">$D$7+B61*($C$7-$D$7)</f>
        <v>0.312745668032034</v>
      </c>
      <c r="F61" s="0" t="n">
        <f aca="false">LOG(-C61*10000)</f>
        <v>0.680000216667475</v>
      </c>
      <c r="G61" s="0" t="n">
        <f aca="false">(E61-$D$7)*1000*$J$7</f>
        <v>56.0989603276881</v>
      </c>
      <c r="S61" s="0" t="n">
        <v>-0.1586</v>
      </c>
      <c r="T61" s="0" t="n">
        <f aca="false">S61+'sureau_ini.txt'!$B$10*0.01</f>
        <v>-0.1486</v>
      </c>
      <c r="U61" s="0" t="n">
        <v>0.4684</v>
      </c>
      <c r="DL61" s="0" t="n">
        <v>141680</v>
      </c>
    </row>
    <row r="62" customFormat="false" ht="15.75" hidden="false" customHeight="false" outlineLevel="0" collapsed="false">
      <c r="A62" s="0" t="n">
        <f aca="false">C62*-1000</f>
        <v>0.489998484620968</v>
      </c>
      <c r="B62" s="0" t="n">
        <f aca="false">B61-0.01</f>
        <v>0.488391616272993</v>
      </c>
      <c r="C62" s="0" t="n">
        <f aca="false">-((B62^(-1/$I$7)-1)^(1/$F$7))/$E$7/10000</f>
        <v>-0.000489998484620968</v>
      </c>
      <c r="D62" s="0" t="n">
        <f aca="false">$G$7*B62^$H$7*(1-(1-B62^(1/$I$7))^$I$7)^2</f>
        <v>115.882632105087</v>
      </c>
      <c r="E62" s="0" t="n">
        <f aca="false">$D$7+B62*($C$7-$D$7)</f>
        <v>0.308055668032034</v>
      </c>
      <c r="F62" s="0" t="n">
        <f aca="false">LOG(-C62*10000)</f>
        <v>0.690194736922862</v>
      </c>
      <c r="G62" s="0" t="n">
        <f aca="false">(E62-$D$7)*1000*$J$7</f>
        <v>54.9733603276881</v>
      </c>
      <c r="S62" s="0" t="n">
        <v>-0.173</v>
      </c>
      <c r="T62" s="0" t="n">
        <f aca="false">S62+'sureau_ini.txt'!$B$10*0.01</f>
        <v>-0.163</v>
      </c>
      <c r="U62" s="0" t="n">
        <v>0.4375</v>
      </c>
      <c r="AQ62" s="108"/>
      <c r="AR62" s="108"/>
      <c r="AS62" s="108"/>
      <c r="AU62" s="108"/>
    </row>
    <row r="63" customFormat="false" ht="15.75" hidden="false" customHeight="false" outlineLevel="0" collapsed="false">
      <c r="A63" s="0" t="n">
        <f aca="false">C63*-1000</f>
        <v>0.501716244007572</v>
      </c>
      <c r="B63" s="0" t="n">
        <f aca="false">B62-0.01</f>
        <v>0.478391616272993</v>
      </c>
      <c r="C63" s="0" t="n">
        <f aca="false">-((B63^(-1/$I$7)-1)^(1/$F$7))/$E$7/10000</f>
        <v>-0.000501716244007572</v>
      </c>
      <c r="D63" s="0" t="n">
        <f aca="false">$G$7*B63^$H$7*(1-(1-B63^(1/$I$7))^$I$7)^2</f>
        <v>105.664035702319</v>
      </c>
      <c r="E63" s="0" t="n">
        <f aca="false">$D$7+B63*($C$7-$D$7)</f>
        <v>0.303365668032034</v>
      </c>
      <c r="F63" s="0" t="n">
        <f aca="false">LOG(-C63*10000)</f>
        <v>0.700458162356528</v>
      </c>
      <c r="G63" s="0" t="n">
        <f aca="false">(E63-$D$7)*1000*$J$7</f>
        <v>53.8477603276881</v>
      </c>
      <c r="S63" s="0" t="n">
        <v>-0.2234</v>
      </c>
      <c r="T63" s="0" t="n">
        <f aca="false">S63+'sureau_ini.txt'!$B$10*0.01</f>
        <v>-0.2134</v>
      </c>
      <c r="U63" s="0" t="n">
        <v>0.4377</v>
      </c>
      <c r="AQ63" s="108"/>
      <c r="AR63" s="108"/>
      <c r="AS63" s="108"/>
      <c r="AU63" s="108"/>
      <c r="DL63" s="0" t="s">
        <v>2227</v>
      </c>
    </row>
    <row r="64" customFormat="false" ht="15.75" hidden="false" customHeight="false" outlineLevel="0" collapsed="false">
      <c r="A64" s="0" t="n">
        <f aca="false">C64*-1000</f>
        <v>0.513806645438615</v>
      </c>
      <c r="B64" s="0" t="n">
        <f aca="false">B63-0.01</f>
        <v>0.468391616272993</v>
      </c>
      <c r="C64" s="0" t="n">
        <f aca="false">-((B64^(-1/$I$7)-1)^(1/$F$7))/$E$7/10000</f>
        <v>-0.000513806645438615</v>
      </c>
      <c r="D64" s="0" t="n">
        <f aca="false">$G$7*B64^$H$7*(1-(1-B64^(1/$I$7))^$I$7)^2</f>
        <v>96.1851646749685</v>
      </c>
      <c r="E64" s="0" t="n">
        <f aca="false">$D$7+B64*($C$7-$D$7)</f>
        <v>0.298675668032034</v>
      </c>
      <c r="F64" s="0" t="n">
        <f aca="false">LOG(-C64*10000)</f>
        <v>0.710799717016074</v>
      </c>
      <c r="G64" s="0" t="n">
        <f aca="false">(E64-$D$7)*1000*$J$7</f>
        <v>52.7221603276881</v>
      </c>
      <c r="S64" s="0" t="n">
        <v>-0.4252</v>
      </c>
      <c r="T64" s="0" t="n">
        <f aca="false">S64+'sureau_ini.txt'!$B$10*0.01</f>
        <v>-0.4152</v>
      </c>
      <c r="U64" s="0" t="n">
        <v>0.5396</v>
      </c>
      <c r="AQ64" s="108"/>
      <c r="AR64" s="108"/>
      <c r="AS64" s="108"/>
      <c r="AU64" s="108"/>
      <c r="DL64" s="0" t="n">
        <v>-43000</v>
      </c>
    </row>
    <row r="65" customFormat="false" ht="15.75" hidden="false" customHeight="false" outlineLevel="0" collapsed="false">
      <c r="A65" s="0" t="n">
        <f aca="false">C65*-1000</f>
        <v>0.526294558304147</v>
      </c>
      <c r="B65" s="0" t="n">
        <f aca="false">B64-0.01</f>
        <v>0.458391616272993</v>
      </c>
      <c r="C65" s="0" t="n">
        <f aca="false">-((B65^(-1/$I$7)-1)^(1/$F$7))/$E$7/10000</f>
        <v>-0.000526294558304147</v>
      </c>
      <c r="D65" s="0" t="n">
        <f aca="false">$G$7*B65^$H$7*(1-(1-B65^(1/$I$7))^$I$7)^2</f>
        <v>87.4027660504402</v>
      </c>
      <c r="E65" s="0" t="n">
        <f aca="false">$D$7+B65*($C$7-$D$7)</f>
        <v>0.293985668032034</v>
      </c>
      <c r="F65" s="0" t="n">
        <f aca="false">LOG(-C65*10000)</f>
        <v>0.721228879592236</v>
      </c>
      <c r="G65" s="0" t="n">
        <f aca="false">(E65-$D$7)*1000*$J$7</f>
        <v>51.5965603276881</v>
      </c>
      <c r="S65" s="0" t="n">
        <v>-0.3712</v>
      </c>
      <c r="T65" s="0" t="n">
        <f aca="false">S65+'sureau_ini.txt'!$B$10*0.01</f>
        <v>-0.3612</v>
      </c>
      <c r="U65" s="0" t="n">
        <v>0.524</v>
      </c>
      <c r="AQ65" s="108"/>
      <c r="AR65" s="108"/>
      <c r="AS65" s="108"/>
      <c r="AU65" s="108"/>
    </row>
    <row r="66" customFormat="false" ht="15.75" hidden="false" customHeight="false" outlineLevel="0" collapsed="false">
      <c r="A66" s="0" t="n">
        <f aca="false">C66*-1000</f>
        <v>0.539206888900315</v>
      </c>
      <c r="B66" s="0" t="n">
        <f aca="false">B65-0.01</f>
        <v>0.448391616272993</v>
      </c>
      <c r="C66" s="0" t="n">
        <f aca="false">-((B66^(-1/$I$7)-1)^(1/$F$7))/$E$7/10000</f>
        <v>-0.000539206888900315</v>
      </c>
      <c r="D66" s="0" t="n">
        <f aca="false">$G$7*B66^$H$7*(1-(1-B66^(1/$I$7))^$I$7)^2</f>
        <v>79.2757560137494</v>
      </c>
      <c r="E66" s="0" t="n">
        <f aca="false">$D$7+B66*($C$7-$D$7)</f>
        <v>0.289295668032034</v>
      </c>
      <c r="F66" s="0" t="n">
        <f aca="false">LOG(-C66*10000)</f>
        <v>0.731755432103453</v>
      </c>
      <c r="G66" s="0" t="n">
        <f aca="false">(E66-$D$7)*1000*$J$7</f>
        <v>50.4709603276881</v>
      </c>
      <c r="S66" s="0" t="n">
        <v>-0.3279</v>
      </c>
      <c r="T66" s="0" t="n">
        <f aca="false">S66+'sureau_ini.txt'!$B$10*0.01</f>
        <v>-0.3179</v>
      </c>
      <c r="U66" s="0" t="n">
        <v>0.5393</v>
      </c>
      <c r="AQ66" s="108"/>
      <c r="AR66" s="108"/>
      <c r="AS66" s="108"/>
      <c r="AU66" s="108"/>
      <c r="DL66" s="0" t="s">
        <v>2164</v>
      </c>
    </row>
    <row r="67" customFormat="false" ht="15.75" hidden="false" customHeight="false" outlineLevel="0" collapsed="false">
      <c r="A67" s="0" t="n">
        <f aca="false">C67*-1000</f>
        <v>0.552572810710283</v>
      </c>
      <c r="B67" s="0" t="n">
        <f aca="false">B66-0.01</f>
        <v>0.438391616272993</v>
      </c>
      <c r="C67" s="0" t="n">
        <f aca="false">-((B67^(-1/$I$7)-1)^(1/$F$7))/$E$7/10000</f>
        <v>-0.000552572810710283</v>
      </c>
      <c r="D67" s="0" t="n">
        <f aca="false">$G$7*B67^$H$7*(1-(1-B67^(1/$I$7))^$I$7)^2</f>
        <v>71.7650994817765</v>
      </c>
      <c r="E67" s="0" t="n">
        <f aca="false">$D$7+B67*($C$7-$D$7)</f>
        <v>0.284605668032034</v>
      </c>
      <c r="F67" s="0" t="n">
        <f aca="false">LOG(-C67*10000)</f>
        <v>0.742389511689801</v>
      </c>
      <c r="G67" s="0" t="n">
        <f aca="false">(E67-$D$7)*1000*$J$7</f>
        <v>49.3453603276881</v>
      </c>
      <c r="S67" s="0" t="n">
        <v>-0.3532</v>
      </c>
      <c r="T67" s="0" t="n">
        <f aca="false">S67+'sureau_ini.txt'!$B$10*0.01</f>
        <v>-0.3432</v>
      </c>
      <c r="U67" s="0" t="n">
        <v>0.5689</v>
      </c>
      <c r="AQ67" s="108"/>
      <c r="AR67" s="108"/>
      <c r="AS67" s="108"/>
      <c r="AU67" s="108"/>
      <c r="DL67" s="0" t="n">
        <v>0</v>
      </c>
    </row>
    <row r="68" customFormat="false" ht="15.75" hidden="false" customHeight="false" outlineLevel="0" collapsed="false">
      <c r="A68" s="0" t="n">
        <f aca="false">C68*-1000</f>
        <v>0.566424025571224</v>
      </c>
      <c r="B68" s="0" t="n">
        <f aca="false">B67-0.01</f>
        <v>0.428391616272993</v>
      </c>
      <c r="C68" s="0" t="n">
        <f aca="false">-((B68^(-1/$I$7)-1)^(1/$F$7))/$E$7/10000</f>
        <v>-0.000566424025571223</v>
      </c>
      <c r="D68" s="0" t="n">
        <f aca="false">$G$7*B68^$H$7*(1-(1-B68^(1/$I$7))^$I$7)^2</f>
        <v>64.8336988485775</v>
      </c>
      <c r="E68" s="0" t="n">
        <f aca="false">$D$7+B68*($C$7-$D$7)</f>
        <v>0.279915668032034</v>
      </c>
      <c r="F68" s="0" t="n">
        <f aca="false">LOG(-C68*10000)</f>
        <v>0.753141666206632</v>
      </c>
      <c r="G68" s="0" t="n">
        <f aca="false">(E68-$D$7)*1000*$J$7</f>
        <v>48.2197603276881</v>
      </c>
      <c r="S68" s="0" t="n">
        <v>-0.3639</v>
      </c>
      <c r="T68" s="0" t="n">
        <f aca="false">S68+'sureau_ini.txt'!$B$10*0.01</f>
        <v>-0.3539</v>
      </c>
      <c r="U68" s="0" t="n">
        <v>0.5886</v>
      </c>
      <c r="AQ68" s="108"/>
      <c r="AR68" s="108"/>
      <c r="AS68" s="108"/>
      <c r="AU68" s="108"/>
    </row>
    <row r="69" customFormat="false" ht="15.75" hidden="false" customHeight="false" outlineLevel="0" collapsed="false">
      <c r="A69" s="0" t="n">
        <f aca="false">C69*-1000</f>
        <v>0.580795060815494</v>
      </c>
      <c r="B69" s="0" t="n">
        <f aca="false">B68-0.01</f>
        <v>0.418391616272993</v>
      </c>
      <c r="C69" s="0" t="n">
        <f aca="false">-((B69^(-1/$I$7)-1)^(1/$F$7))/$E$7/10000</f>
        <v>-0.000580795060815495</v>
      </c>
      <c r="D69" s="0" t="n">
        <f aca="false">$G$7*B69^$H$7*(1-(1-B69^(1/$I$7))^$I$7)^2</f>
        <v>58.4462910549714</v>
      </c>
      <c r="E69" s="0" t="n">
        <f aca="false">$D$7+B69*($C$7-$D$7)</f>
        <v>0.275225668032034</v>
      </c>
      <c r="F69" s="0" t="n">
        <f aca="false">LOG(-C69*10000)</f>
        <v>0.764022914390218</v>
      </c>
      <c r="G69" s="0" t="n">
        <f aca="false">(E69-$D$7)*1000*$J$7</f>
        <v>47.0941603276881</v>
      </c>
      <c r="S69" s="0" t="n">
        <v>-0.4577</v>
      </c>
      <c r="T69" s="0" t="n">
        <f aca="false">S69+'sureau_ini.txt'!$B$10*0.01</f>
        <v>-0.4477</v>
      </c>
      <c r="U69" s="0" t="n">
        <v>0.5735</v>
      </c>
      <c r="AQ69" s="108"/>
      <c r="AR69" s="108"/>
      <c r="AS69" s="108"/>
      <c r="AU69" s="108"/>
      <c r="DL69" s="0" t="s">
        <v>2215</v>
      </c>
    </row>
    <row r="70" customFormat="false" ht="15.75" hidden="false" customHeight="false" outlineLevel="0" collapsed="false">
      <c r="A70" s="0" t="n">
        <f aca="false">C70*-1000</f>
        <v>0.595723608444216</v>
      </c>
      <c r="B70" s="0" t="n">
        <f aca="false">B69-0.01</f>
        <v>0.408391616272993</v>
      </c>
      <c r="C70" s="0" t="n">
        <f aca="false">-((B70^(-1/$I$7)-1)^(1/$F$7))/$E$7/10000</f>
        <v>-0.000595723608444216</v>
      </c>
      <c r="D70" s="0" t="n">
        <f aca="false">$G$7*B70^$H$7*(1-(1-B70^(1/$I$7))^$I$7)^2</f>
        <v>52.5693522272884</v>
      </c>
      <c r="E70" s="0" t="n">
        <f aca="false">$D$7+B70*($C$7-$D$7)</f>
        <v>0.270535668032034</v>
      </c>
      <c r="F70" s="0" t="n">
        <f aca="false">LOG(-C70*10000)</f>
        <v>0.775044811470145</v>
      </c>
      <c r="G70" s="0" t="n">
        <f aca="false">(E70-$D$7)*1000*$J$7</f>
        <v>45.9685603276881</v>
      </c>
      <c r="S70" s="0" t="n">
        <v>-0.2775</v>
      </c>
      <c r="T70" s="0" t="n">
        <f aca="false">S70+'sureau_ini.txt'!$B$10*0.01</f>
        <v>-0.2675</v>
      </c>
      <c r="U70" s="0" t="n">
        <v>0.6009</v>
      </c>
      <c r="AQ70" s="108"/>
      <c r="AR70" s="108"/>
      <c r="AS70" s="108"/>
      <c r="AU70" s="108"/>
      <c r="DL70" s="0" t="n">
        <v>4912</v>
      </c>
    </row>
    <row r="71" customFormat="false" ht="15.75" hidden="false" customHeight="false" outlineLevel="0" collapsed="false">
      <c r="A71" s="0" t="n">
        <f aca="false">C71*-1000</f>
        <v>0.611250913577225</v>
      </c>
      <c r="B71" s="0" t="n">
        <f aca="false">B70-0.01</f>
        <v>0.398391616272993</v>
      </c>
      <c r="C71" s="0" t="n">
        <f aca="false">-((B71^(-1/$I$7)-1)^(1/$F$7))/$E$7/10000</f>
        <v>-0.000611250913577225</v>
      </c>
      <c r="D71" s="0" t="n">
        <f aca="false">$G$7*B71^$H$7*(1-(1-B71^(1/$I$7))^$I$7)^2</f>
        <v>47.1710092104787</v>
      </c>
      <c r="E71" s="0" t="n">
        <f aca="false">$D$7+B71*($C$7-$D$7)</f>
        <v>0.265845668032034</v>
      </c>
      <c r="F71" s="0" t="n">
        <f aca="false">LOG(-C71*10000)</f>
        <v>0.786219521229838</v>
      </c>
      <c r="G71" s="0" t="n">
        <f aca="false">(E71-$D$7)*1000*$J$7</f>
        <v>44.8429603276881</v>
      </c>
      <c r="S71" s="0" t="n">
        <v>-0.2595</v>
      </c>
      <c r="T71" s="0" t="n">
        <f aca="false">S71+'sureau_ini.txt'!$B$10*0.01</f>
        <v>-0.2495</v>
      </c>
      <c r="U71" s="0" t="n">
        <v>0.5826</v>
      </c>
      <c r="AQ71" s="108"/>
      <c r="AR71" s="108"/>
      <c r="AS71" s="108"/>
      <c r="AU71" s="108"/>
    </row>
    <row r="72" customFormat="false" ht="15.75" hidden="false" customHeight="false" outlineLevel="0" collapsed="false">
      <c r="A72" s="0" t="n">
        <f aca="false">C72*-1000</f>
        <v>0.627422220879173</v>
      </c>
      <c r="B72" s="0" t="n">
        <f aca="false">B71-0.01</f>
        <v>0.388391616272993</v>
      </c>
      <c r="C72" s="0" t="n">
        <f aca="false">-((B72^(-1/$I$7)-1)^(1/$F$7))/$E$7/10000</f>
        <v>-0.000627422220879173</v>
      </c>
      <c r="D72" s="0" t="n">
        <f aca="false">$G$7*B72^$H$7*(1-(1-B72^(1/$I$7))^$I$7)^2</f>
        <v>42.2209573913082</v>
      </c>
      <c r="E72" s="0" t="n">
        <f aca="false">$D$7+B72*($C$7-$D$7)</f>
        <v>0.261155668032034</v>
      </c>
      <c r="F72" s="0" t="n">
        <f aca="false">LOG(-C72*10000)</f>
        <v>0.797559895672398</v>
      </c>
      <c r="G72" s="0" t="n">
        <f aca="false">(E72-$D$7)*1000*$J$7</f>
        <v>43.7173603276881</v>
      </c>
      <c r="S72" s="0" t="n">
        <v>-0.2126</v>
      </c>
      <c r="T72" s="0" t="n">
        <f aca="false">S72+'sureau_ini.txt'!$B$10*0.01</f>
        <v>-0.2026</v>
      </c>
      <c r="U72" s="0" t="n">
        <v>0.5852</v>
      </c>
      <c r="AQ72" s="108"/>
      <c r="AR72" s="108"/>
      <c r="AS72" s="108"/>
      <c r="AU72" s="108"/>
      <c r="DL72" s="0" t="s">
        <v>2218</v>
      </c>
    </row>
    <row r="73" customFormat="false" ht="15.75" hidden="false" customHeight="false" outlineLevel="0" collapsed="false">
      <c r="A73" s="0" t="n">
        <f aca="false">C73*-1000</f>
        <v>0.644287289457383</v>
      </c>
      <c r="B73" s="0" t="n">
        <f aca="false">B72-0.01</f>
        <v>0.378391616272993</v>
      </c>
      <c r="C73" s="0" t="n">
        <f aca="false">-((B73^(-1/$I$7)-1)^(1/$F$7))/$E$7/10000</f>
        <v>-0.000644287289457383</v>
      </c>
      <c r="D73" s="0" t="n">
        <f aca="false">$G$7*B73^$H$7*(1-(1-B73^(1/$I$7))^$I$7)^2</f>
        <v>37.6903842694488</v>
      </c>
      <c r="E73" s="0" t="n">
        <f aca="false">$D$7+B73*($C$7-$D$7)</f>
        <v>0.256465668032034</v>
      </c>
      <c r="F73" s="0" t="n">
        <f aca="false">LOG(-C73*10000)</f>
        <v>0.809079563640354</v>
      </c>
      <c r="G73" s="0" t="n">
        <f aca="false">(E73-$D$7)*1000*$J$7</f>
        <v>42.591760327688</v>
      </c>
      <c r="S73" s="0" t="n">
        <v>-0.173</v>
      </c>
      <c r="T73" s="0" t="n">
        <f aca="false">S73+'sureau_ini.txt'!$B$10*0.01</f>
        <v>-0.163</v>
      </c>
      <c r="U73" s="0" t="n">
        <v>0.585</v>
      </c>
      <c r="DL73" s="0" t="n">
        <v>347</v>
      </c>
    </row>
    <row r="74" customFormat="false" ht="15.75" hidden="false" customHeight="false" outlineLevel="0" collapsed="false">
      <c r="A74" s="0" t="n">
        <f aca="false">C74*-1000</f>
        <v>0.661900988953656</v>
      </c>
      <c r="B74" s="0" t="n">
        <f aca="false">B73-0.01</f>
        <v>0.368391616272993</v>
      </c>
      <c r="C74" s="0" t="n">
        <f aca="false">-((B74^(-1/$I$7)-1)^(1/$F$7))/$E$7/10000</f>
        <v>-0.000661900988953656</v>
      </c>
      <c r="D74" s="0" t="n">
        <f aca="false">$G$7*B74^$H$7*(1-(1-B74^(1/$I$7))^$I$7)^2</f>
        <v>33.551898289021</v>
      </c>
      <c r="E74" s="0" t="n">
        <f aca="false">$D$7+B74*($C$7-$D$7)</f>
        <v>0.251775668032034</v>
      </c>
      <c r="F74" s="0" t="n">
        <f aca="false">LOG(-C74*10000)</f>
        <v>0.820793029972922</v>
      </c>
      <c r="G74" s="0" t="n">
        <f aca="false">(E74-$D$7)*1000*$J$7</f>
        <v>41.466160327688</v>
      </c>
      <c r="S74" s="0" t="n">
        <v>-0.1333</v>
      </c>
      <c r="T74" s="0" t="n">
        <f aca="false">S74+'sureau_ini.txt'!$B$10*0.01</f>
        <v>-0.1233</v>
      </c>
      <c r="U74" s="0" t="n">
        <v>0.5989</v>
      </c>
    </row>
    <row r="75" customFormat="false" ht="15.75" hidden="false" customHeight="false" outlineLevel="0" collapsed="false">
      <c r="A75" s="0" t="n">
        <f aca="false">C75*-1000</f>
        <v>0.680323992327393</v>
      </c>
      <c r="B75" s="0" t="n">
        <f aca="false">B74-0.01</f>
        <v>0.358391616272993</v>
      </c>
      <c r="C75" s="0" t="n">
        <f aca="false">-((B75^(-1/$I$7)-1)^(1/$F$7))/$E$7/10000</f>
        <v>-0.000680323992327393</v>
      </c>
      <c r="D75" s="0" t="n">
        <f aca="false">$G$7*B75^$H$7*(1-(1-B75^(1/$I$7))^$I$7)^2</f>
        <v>29.779462491539</v>
      </c>
      <c r="E75" s="0" t="n">
        <f aca="false">$D$7+B75*($C$7-$D$7)</f>
        <v>0.247085668032034</v>
      </c>
      <c r="F75" s="0" t="n">
        <f aca="false">LOG(-C75*10000)</f>
        <v>0.832715787073549</v>
      </c>
      <c r="G75" s="0" t="n">
        <f aca="false">(E75-$D$7)*1000*$J$7</f>
        <v>40.3405603276881</v>
      </c>
      <c r="S75" s="0" t="n">
        <v>-0.1586</v>
      </c>
      <c r="T75" s="0" t="n">
        <f aca="false">S75+'sureau_ini.txt'!$B$10*0.01</f>
        <v>-0.1486</v>
      </c>
      <c r="U75" s="0" t="n">
        <v>0.6257</v>
      </c>
      <c r="DL75" s="0" t="s">
        <v>2221</v>
      </c>
    </row>
    <row r="76" customFormat="false" ht="15.75" hidden="false" customHeight="false" outlineLevel="0" collapsed="false">
      <c r="A76" s="0" t="n">
        <f aca="false">C76*-1000</f>
        <v>0.699623584305906</v>
      </c>
      <c r="B76" s="0" t="n">
        <f aca="false">B75-0.01</f>
        <v>0.348391616272993</v>
      </c>
      <c r="C76" s="0" t="n">
        <f aca="false">-((B76^(-1/$I$7)-1)^(1/$F$7))/$E$7/10000</f>
        <v>-0.000699623584305906</v>
      </c>
      <c r="D76" s="0" t="n">
        <f aca="false">$G$7*B76^$H$7*(1-(1-B76^(1/$I$7))^$I$7)^2</f>
        <v>26.348332594056</v>
      </c>
      <c r="E76" s="0" t="n">
        <f aca="false">$D$7+B76*($C$7-$D$7)</f>
        <v>0.242395668032034</v>
      </c>
      <c r="F76" s="0" t="n">
        <f aca="false">LOG(-C76*10000)</f>
        <v>0.844864441117208</v>
      </c>
      <c r="G76" s="0" t="n">
        <f aca="false">(E76-$D$7)*1000*$J$7</f>
        <v>39.214960327688</v>
      </c>
      <c r="S76" s="0" t="n">
        <v>-0.3532</v>
      </c>
      <c r="T76" s="0" t="n">
        <f aca="false">S76+'sureau_ini.txt'!$B$10*0.01</f>
        <v>-0.3432</v>
      </c>
      <c r="U76" s="0" t="n">
        <v>0.6209</v>
      </c>
      <c r="DL76" s="0" t="n">
        <v>11931</v>
      </c>
    </row>
    <row r="77" customFormat="false" ht="15.75" hidden="false" customHeight="false" outlineLevel="0" collapsed="false">
      <c r="A77" s="0" t="n">
        <f aca="false">C77*-1000</f>
        <v>0.719874608863601</v>
      </c>
      <c r="B77" s="0" t="n">
        <f aca="false">B76-0.01</f>
        <v>0.338391616272993</v>
      </c>
      <c r="C77" s="0" t="n">
        <f aca="false">-((B77^(-1/$I$7)-1)^(1/$F$7))/$E$7/10000</f>
        <v>-0.000719874608863601</v>
      </c>
      <c r="D77" s="0" t="n">
        <f aca="false">$G$7*B77^$H$7*(1-(1-B77^(1/$I$7))^$I$7)^2</f>
        <v>23.2349991343249</v>
      </c>
      <c r="E77" s="0" t="n">
        <f aca="false">$D$7+B77*($C$7-$D$7)</f>
        <v>0.237705668032034</v>
      </c>
      <c r="F77" s="0" t="n">
        <f aca="false">LOG(-C77*10000)</f>
        <v>0.857256855568626</v>
      </c>
      <c r="G77" s="0" t="n">
        <f aca="false">(E77-$D$7)*1000*$J$7</f>
        <v>38.0893603276881</v>
      </c>
      <c r="S77" s="0" t="n">
        <v>-0.3351</v>
      </c>
      <c r="T77" s="0" t="n">
        <f aca="false">S77+'sureau_ini.txt'!$B$10*0.01</f>
        <v>-0.3251</v>
      </c>
      <c r="U77" s="0" t="n">
        <v>0.6419</v>
      </c>
    </row>
    <row r="78" customFormat="false" ht="15.75" hidden="false" customHeight="false" outlineLevel="0" collapsed="false">
      <c r="A78" s="0" t="n">
        <f aca="false">C78*-1000</f>
        <v>0.741160584656227</v>
      </c>
      <c r="B78" s="0" t="n">
        <f aca="false">B77-0.01</f>
        <v>0.328391616272993</v>
      </c>
      <c r="C78" s="0" t="n">
        <f aca="false">-((B78^(-1/$I$7)-1)^(1/$F$7))/$E$7/10000</f>
        <v>-0.000741160584656227</v>
      </c>
      <c r="D78" s="0" t="n">
        <f aca="false">$G$7*B78^$H$7*(1-(1-B78^(1/$I$7))^$I$7)^2</f>
        <v>20.4171333585627</v>
      </c>
      <c r="E78" s="0" t="n">
        <f aca="false">$D$7+B78*($C$7-$D$7)</f>
        <v>0.233015668032034</v>
      </c>
      <c r="F78" s="0" t="n">
        <f aca="false">LOG(-C78*10000)</f>
        <v>0.869912315232041</v>
      </c>
      <c r="G78" s="0" t="n">
        <f aca="false">(E78-$D$7)*1000*$J$7</f>
        <v>36.963760327688</v>
      </c>
      <c r="S78" s="0" t="n">
        <v>-0.2991</v>
      </c>
      <c r="T78" s="0" t="n">
        <f aca="false">S78+'sureau_ini.txt'!$B$10*0.01</f>
        <v>-0.2891</v>
      </c>
      <c r="U78" s="0" t="n">
        <v>0.66</v>
      </c>
      <c r="DL78" s="0" t="s">
        <v>2223</v>
      </c>
    </row>
    <row r="79" customFormat="false" ht="15.75" hidden="false" customHeight="false" outlineLevel="0" collapsed="false">
      <c r="A79" s="0" t="n">
        <f aca="false">C79*-1000</f>
        <v>0.763575024443001</v>
      </c>
      <c r="B79" s="0" t="n">
        <f aca="false">B78-0.01</f>
        <v>0.318391616272993</v>
      </c>
      <c r="C79" s="0" t="n">
        <f aca="false">-((B79^(-1/$I$7)-1)^(1/$F$7))/$E$7/10000</f>
        <v>-0.000763575024443001</v>
      </c>
      <c r="D79" s="0" t="n">
        <f aca="false">$G$7*B79^$H$7*(1-(1-B79^(1/$I$7))^$I$7)^2</f>
        <v>17.8735365574794</v>
      </c>
      <c r="E79" s="0" t="n">
        <f aca="false">$D$7+B79*($C$7-$D$7)</f>
        <v>0.228325668032033</v>
      </c>
      <c r="F79" s="0" t="n">
        <f aca="false">LOG(-C79*10000)</f>
        <v>0.882851714739994</v>
      </c>
      <c r="G79" s="0" t="n">
        <f aca="false">(E79-$D$7)*1000*$J$7</f>
        <v>35.838160327688</v>
      </c>
      <c r="S79" s="0" t="n">
        <v>-0.4252</v>
      </c>
      <c r="T79" s="0" t="n">
        <f aca="false">S79+'sureau_ini.txt'!$B$10*0.01</f>
        <v>-0.4152</v>
      </c>
      <c r="U79" s="0" t="n">
        <v>0.6998</v>
      </c>
      <c r="DL79" s="0" t="n">
        <v>1618</v>
      </c>
    </row>
    <row r="80" customFormat="false" ht="15.75" hidden="false" customHeight="false" outlineLevel="0" collapsed="false">
      <c r="A80" s="0" t="n">
        <f aca="false">C80*-1000</f>
        <v>0.787223003669226</v>
      </c>
      <c r="B80" s="0" t="n">
        <f aca="false">B79-0.01</f>
        <v>0.308391616272993</v>
      </c>
      <c r="C80" s="0" t="n">
        <f aca="false">-((B80^(-1/$I$7)-1)^(1/$F$7))/$E$7/10000</f>
        <v>-0.000787223003669226</v>
      </c>
      <c r="D80" s="0" t="n">
        <f aca="false">$G$7*B80^$H$7*(1-(1-B80^(1/$I$7))^$I$7)^2</f>
        <v>15.5840925830208</v>
      </c>
      <c r="E80" s="0" t="n">
        <f aca="false">$D$7+B80*($C$7-$D$7)</f>
        <v>0.223635668032034</v>
      </c>
      <c r="F80" s="0" t="n">
        <f aca="false">LOG(-C80*10000)</f>
        <v>0.896097776252351</v>
      </c>
      <c r="G80" s="0" t="n">
        <f aca="false">(E80-$D$7)*1000*$J$7</f>
        <v>34.7125603276881</v>
      </c>
      <c r="S80" s="0" t="n">
        <v>-0.3748</v>
      </c>
      <c r="T80" s="0" t="n">
        <f aca="false">S80+'sureau_ini.txt'!$B$10*0.01</f>
        <v>-0.3648</v>
      </c>
      <c r="U80" s="0" t="n">
        <v>0.6996</v>
      </c>
    </row>
    <row r="81" customFormat="false" ht="15.75" hidden="false" customHeight="false" outlineLevel="0" collapsed="false">
      <c r="A81" s="0" t="n">
        <f aca="false">C81*-1000</f>
        <v>0.812223035223931</v>
      </c>
      <c r="B81" s="0" t="n">
        <f aca="false">B80-0.01</f>
        <v>0.298391616272993</v>
      </c>
      <c r="C81" s="0" t="n">
        <f aca="false">-((B81^(-1/$I$7)-1)^(1/$F$7))/$E$7/10000</f>
        <v>-0.000812223035223931</v>
      </c>
      <c r="D81" s="0" t="n">
        <f aca="false">$G$7*B81^$H$7*(1-(1-B81^(1/$I$7))^$I$7)^2</f>
        <v>13.5297233021956</v>
      </c>
      <c r="E81" s="0" t="n">
        <f aca="false">$D$7+B81*($C$7-$D$7)</f>
        <v>0.218945668032033</v>
      </c>
      <c r="F81" s="0" t="n">
        <f aca="false">LOG(-C81*10000)</f>
        <v>0.909675302229591</v>
      </c>
      <c r="G81" s="0" t="n">
        <f aca="false">(E81-$D$7)*1000*$J$7</f>
        <v>33.586960327688</v>
      </c>
      <c r="S81" s="0" t="n">
        <v>-0.4288</v>
      </c>
      <c r="T81" s="0" t="n">
        <f aca="false">S81+'sureau_ini.txt'!$B$10*0.01</f>
        <v>-0.4188</v>
      </c>
      <c r="U81" s="0" t="n">
        <v>0.7854</v>
      </c>
      <c r="DL81" s="0" t="s">
        <v>2226</v>
      </c>
    </row>
    <row r="82" customFormat="false" ht="15.75" hidden="false" customHeight="false" outlineLevel="0" collapsed="false">
      <c r="A82" s="0" t="n">
        <f aca="false">C82*-1000</f>
        <v>0.838709322851028</v>
      </c>
      <c r="B82" s="0" t="n">
        <f aca="false">B81-0.01</f>
        <v>0.288391616272993</v>
      </c>
      <c r="C82" s="0" t="n">
        <f aca="false">-((B82^(-1/$I$7)-1)^(1/$F$7))/$E$7/10000</f>
        <v>-0.000838709322851028</v>
      </c>
      <c r="D82" s="0" t="n">
        <f aca="false">$G$7*B82^$H$7*(1-(1-B82^(1/$I$7))^$I$7)^2</f>
        <v>11.6923467657172</v>
      </c>
      <c r="E82" s="0" t="n">
        <f aca="false">$D$7+B82*($C$7-$D$7)</f>
        <v>0.214255668032034</v>
      </c>
      <c r="F82" s="0" t="n">
        <f aca="false">LOG(-C82*10000)</f>
        <v>0.923611470536541</v>
      </c>
      <c r="G82" s="0" t="n">
        <f aca="false">(E82-$D$7)*1000*$J$7</f>
        <v>32.461360327688</v>
      </c>
      <c r="S82" s="0" t="n">
        <v>-0.2955</v>
      </c>
      <c r="T82" s="0" t="n">
        <f aca="false">S82+'sureau_ini.txt'!$B$10*0.01</f>
        <v>-0.2855</v>
      </c>
      <c r="U82" s="0" t="n">
        <v>0.6909</v>
      </c>
      <c r="DL82" s="0" t="n">
        <v>141680</v>
      </c>
    </row>
    <row r="83" customFormat="false" ht="15.75" hidden="false" customHeight="false" outlineLevel="0" collapsed="false">
      <c r="A83" s="0" t="n">
        <f aca="false">C83*-1000</f>
        <v>0.866834486055607</v>
      </c>
      <c r="B83" s="0" t="n">
        <f aca="false">B82-0.01</f>
        <v>0.278391616272993</v>
      </c>
      <c r="C83" s="0" t="n">
        <f aca="false">-((B83^(-1/$I$7)-1)^(1/$F$7))/$E$7/10000</f>
        <v>-0.000866834486055607</v>
      </c>
      <c r="D83" s="0" t="n">
        <f aca="false">$G$7*B83^$H$7*(1-(1-B83^(1/$I$7))^$I$7)^2</f>
        <v>10.0548378882941</v>
      </c>
      <c r="E83" s="0" t="n">
        <f aca="false">$D$7+B83*($C$7-$D$7)</f>
        <v>0.209565668032034</v>
      </c>
      <c r="F83" s="0" t="n">
        <f aca="false">LOG(-C83*10000)</f>
        <v>0.937936180919267</v>
      </c>
      <c r="G83" s="0" t="n">
        <f aca="false">(E83-$D$7)*1000*$J$7</f>
        <v>31.335760327688</v>
      </c>
      <c r="S83" s="0" t="n">
        <v>-0.2559</v>
      </c>
      <c r="T83" s="0" t="n">
        <f aca="false">S83+'sureau_ini.txt'!$B$10*0.01</f>
        <v>-0.2459</v>
      </c>
      <c r="U83" s="0" t="n">
        <v>0.6963</v>
      </c>
    </row>
    <row r="84" customFormat="false" ht="15.75" hidden="false" customHeight="false" outlineLevel="0" collapsed="false">
      <c r="A84" s="0" t="n">
        <f aca="false">C84*-1000</f>
        <v>0.896772876401297</v>
      </c>
      <c r="B84" s="0" t="n">
        <f aca="false">B83-0.01</f>
        <v>0.268391616272993</v>
      </c>
      <c r="C84" s="0" t="n">
        <f aca="false">-((B84^(-1/$I$7)-1)^(1/$F$7))/$E$7/10000</f>
        <v>-0.000896772876401297</v>
      </c>
      <c r="D84" s="0" t="n">
        <f aca="false">$G$7*B84^$H$7*(1-(1-B84^(1/$I$7))^$I$7)^2</f>
        <v>8.60099145449216</v>
      </c>
      <c r="E84" s="0" t="n">
        <f aca="false">$D$7+B84*($C$7-$D$7)</f>
        <v>0.204875668032033</v>
      </c>
      <c r="F84" s="0" t="n">
        <f aca="false">LOG(-C84*10000)</f>
        <v>0.952682464208475</v>
      </c>
      <c r="G84" s="0" t="n">
        <f aca="false">(E84-$D$7)*1000*$J$7</f>
        <v>30.210160327688</v>
      </c>
      <c r="S84" s="0" t="n">
        <v>-0.2054</v>
      </c>
      <c r="T84" s="0" t="n">
        <f aca="false">S84+'sureau_ini.txt'!$B$10*0.01</f>
        <v>-0.1954</v>
      </c>
      <c r="U84" s="0" t="n">
        <v>0.7115</v>
      </c>
      <c r="DL84" s="0" t="s">
        <v>2227</v>
      </c>
    </row>
    <row r="85" customFormat="false" ht="15.75" hidden="false" customHeight="false" outlineLevel="0" collapsed="false">
      <c r="A85" s="0" t="n">
        <f aca="false">C85*-1000</f>
        <v>0.928724641381459</v>
      </c>
      <c r="B85" s="0" t="n">
        <f aca="false">B84-0.01</f>
        <v>0.258391616272993</v>
      </c>
      <c r="C85" s="0" t="n">
        <f aca="false">-((B85^(-1/$I$7)-1)^(1/$F$7))/$E$7/10000</f>
        <v>-0.000928724641381459</v>
      </c>
      <c r="D85" s="0" t="n">
        <f aca="false">$G$7*B85^$H$7*(1-(1-B85^(1/$I$7))^$I$7)^2</f>
        <v>7.31548727937604</v>
      </c>
      <c r="E85" s="0" t="n">
        <f aca="false">$D$7+B85*($C$7-$D$7)</f>
        <v>0.200185668032034</v>
      </c>
      <c r="F85" s="0" t="n">
        <f aca="false">LOG(-C85*10000)</f>
        <v>0.967886968616863</v>
      </c>
      <c r="G85" s="0" t="n">
        <f aca="false">(E85-$D$7)*1000*$J$7</f>
        <v>29.084560327688</v>
      </c>
      <c r="S85" s="0" t="n">
        <v>-0.2559</v>
      </c>
      <c r="T85" s="0" t="n">
        <f aca="false">S85+'sureau_ini.txt'!$B$10*0.01</f>
        <v>-0.2459</v>
      </c>
      <c r="U85" s="0" t="n">
        <v>0.7146</v>
      </c>
      <c r="DL85" s="0" t="n">
        <v>-43000</v>
      </c>
    </row>
    <row r="86" customFormat="false" ht="15.75" hidden="false" customHeight="false" outlineLevel="0" collapsed="false">
      <c r="A86" s="0" t="n">
        <f aca="false">C86*-1000</f>
        <v>0.962920741214451</v>
      </c>
      <c r="B86" s="0" t="n">
        <f aca="false">B85-0.01</f>
        <v>0.248391616272993</v>
      </c>
      <c r="C86" s="0" t="n">
        <f aca="false">-((B86^(-1/$I$7)-1)^(1/$F$7))/$E$7/10000</f>
        <v>-0.000962920741214451</v>
      </c>
      <c r="D86" s="0" t="n">
        <f aca="false">$G$7*B86^$H$7*(1-(1-B86^(1/$I$7))^$I$7)^2</f>
        <v>6.18385736681338</v>
      </c>
      <c r="E86" s="0" t="n">
        <f aca="false">$D$7+B86*($C$7-$D$7)</f>
        <v>0.195495668032033</v>
      </c>
      <c r="F86" s="0" t="n">
        <f aca="false">LOG(-C86*10000)</f>
        <v>0.98359054146534</v>
      </c>
      <c r="G86" s="0" t="n">
        <f aca="false">(E86-$D$7)*1000*$J$7</f>
        <v>27.958960327688</v>
      </c>
      <c r="S86" s="0" t="n">
        <v>-0.2126</v>
      </c>
      <c r="T86" s="0" t="n">
        <f aca="false">S86+'sureau_ini.txt'!$B$10*0.01</f>
        <v>-0.2026</v>
      </c>
      <c r="U86" s="0" t="n">
        <v>0.734</v>
      </c>
    </row>
    <row r="87" customFormat="false" ht="15.75" hidden="false" customHeight="false" outlineLevel="0" collapsed="false">
      <c r="A87" s="0" t="n">
        <f aca="false">C87*-1000</f>
        <v>0.999629191263127</v>
      </c>
      <c r="B87" s="0" t="n">
        <f aca="false">B86-0.01</f>
        <v>0.238391616272993</v>
      </c>
      <c r="C87" s="0" t="n">
        <f aca="false">-((B87^(-1/$I$7)-1)^(1/$F$7))/$E$7/10000</f>
        <v>-0.000999629191263127</v>
      </c>
      <c r="D87" s="0" t="n">
        <f aca="false">$G$7*B87^$H$7*(1-(1-B87^(1/$I$7))^$I$7)^2</f>
        <v>5.19245492053399</v>
      </c>
      <c r="E87" s="0" t="n">
        <f aca="false">$D$7+B87*($C$7-$D$7)</f>
        <v>0.190805668032034</v>
      </c>
      <c r="F87" s="0" t="n">
        <f aca="false">LOG(-C87*10000)</f>
        <v>0.999838929946797</v>
      </c>
      <c r="G87" s="0" t="n">
        <f aca="false">(E87-$D$7)*1000*$J$7</f>
        <v>26.833360327688</v>
      </c>
      <c r="S87" s="0" t="n">
        <v>-0.2595</v>
      </c>
      <c r="T87" s="0" t="n">
        <f aca="false">S87+'sureau_ini.txt'!$B$10*0.01</f>
        <v>-0.2495</v>
      </c>
      <c r="U87" s="0" t="n">
        <v>0.7553</v>
      </c>
      <c r="DL87" s="0" t="s">
        <v>2164</v>
      </c>
    </row>
    <row r="88" customFormat="false" ht="15.75" hidden="false" customHeight="false" outlineLevel="0" collapsed="false">
      <c r="A88" s="0" t="n">
        <f aca="false">C88*-1000</f>
        <v>1.03916289612244</v>
      </c>
      <c r="B88" s="0" t="n">
        <f aca="false">B87-0.01</f>
        <v>0.228391616272993</v>
      </c>
      <c r="C88" s="0" t="n">
        <f aca="false">-((B88^(-1/$I$7)-1)^(1/$F$7))/$E$7/10000</f>
        <v>-0.00103916289612244</v>
      </c>
      <c r="D88" s="0" t="n">
        <f aca="false">$G$7*B88^$H$7*(1-(1-B88^(1/$I$7))^$I$7)^2</f>
        <v>4.32842507392658</v>
      </c>
      <c r="E88" s="0" t="n">
        <f aca="false">$D$7+B88*($C$7-$D$7)</f>
        <v>0.186115668032034</v>
      </c>
      <c r="F88" s="0" t="n">
        <f aca="false">LOG(-C88*10000)</f>
        <v>1.01668363162063</v>
      </c>
      <c r="G88" s="0" t="n">
        <f aca="false">(E88-$D$7)*1000*$J$7</f>
        <v>25.707760327688</v>
      </c>
      <c r="S88" s="0" t="n">
        <v>-0.2703</v>
      </c>
      <c r="T88" s="0" t="n">
        <f aca="false">S88+'sureau_ini.txt'!$B$10*0.01</f>
        <v>-0.2603</v>
      </c>
      <c r="U88" s="0" t="n">
        <v>0.7989</v>
      </c>
      <c r="DL88" s="0" t="n">
        <v>0</v>
      </c>
    </row>
    <row r="89" customFormat="false" ht="15.75" hidden="false" customHeight="false" outlineLevel="0" collapsed="false">
      <c r="A89" s="0" t="n">
        <f aca="false">C89*-1000</f>
        <v>1.08188957243293</v>
      </c>
      <c r="B89" s="0" t="n">
        <f aca="false">B88-0.01</f>
        <v>0.218391616272992</v>
      </c>
      <c r="C89" s="0" t="n">
        <f aca="false">-((B89^(-1/$I$7)-1)^(1/$F$7))/$E$7/10000</f>
        <v>-0.00108188957243293</v>
      </c>
      <c r="D89" s="0" t="n">
        <f aca="false">$G$7*B89^$H$7*(1-(1-B89^(1/$I$7))^$I$7)^2</f>
        <v>3.57967721422651</v>
      </c>
      <c r="E89" s="0" t="n">
        <f aca="false">$D$7+B89*($C$7-$D$7)</f>
        <v>0.181425668032033</v>
      </c>
      <c r="F89" s="0" t="n">
        <f aca="false">LOG(-C89*10000)</f>
        <v>1.03418293495681</v>
      </c>
      <c r="G89" s="0" t="n">
        <f aca="false">(E89-$D$7)*1000*$J$7</f>
        <v>24.582160327688</v>
      </c>
      <c r="S89" s="0" t="n">
        <v>-0.2523</v>
      </c>
      <c r="T89" s="0" t="n">
        <f aca="false">S89+'sureau_ini.txt'!$B$10*0.01</f>
        <v>-0.2423</v>
      </c>
      <c r="U89" s="0" t="n">
        <v>0.789</v>
      </c>
    </row>
    <row r="90" customFormat="false" ht="15.75" hidden="false" customHeight="false" outlineLevel="0" collapsed="false">
      <c r="A90" s="0" t="n">
        <f aca="false">C90*-1000</f>
        <v>1.12824444389339</v>
      </c>
      <c r="B90" s="0" t="n">
        <f aca="false">B89-0.01</f>
        <v>0.208391616272992</v>
      </c>
      <c r="C90" s="0" t="n">
        <f aca="false">-((B90^(-1/$I$7)-1)^(1/$F$7))/$E$7/10000</f>
        <v>-0.00112824444389339</v>
      </c>
      <c r="D90" s="0" t="n">
        <f aca="false">$G$7*B90^$H$7*(1-(1-B90^(1/$I$7))^$I$7)^2</f>
        <v>2.93485878529664</v>
      </c>
      <c r="E90" s="0" t="n">
        <f aca="false">$D$7+B90*($C$7-$D$7)</f>
        <v>0.176735668032033</v>
      </c>
      <c r="F90" s="0" t="n">
        <f aca="false">LOG(-C90*10000)</f>
        <v>1.05240320348854</v>
      </c>
      <c r="G90" s="0" t="n">
        <f aca="false">(E90-$D$7)*1000*$J$7</f>
        <v>23.456560327688</v>
      </c>
      <c r="S90" s="0" t="n">
        <v>-0.2198</v>
      </c>
      <c r="T90" s="0" t="n">
        <f aca="false">S90+'sureau_ini.txt'!$B$10*0.01</f>
        <v>-0.2098</v>
      </c>
      <c r="U90" s="0" t="n">
        <v>0.8085</v>
      </c>
      <c r="DL90" s="0" t="s">
        <v>2215</v>
      </c>
    </row>
    <row r="91" customFormat="false" ht="15.75" hidden="false" customHeight="false" outlineLevel="0" collapsed="false">
      <c r="A91" s="0" t="n">
        <f aca="false">C91*-1000</f>
        <v>1.17874666114991</v>
      </c>
      <c r="B91" s="0" t="n">
        <f aca="false">B90-0.01</f>
        <v>0.198391616272993</v>
      </c>
      <c r="C91" s="0" t="n">
        <f aca="false">-((B91^(-1/$I$7)-1)^(1/$F$7))/$E$7/10000</f>
        <v>-0.00117874666114991</v>
      </c>
      <c r="D91" s="0" t="n">
        <f aca="false">$G$7*B91^$H$7*(1-(1-B91^(1/$I$7))^$I$7)^2</f>
        <v>2.38333046069608</v>
      </c>
      <c r="E91" s="0" t="n">
        <f aca="false">$D$7+B91*($C$7-$D$7)</f>
        <v>0.172045668032034</v>
      </c>
      <c r="F91" s="0" t="n">
        <f aca="false">LOG(-C91*10000)</f>
        <v>1.07142047558952</v>
      </c>
      <c r="G91" s="0" t="n">
        <f aca="false">(E91-$D$7)*1000*$J$7</f>
        <v>22.330960327688</v>
      </c>
      <c r="S91" s="0" t="n">
        <v>-0.1405</v>
      </c>
      <c r="T91" s="0" t="n">
        <f aca="false">S91+'sureau_ini.txt'!$B$10*0.01</f>
        <v>-0.1305</v>
      </c>
      <c r="U91" s="0" t="n">
        <v>0.7997</v>
      </c>
      <c r="DL91" s="0" t="n">
        <v>4912</v>
      </c>
    </row>
    <row r="92" customFormat="false" ht="15.75" hidden="false" customHeight="false" outlineLevel="0" collapsed="false">
      <c r="A92" s="0" t="n">
        <f aca="false">C92*-1000</f>
        <v>1.23402079432117</v>
      </c>
      <c r="B92" s="0" t="n">
        <f aca="false">B91-0.01</f>
        <v>0.188391616272993</v>
      </c>
      <c r="C92" s="0" t="n">
        <f aca="false">-((B92^(-1/$I$7)-1)^(1/$F$7))/$E$7/10000</f>
        <v>-0.00123402079432117</v>
      </c>
      <c r="D92" s="0" t="n">
        <f aca="false">$G$7*B92^$H$7*(1-(1-B92^(1/$I$7))^$I$7)^2</f>
        <v>1.91514258521703</v>
      </c>
      <c r="E92" s="0" t="n">
        <f aca="false">$D$7+B92*($C$7-$D$7)</f>
        <v>0.167355668032034</v>
      </c>
      <c r="F92" s="0" t="n">
        <f aca="false">LOG(-C92*10000)</f>
        <v>1.09132247799775</v>
      </c>
      <c r="G92" s="0" t="n">
        <f aca="false">(E92-$D$7)*1000*$J$7</f>
        <v>21.205360327688</v>
      </c>
      <c r="S92" s="0" t="n">
        <v>-0.1838</v>
      </c>
      <c r="T92" s="0" t="n">
        <f aca="false">S92+'sureau_ini.txt'!$B$10*0.01</f>
        <v>-0.1738</v>
      </c>
      <c r="U92" s="0" t="n">
        <v>0.8279</v>
      </c>
    </row>
    <row r="93" customFormat="false" ht="15.75" hidden="false" customHeight="false" outlineLevel="0" collapsed="false">
      <c r="A93" s="0" t="n">
        <f aca="false">C93*-1000</f>
        <v>1.29482533605792</v>
      </c>
      <c r="B93" s="0" t="n">
        <f aca="false">B92-0.01</f>
        <v>0.178391616272993</v>
      </c>
      <c r="C93" s="0" t="n">
        <f aca="false">-((B93^(-1/$I$7)-1)^(1/$F$7))/$E$7/10000</f>
        <v>-0.00129482533605792</v>
      </c>
      <c r="D93" s="0" t="n">
        <f aca="false">$G$7*B93^$H$7*(1-(1-B93^(1/$I$7))^$I$7)^2</f>
        <v>1.52101278857475</v>
      </c>
      <c r="E93" s="0" t="n">
        <f aca="false">$D$7+B93*($C$7-$D$7)</f>
        <v>0.162665668032033</v>
      </c>
      <c r="F93" s="0" t="n">
        <f aca="false">LOG(-C93*10000)</f>
        <v>1.11221118872443</v>
      </c>
      <c r="G93" s="0" t="n">
        <f aca="false">(E93-$D$7)*1000*$J$7</f>
        <v>20.079760327688</v>
      </c>
      <c r="S93" s="0" t="n">
        <v>-0.2703</v>
      </c>
      <c r="T93" s="0" t="n">
        <f aca="false">S93+'sureau_ini.txt'!$B$10*0.01</f>
        <v>-0.2603</v>
      </c>
      <c r="U93" s="0" t="n">
        <v>0.8396</v>
      </c>
      <c r="DL93" s="0" t="s">
        <v>2218</v>
      </c>
    </row>
    <row r="94" customFormat="false" ht="15.75" hidden="false" customHeight="false" outlineLevel="0" collapsed="false">
      <c r="A94" s="0" t="n">
        <f aca="false">C94*-1000</f>
        <v>1.36209105176171</v>
      </c>
      <c r="B94" s="0" t="n">
        <f aca="false">B93-0.01</f>
        <v>0.168391616272992</v>
      </c>
      <c r="C94" s="0" t="n">
        <f aca="false">-((B94^(-1/$I$7)-1)^(1/$F$7))/$E$7/10000</f>
        <v>-0.00136209105176171</v>
      </c>
      <c r="D94" s="0" t="n">
        <f aca="false">$G$7*B94^$H$7*(1-(1-B94^(1/$I$7))^$I$7)^2</f>
        <v>1.19230467945856</v>
      </c>
      <c r="E94" s="0" t="n">
        <f aca="false">$D$7+B94*($C$7-$D$7)</f>
        <v>0.157975668032034</v>
      </c>
      <c r="F94" s="0" t="n">
        <f aca="false">LOG(-C94*10000)</f>
        <v>1.13420613984987</v>
      </c>
      <c r="G94" s="0" t="n">
        <f aca="false">(E94-$D$7)*1000*$J$7</f>
        <v>18.954160327688</v>
      </c>
      <c r="S94" s="0" t="n">
        <v>-0.2667</v>
      </c>
      <c r="T94" s="0" t="n">
        <f aca="false">S94+'sureau_ini.txt'!$B$10*0.01</f>
        <v>-0.2567</v>
      </c>
      <c r="U94" s="0" t="n">
        <v>0.8662</v>
      </c>
      <c r="DL94" s="0" t="n">
        <v>347</v>
      </c>
    </row>
    <row r="95" customFormat="false" ht="15.75" hidden="false" customHeight="false" outlineLevel="0" collapsed="false">
      <c r="A95" s="0" t="n">
        <f aca="false">C95*-1000</f>
        <v>1.43697341181317</v>
      </c>
      <c r="B95" s="0" t="n">
        <f aca="false">B94-0.01</f>
        <v>0.158391616272992</v>
      </c>
      <c r="C95" s="0" t="n">
        <f aca="false">-((B95^(-1/$I$7)-1)^(1/$F$7))/$E$7/10000</f>
        <v>-0.00143697341181317</v>
      </c>
      <c r="D95" s="0" t="n">
        <f aca="false">$G$7*B95^$H$7*(1-(1-B95^(1/$I$7))^$I$7)^2</f>
        <v>0.921007531662814</v>
      </c>
      <c r="E95" s="0" t="n">
        <f aca="false">$D$7+B95*($C$7-$D$7)</f>
        <v>0.153285668032033</v>
      </c>
      <c r="F95" s="0" t="n">
        <f aca="false">LOG(-C95*10000)</f>
        <v>1.15744873249773</v>
      </c>
      <c r="G95" s="0" t="n">
        <f aca="false">(E95-$D$7)*1000*$J$7</f>
        <v>17.828560327688</v>
      </c>
      <c r="S95" s="0" t="n">
        <v>-0.2631</v>
      </c>
      <c r="T95" s="0" t="n">
        <f aca="false">S95+'sureau_ini.txt'!$B$10*0.01</f>
        <v>-0.2531</v>
      </c>
      <c r="U95" s="0" t="n">
        <v>0.8747</v>
      </c>
    </row>
    <row r="96" customFormat="false" ht="15.75" hidden="false" customHeight="false" outlineLevel="0" collapsed="false">
      <c r="A96" s="0" t="n">
        <f aca="false">C96*-1000</f>
        <v>1.52092556813236</v>
      </c>
      <c r="B96" s="0" t="n">
        <f aca="false">B95-0.01</f>
        <v>0.148391616272992</v>
      </c>
      <c r="C96" s="0" t="n">
        <f aca="false">-((B96^(-1/$I$7)-1)^(1/$F$7))/$E$7/10000</f>
        <v>-0.00152092556813236</v>
      </c>
      <c r="D96" s="0" t="n">
        <f aca="false">$G$7*B96^$H$7*(1-(1-B96^(1/$I$7))^$I$7)^2</f>
        <v>0.699716876446352</v>
      </c>
      <c r="E96" s="0" t="n">
        <f aca="false">$D$7+B96*($C$7-$D$7)</f>
        <v>0.148595668032033</v>
      </c>
      <c r="F96" s="0" t="n">
        <f aca="false">LOG(-C96*10000)</f>
        <v>1.18210796083777</v>
      </c>
      <c r="G96" s="0" t="n">
        <f aca="false">(E96-$D$7)*1000*$J$7</f>
        <v>16.702960327688</v>
      </c>
      <c r="S96" s="0" t="n">
        <v>-0.3135</v>
      </c>
      <c r="T96" s="0" t="n">
        <f aca="false">S96+'sureau_ini.txt'!$B$10*0.01</f>
        <v>-0.3035</v>
      </c>
      <c r="U96" s="0" t="n">
        <v>0.8679</v>
      </c>
      <c r="DL96" s="0" t="s">
        <v>2221</v>
      </c>
    </row>
    <row r="97" customFormat="false" ht="15.75" hidden="false" customHeight="false" outlineLevel="0" collapsed="false">
      <c r="A97" s="0" t="n">
        <f aca="false">C97*-1000</f>
        <v>1.61580198091903</v>
      </c>
      <c r="B97" s="0" t="n">
        <f aca="false">B96-0.01</f>
        <v>0.138391616272992</v>
      </c>
      <c r="C97" s="0" t="n">
        <f aca="false">-((B97^(-1/$I$7)-1)^(1/$F$7))/$E$7/10000</f>
        <v>-0.00161580198091903</v>
      </c>
      <c r="D97" s="0" t="n">
        <f aca="false">$G$7*B97^$H$7*(1-(1-B97^(1/$I$7))^$I$7)^2</f>
        <v>0.521615916495963</v>
      </c>
      <c r="E97" s="0" t="n">
        <f aca="false">$D$7+B97*($C$7-$D$7)</f>
        <v>0.143905668032033</v>
      </c>
      <c r="F97" s="0" t="n">
        <f aca="false">LOG(-C97*10000)</f>
        <v>1.20838813622595</v>
      </c>
      <c r="G97" s="0" t="n">
        <f aca="false">(E97-$D$7)*1000*$J$7</f>
        <v>15.577360327688</v>
      </c>
      <c r="S97" s="0" t="n">
        <v>-0.4288</v>
      </c>
      <c r="T97" s="0" t="n">
        <f aca="false">S97+'sureau_ini.txt'!$B$10*0.01</f>
        <v>-0.4188</v>
      </c>
      <c r="U97" s="0" t="n">
        <v>0.9681</v>
      </c>
      <c r="DL97" s="0" t="n">
        <v>11931</v>
      </c>
    </row>
    <row r="98" customFormat="false" ht="15.75" hidden="false" customHeight="false" outlineLevel="0" collapsed="false">
      <c r="A98" s="0" t="n">
        <f aca="false">C98*-1000</f>
        <v>1.72400894070968</v>
      </c>
      <c r="B98" s="0" t="n">
        <f aca="false">B97-0.01</f>
        <v>0.128391616272992</v>
      </c>
      <c r="C98" s="0" t="n">
        <f aca="false">-((B98^(-1/$I$7)-1)^(1/$F$7))/$E$7/10000</f>
        <v>-0.00172400894070968</v>
      </c>
      <c r="D98" s="0" t="n">
        <f aca="false">$G$7*B98^$H$7*(1-(1-B98^(1/$I$7))^$I$7)^2</f>
        <v>0.380457676702502</v>
      </c>
      <c r="E98" s="0" t="n">
        <f aca="false">$D$7+B98*($C$7-$D$7)</f>
        <v>0.139215668032033</v>
      </c>
      <c r="F98" s="0" t="n">
        <f aca="false">LOG(-C98*10000)</f>
        <v>1.23653951374554</v>
      </c>
      <c r="G98" s="0" t="n">
        <f aca="false">(E98-$D$7)*1000*$J$7</f>
        <v>14.451760327688</v>
      </c>
      <c r="S98" s="0" t="n">
        <v>-0.2847</v>
      </c>
      <c r="T98" s="0" t="n">
        <f aca="false">S98+'sureau_ini.txt'!$B$10*0.01</f>
        <v>-0.2747</v>
      </c>
      <c r="U98" s="0" t="n">
        <v>0.9211</v>
      </c>
    </row>
    <row r="99" customFormat="false" ht="15.75" hidden="false" customHeight="false" outlineLevel="0" collapsed="false">
      <c r="A99" s="0" t="n">
        <f aca="false">C99*-1000</f>
        <v>1.84872892878038</v>
      </c>
      <c r="B99" s="0" t="n">
        <f aca="false">B98-0.01</f>
        <v>0.118391616272992</v>
      </c>
      <c r="C99" s="0" t="n">
        <f aca="false">-((B99^(-1/$I$7)-1)^(1/$F$7))/$E$7/10000</f>
        <v>-0.00184872892878038</v>
      </c>
      <c r="D99" s="0" t="n">
        <f aca="false">$G$7*B99^$H$7*(1-(1-B99^(1/$I$7))^$I$7)^2</f>
        <v>0.270547805104635</v>
      </c>
      <c r="E99" s="0" t="n">
        <f aca="false">$D$7+B99*($C$7-$D$7)</f>
        <v>0.134525668032033</v>
      </c>
      <c r="F99" s="0" t="n">
        <f aca="false">LOG(-C99*10000)</f>
        <v>1.26687323708389</v>
      </c>
      <c r="G99" s="0" t="n">
        <f aca="false">(E99-$D$7)*1000*$J$7</f>
        <v>13.326160327688</v>
      </c>
      <c r="S99" s="0" t="n">
        <v>-0.227</v>
      </c>
      <c r="T99" s="0" t="n">
        <f aca="false">S99+'sureau_ini.txt'!$B$10*0.01</f>
        <v>-0.217</v>
      </c>
      <c r="U99" s="0" t="n">
        <v>0.9306</v>
      </c>
      <c r="DL99" s="0" t="s">
        <v>2223</v>
      </c>
    </row>
    <row r="100" customFormat="false" ht="15.75" hidden="false" customHeight="false" outlineLevel="0" collapsed="false">
      <c r="A100" s="0" t="n">
        <f aca="false">C100*-1000</f>
        <v>1.99426512888434</v>
      </c>
      <c r="B100" s="0" t="n">
        <f aca="false">B99-0.01</f>
        <v>0.108391616272992</v>
      </c>
      <c r="C100" s="0" t="n">
        <f aca="false">-((B100^(-1/$I$7)-1)^(1/$F$7))/$E$7/10000</f>
        <v>-0.00199426512888434</v>
      </c>
      <c r="D100" s="0" t="n">
        <f aca="false">$G$7*B100^$H$7*(1-(1-B100^(1/$I$7))^$I$7)^2</f>
        <v>0.18672793337086</v>
      </c>
      <c r="E100" s="0" t="n">
        <f aca="false">$D$7+B100*($C$7-$D$7)</f>
        <v>0.129835668032033</v>
      </c>
      <c r="F100" s="0" t="n">
        <f aca="false">LOG(-C100*10000)</f>
        <v>1.29978289537843</v>
      </c>
      <c r="G100" s="0" t="n">
        <f aca="false">(E100-$D$7)*1000*$J$7</f>
        <v>12.200560327688</v>
      </c>
      <c r="S100" s="0" t="n">
        <v>-0.191</v>
      </c>
      <c r="T100" s="0" t="n">
        <f aca="false">S100+'sureau_ini.txt'!$B$10*0.01</f>
        <v>-0.181</v>
      </c>
      <c r="U100" s="0" t="n">
        <v>0.9095</v>
      </c>
      <c r="DL100" s="0" t="n">
        <v>1618</v>
      </c>
    </row>
    <row r="101" customFormat="false" ht="15.75" hidden="false" customHeight="false" outlineLevel="0" collapsed="false">
      <c r="A101" s="0" t="n">
        <f aca="false">C101*-1000</f>
        <v>2.16658906093723</v>
      </c>
      <c r="B101" s="0" t="n">
        <f aca="false">B100-0.01</f>
        <v>0.0983916162729925</v>
      </c>
      <c r="C101" s="0" t="n">
        <f aca="false">-((B101^(-1/$I$7)-1)^(1/$F$7))/$E$7/10000</f>
        <v>-0.00216658906093723</v>
      </c>
      <c r="D101" s="0" t="n">
        <f aca="false">$G$7*B101^$H$7*(1-(1-B101^(1/$I$7))^$I$7)^2</f>
        <v>0.12435949940073</v>
      </c>
      <c r="E101" s="0" t="n">
        <f aca="false">$D$7+B101*($C$7-$D$7)</f>
        <v>0.125145668032033</v>
      </c>
      <c r="F101" s="0" t="n">
        <f aca="false">LOG(-C101*10000)</f>
        <v>1.33577654607227</v>
      </c>
      <c r="G101" s="0" t="n">
        <f aca="false">(E101-$D$7)*1000*$J$7</f>
        <v>11.074960327688</v>
      </c>
      <c r="S101" s="0" t="n">
        <v>-0.2234</v>
      </c>
      <c r="T101" s="0" t="n">
        <f aca="false">S101+'sureau_ini.txt'!$B$10*0.01</f>
        <v>-0.2134</v>
      </c>
      <c r="U101" s="0" t="n">
        <v>0.9588</v>
      </c>
    </row>
    <row r="102" customFormat="false" ht="15.75" hidden="false" customHeight="false" outlineLevel="0" collapsed="false">
      <c r="A102" s="0" t="n">
        <f aca="false">C102*-1000</f>
        <v>2.37424735742439</v>
      </c>
      <c r="B102" s="0" t="n">
        <f aca="false">B101-0.01</f>
        <v>0.0883916162729925</v>
      </c>
      <c r="C102" s="0" t="n">
        <f aca="false">-((B102^(-1/$I$7)-1)^(1/$F$7))/$E$7/10000</f>
        <v>-0.00237424735742439</v>
      </c>
      <c r="D102" s="0" t="n">
        <f aca="false">$G$7*B102^$H$7*(1-(1-B102^(1/$I$7))^$I$7)^2</f>
        <v>0.0793079239844082</v>
      </c>
      <c r="E102" s="0" t="n">
        <f aca="false">$D$7+B102*($C$7-$D$7)</f>
        <v>0.120455668032033</v>
      </c>
      <c r="F102" s="0" t="n">
        <f aca="false">LOG(-C102*10000)</f>
        <v>1.37552596329939</v>
      </c>
      <c r="G102" s="0" t="n">
        <f aca="false">(E102-$D$7)*1000*$J$7</f>
        <v>9.94936032768803</v>
      </c>
      <c r="S102" s="0" t="n">
        <v>-0.2342</v>
      </c>
      <c r="T102" s="0" t="n">
        <f aca="false">S102+'sureau_ini.txt'!$B$10*0.01</f>
        <v>-0.2242</v>
      </c>
      <c r="U102" s="0" t="n">
        <v>0.9785</v>
      </c>
      <c r="DL102" s="0" t="s">
        <v>2226</v>
      </c>
    </row>
    <row r="103" customFormat="false" ht="15.75" hidden="false" customHeight="false" outlineLevel="0" collapsed="false">
      <c r="A103" s="0" t="n">
        <f aca="false">C103*-1000</f>
        <v>2.62993845563015</v>
      </c>
      <c r="B103" s="0" t="n">
        <f aca="false">B102-0.01</f>
        <v>0.0783916162729925</v>
      </c>
      <c r="C103" s="0" t="n">
        <f aca="false">-((B103^(-1/$I$7)-1)^(1/$F$7))/$E$7/10000</f>
        <v>-0.00262993845563015</v>
      </c>
      <c r="D103" s="0" t="n">
        <f aca="false">$G$7*B103^$H$7*(1-(1-B103^(1/$I$7))^$I$7)^2</f>
        <v>0.0479270173055047</v>
      </c>
      <c r="E103" s="0" t="n">
        <f aca="false">$D$7+B103*($C$7-$D$7)</f>
        <v>0.115765668032033</v>
      </c>
      <c r="F103" s="0" t="n">
        <f aca="false">LOG(-C103*10000)</f>
        <v>1.41994558548863</v>
      </c>
      <c r="G103" s="0" t="n">
        <f aca="false">(E103-$D$7)*1000*$J$7</f>
        <v>8.82376032768803</v>
      </c>
      <c r="S103" s="0" t="n">
        <v>-0.209</v>
      </c>
      <c r="T103" s="0" t="n">
        <f aca="false">S103+'sureau_ini.txt'!$B$10*0.01</f>
        <v>-0.199</v>
      </c>
      <c r="U103" s="0" t="n">
        <v>1.0051</v>
      </c>
      <c r="DL103" s="0" t="n">
        <v>141680</v>
      </c>
    </row>
    <row r="104" customFormat="false" ht="15.75" hidden="false" customHeight="false" outlineLevel="0" collapsed="false">
      <c r="A104" s="0" t="n">
        <f aca="false">C104*-1000</f>
        <v>2.95342290237573</v>
      </c>
      <c r="B104" s="0" t="n">
        <f aca="false">B103-0.01</f>
        <v>0.0683916162729925</v>
      </c>
      <c r="C104" s="0" t="n">
        <f aca="false">-((B104^(-1/$I$7)-1)^(1/$F$7))/$E$7/10000</f>
        <v>-0.00295342290237573</v>
      </c>
      <c r="D104" s="0" t="n">
        <f aca="false">$G$7*B104^$H$7*(1-(1-B104^(1/$I$7))^$I$7)^2</f>
        <v>0.0270434666724696</v>
      </c>
      <c r="E104" s="0" t="n">
        <f aca="false">$D$7+B104*($C$7-$D$7)</f>
        <v>0.111075668032033</v>
      </c>
      <c r="F104" s="0" t="n">
        <f aca="false">LOG(-C104*10000)</f>
        <v>1.47032563830204</v>
      </c>
      <c r="G104" s="0" t="n">
        <f aca="false">(E104-$D$7)*1000*$J$7</f>
        <v>7.69816032768803</v>
      </c>
      <c r="S104" s="0" t="n">
        <v>-0.1297</v>
      </c>
      <c r="T104" s="0" t="n">
        <f aca="false">S104+'sureau_ini.txt'!$B$10*0.01</f>
        <v>-0.1197</v>
      </c>
      <c r="U104" s="0" t="n">
        <v>1.0005</v>
      </c>
    </row>
    <row r="105" customFormat="false" ht="15.75" hidden="false" customHeight="false" outlineLevel="0" collapsed="false">
      <c r="A105" s="0" t="n">
        <f aca="false">C105*-1000</f>
        <v>3.37731247874607</v>
      </c>
      <c r="B105" s="0" t="n">
        <f aca="false">B104-0.01</f>
        <v>0.0583916162729925</v>
      </c>
      <c r="C105" s="0" t="n">
        <f aca="false">-((B105^(-1/$I$7)-1)^(1/$F$7))/$E$7/10000</f>
        <v>-0.00337731247874607</v>
      </c>
      <c r="D105" s="0" t="n">
        <f aca="false">$G$7*B105^$H$7*(1-(1-B105^(1/$I$7))^$I$7)^2</f>
        <v>0.0139412195205615</v>
      </c>
      <c r="E105" s="0" t="n">
        <f aca="false">$D$7+B105*($C$7-$D$7)</f>
        <v>0.106385668032033</v>
      </c>
      <c r="F105" s="0" t="n">
        <f aca="false">LOG(-C105*10000)</f>
        <v>1.5285712446795</v>
      </c>
      <c r="G105" s="0" t="n">
        <f aca="false">(E105-$D$7)*1000*$J$7</f>
        <v>6.57256032768803</v>
      </c>
      <c r="DL105" s="0" t="s">
        <v>2227</v>
      </c>
    </row>
    <row r="106" customFormat="false" ht="15.75" hidden="false" customHeight="false" outlineLevel="0" collapsed="false">
      <c r="A106" s="0" t="n">
        <f aca="false">C106*-1000</f>
        <v>3.95975487336453</v>
      </c>
      <c r="B106" s="0" t="n">
        <f aca="false">B105-0.01</f>
        <v>0.0483916162729925</v>
      </c>
      <c r="C106" s="0" t="n">
        <f aca="false">-((B106^(-1/$I$7)-1)^(1/$F$7))/$E$7/10000</f>
        <v>-0.00395975487336453</v>
      </c>
      <c r="D106" s="0" t="n">
        <f aca="false">$G$7*B106^$H$7*(1-(1-B106^(1/$I$7))^$I$7)^2</f>
        <v>0.00634551689019881</v>
      </c>
      <c r="E106" s="0" t="n">
        <f aca="false">$D$7+B106*($C$7-$D$7)</f>
        <v>0.101695668032033</v>
      </c>
      <c r="F106" s="0" t="n">
        <f aca="false">LOG(-C106*10000)</f>
        <v>1.59766830197597</v>
      </c>
      <c r="G106" s="0" t="n">
        <f aca="false">(E106-$D$7)*1000*$J$7</f>
        <v>5.44696032768803</v>
      </c>
      <c r="DL106" s="0" t="n">
        <v>-43000</v>
      </c>
    </row>
    <row r="107" customFormat="false" ht="15.75" hidden="false" customHeight="false" outlineLevel="0" collapsed="false">
      <c r="A107" s="0" t="n">
        <f aca="false">C107*-1000</f>
        <v>4.81610550245506</v>
      </c>
      <c r="B107" s="0" t="n">
        <f aca="false">B106-0.01</f>
        <v>0.0383916162729925</v>
      </c>
      <c r="C107" s="0" t="n">
        <f aca="false">-((B107^(-1/$I$7)-1)^(1/$F$7))/$E$7/10000</f>
        <v>-0.00481610550245506</v>
      </c>
      <c r="D107" s="0" t="n">
        <f aca="false">$G$7*B107^$H$7*(1-(1-B107^(1/$I$7))^$I$7)^2</f>
        <v>0.00240623553171503</v>
      </c>
      <c r="E107" s="0" t="n">
        <f aca="false">$D$7+B107*($C$7-$D$7)</f>
        <v>0.0970056680320335</v>
      </c>
      <c r="F107" s="0" t="n">
        <f aca="false">LOG(-C107*10000)</f>
        <v>1.68269599208536</v>
      </c>
      <c r="G107" s="0" t="n">
        <f aca="false">(E107-$D$7)*1000*$J$7</f>
        <v>4.32136032768803</v>
      </c>
    </row>
    <row r="108" customFormat="false" ht="15.75" hidden="false" customHeight="false" outlineLevel="0" collapsed="false">
      <c r="A108" s="0" t="n">
        <f aca="false">C108*-1000</f>
        <v>6.21439729193357</v>
      </c>
      <c r="B108" s="0" t="n">
        <f aca="false">B107-0.01</f>
        <v>0.0283916162729925</v>
      </c>
      <c r="C108" s="0" t="n">
        <f aca="false">-((B108^(-1/$I$7)-1)^(1/$F$7))/$E$7/10000</f>
        <v>-0.00621439729193357</v>
      </c>
      <c r="D108" s="0" t="n">
        <f aca="false">$G$7*B108^$H$7*(1-(1-B108^(1/$I$7))^$I$7)^2</f>
        <v>0.00068002547844871</v>
      </c>
      <c r="E108" s="0" t="n">
        <f aca="false">$D$7+B108*($C$7-$D$7)</f>
        <v>0.0923156680320335</v>
      </c>
      <c r="F108" s="0" t="n">
        <f aca="false">LOG(-C108*10000)</f>
        <v>1.79339901463813</v>
      </c>
      <c r="G108" s="0" t="n">
        <f aca="false">(E108-$D$7)*1000*$J$7</f>
        <v>3.19576032768803</v>
      </c>
      <c r="DL108" s="0" t="s">
        <v>2164</v>
      </c>
    </row>
    <row r="109" customFormat="false" ht="15.75" hidden="false" customHeight="false" outlineLevel="0" collapsed="false">
      <c r="A109" s="0" t="n">
        <f aca="false">C109*-1000</f>
        <v>8.96499785684241</v>
      </c>
      <c r="B109" s="0" t="n">
        <f aca="false">B108-0.01</f>
        <v>0.0183916162729925</v>
      </c>
      <c r="C109" s="0" t="n">
        <f aca="false">-((B109^(-1/$I$7)-1)^(1/$F$7))/$E$7/10000</f>
        <v>-0.00896499785684241</v>
      </c>
      <c r="D109" s="0" t="n">
        <f aca="false">$G$7*B109^$H$7*(1-(1-B109^(1/$I$7))^$I$7)^2</f>
        <v>0.000110395580759919</v>
      </c>
      <c r="E109" s="0" t="n">
        <f aca="false">$D$7+B109*($C$7-$D$7)</f>
        <v>0.0876256680320335</v>
      </c>
      <c r="F109" s="0" t="n">
        <f aca="false">LOG(-C109*10000)</f>
        <v>1.95255019007649</v>
      </c>
      <c r="G109" s="0" t="n">
        <f aca="false">(E109-$D$7)*1000*$J$7</f>
        <v>2.07016032768803</v>
      </c>
      <c r="DL109" s="0" t="n">
        <v>0</v>
      </c>
    </row>
    <row r="110" customFormat="false" ht="15.75" hidden="false" customHeight="false" outlineLevel="0" collapsed="false">
      <c r="A110" s="0" t="n">
        <f aca="false">C110*-1000</f>
        <v>17.3770933862381</v>
      </c>
      <c r="B110" s="0" t="n">
        <f aca="false">B109-0.01</f>
        <v>0.00839161627299247</v>
      </c>
      <c r="C110" s="0" t="n">
        <f aca="false">-((B110^(-1/$I$7)-1)^(1/$F$7))/$E$7/10000</f>
        <v>-0.0173770933862381</v>
      </c>
      <c r="D110" s="0" t="n">
        <f aca="false">$G$7*B110^$H$7*(1-(1-B110^(1/$I$7))^$I$7)^2</f>
        <v>4.13293230768761E-006</v>
      </c>
      <c r="E110" s="0" t="n">
        <f aca="false">$D$7+B110*($C$7-$D$7)</f>
        <v>0.0829356680320335</v>
      </c>
      <c r="F110" s="0" t="n">
        <f aca="false">LOG(-C110*10000)</f>
        <v>2.2399771350652</v>
      </c>
      <c r="G110" s="0" t="n">
        <f aca="false">(E110-$D$7)*1000*$J$7</f>
        <v>0.944560327688031</v>
      </c>
    </row>
    <row r="111" customFormat="false" ht="15.75" hidden="false" customHeight="false" outlineLevel="0" collapsed="false">
      <c r="A111" s="0" t="n">
        <f aca="false">C111*-1000</f>
        <v>104.463690372841</v>
      </c>
      <c r="B111" s="0" t="n">
        <v>0.001</v>
      </c>
      <c r="C111" s="0" t="n">
        <f aca="false">-((B111^(-1/$I$7)-1)^(1/$F$7))/$E$7/10000</f>
        <v>-0.104463690372841</v>
      </c>
      <c r="D111" s="0" t="n">
        <f aca="false">$G$7*B111^$H$7*(1-(1-B111^(1/$I$7))^$I$7)^2</f>
        <v>5.60656443930011E-010</v>
      </c>
      <c r="E111" s="0" t="n">
        <f aca="false">$D$7+B111*($C$7-$D$7)</f>
        <v>0.079469</v>
      </c>
      <c r="F111" s="0" t="n">
        <f aca="false">LOG(-C111*10000)</f>
        <v>3.01896536402684</v>
      </c>
      <c r="G111" s="0" t="n">
        <f aca="false">(E111-$D$7)*1000*$J$7</f>
        <v>0.112559999999999</v>
      </c>
      <c r="DL111" s="0" t="s">
        <v>2215</v>
      </c>
    </row>
    <row r="112" customFormat="false" ht="15.75" hidden="false" customHeight="false" outlineLevel="0" collapsed="false">
      <c r="DL112" s="0" t="n">
        <v>4322</v>
      </c>
    </row>
    <row r="114" customFormat="false" ht="15.75" hidden="false" customHeight="false" outlineLevel="0" collapsed="false">
      <c r="DL114" s="0" t="s">
        <v>2218</v>
      </c>
    </row>
    <row r="115" customFormat="false" ht="15.75" hidden="false" customHeight="false" outlineLevel="0" collapsed="false">
      <c r="DL115" s="0" t="n">
        <v>336</v>
      </c>
    </row>
    <row r="117" customFormat="false" ht="15.75" hidden="false" customHeight="false" outlineLevel="0" collapsed="false">
      <c r="DL117" s="0" t="s">
        <v>2221</v>
      </c>
    </row>
    <row r="118" customFormat="false" ht="15.75" hidden="false" customHeight="false" outlineLevel="0" collapsed="false">
      <c r="DL118" s="0" t="n">
        <v>11701</v>
      </c>
    </row>
    <row r="120" customFormat="false" ht="15.75" hidden="false" customHeight="false" outlineLevel="0" collapsed="false">
      <c r="DL120" s="0" t="s">
        <v>2223</v>
      </c>
    </row>
    <row r="121" customFormat="false" ht="15.75" hidden="false" customHeight="false" outlineLevel="0" collapsed="false">
      <c r="DL121" s="0" t="n">
        <v>1454</v>
      </c>
    </row>
    <row r="123" customFormat="false" ht="15.75" hidden="false" customHeight="false" outlineLevel="0" collapsed="false">
      <c r="DL123" s="0" t="s">
        <v>2226</v>
      </c>
    </row>
    <row r="124" customFormat="false" ht="15.75" hidden="false" customHeight="false" outlineLevel="0" collapsed="false">
      <c r="DL124" s="0" t="n">
        <v>85760</v>
      </c>
    </row>
    <row r="126" customFormat="false" ht="15.75" hidden="false" customHeight="false" outlineLevel="0" collapsed="false">
      <c r="DL126" s="0" t="s">
        <v>2227</v>
      </c>
    </row>
    <row r="127" customFormat="false" ht="15.75" hidden="false" customHeight="false" outlineLevel="0" collapsed="false">
      <c r="DL127" s="0" t="n">
        <v>-50000</v>
      </c>
    </row>
    <row r="129" customFormat="false" ht="15.75" hidden="false" customHeight="false" outlineLevel="0" collapsed="false">
      <c r="DL129" s="0" t="s">
        <v>2164</v>
      </c>
    </row>
    <row r="130" customFormat="false" ht="15.75" hidden="false" customHeight="false" outlineLevel="0" collapsed="false">
      <c r="DL130" s="0" t="n">
        <v>0</v>
      </c>
    </row>
    <row r="132" customFormat="false" ht="15.75" hidden="false" customHeight="false" outlineLevel="0" collapsed="false">
      <c r="DL132" s="0" t="s">
        <v>2215</v>
      </c>
    </row>
    <row r="133" customFormat="false" ht="15.75" hidden="false" customHeight="false" outlineLevel="0" collapsed="false">
      <c r="DL133" s="0" t="n">
        <v>3839</v>
      </c>
    </row>
    <row r="135" customFormat="false" ht="15.75" hidden="false" customHeight="false" outlineLevel="0" collapsed="false">
      <c r="DL135" s="0" t="s">
        <v>2218</v>
      </c>
    </row>
    <row r="136" customFormat="false" ht="15.75" hidden="false" customHeight="false" outlineLevel="0" collapsed="false">
      <c r="DL136" s="0" t="n">
        <v>717</v>
      </c>
    </row>
    <row r="138" customFormat="false" ht="15.75" hidden="false" customHeight="false" outlineLevel="0" collapsed="false">
      <c r="DL138" s="0" t="s">
        <v>2221</v>
      </c>
    </row>
    <row r="139" customFormat="false" ht="15.75" hidden="false" customHeight="false" outlineLevel="0" collapsed="false">
      <c r="DL139" s="0" t="n">
        <v>11206</v>
      </c>
    </row>
    <row r="141" customFormat="false" ht="15.75" hidden="false" customHeight="false" outlineLevel="0" collapsed="false">
      <c r="DL141" s="0" t="s">
        <v>2223</v>
      </c>
    </row>
    <row r="142" customFormat="false" ht="15.75" hidden="false" customHeight="false" outlineLevel="0" collapsed="false">
      <c r="DL142" s="0" t="n">
        <v>1076</v>
      </c>
    </row>
    <row r="144" customFormat="false" ht="15.75" hidden="false" customHeight="false" outlineLevel="0" collapsed="false">
      <c r="DL144" s="0" t="s">
        <v>2226</v>
      </c>
    </row>
    <row r="145" customFormat="false" ht="15.75" hidden="false" customHeight="false" outlineLevel="0" collapsed="false">
      <c r="DL145" s="0" t="n">
        <v>370893</v>
      </c>
    </row>
    <row r="147" customFormat="false" ht="15.75" hidden="false" customHeight="false" outlineLevel="0" collapsed="false">
      <c r="DL147" s="0" t="s">
        <v>2227</v>
      </c>
    </row>
    <row r="148" customFormat="false" ht="15.75" hidden="false" customHeight="false" outlineLevel="0" collapsed="false">
      <c r="DL148" s="0" t="n">
        <v>-50000</v>
      </c>
    </row>
    <row r="150" customFormat="false" ht="15.75" hidden="false" customHeight="false" outlineLevel="0" collapsed="false">
      <c r="DL150" s="0" t="s">
        <v>2164</v>
      </c>
    </row>
    <row r="151" customFormat="false" ht="15.75" hidden="false" customHeight="false" outlineLevel="0" collapsed="false">
      <c r="DL151" s="0" t="n">
        <v>0</v>
      </c>
    </row>
    <row r="153" customFormat="false" ht="15.75" hidden="false" customHeight="false" outlineLevel="0" collapsed="false">
      <c r="DL153" s="0" t="s">
        <v>2215</v>
      </c>
    </row>
    <row r="154" customFormat="false" ht="15.75" hidden="false" customHeight="false" outlineLevel="0" collapsed="false">
      <c r="DL154" s="0" t="n">
        <v>4322</v>
      </c>
    </row>
    <row r="156" customFormat="false" ht="15.75" hidden="false" customHeight="false" outlineLevel="0" collapsed="false">
      <c r="DL156" s="0" t="s">
        <v>2218</v>
      </c>
    </row>
    <row r="157" customFormat="false" ht="15.75" hidden="false" customHeight="false" outlineLevel="0" collapsed="false">
      <c r="DL157" s="0" t="n">
        <v>336</v>
      </c>
    </row>
    <row r="159" customFormat="false" ht="15.75" hidden="false" customHeight="false" outlineLevel="0" collapsed="false">
      <c r="DL159" s="0" t="s">
        <v>2221</v>
      </c>
    </row>
    <row r="160" customFormat="false" ht="15.75" hidden="false" customHeight="false" outlineLevel="0" collapsed="false">
      <c r="DL160" s="0" t="n">
        <v>11701</v>
      </c>
    </row>
    <row r="162" customFormat="false" ht="15.75" hidden="false" customHeight="false" outlineLevel="0" collapsed="false">
      <c r="DL162" s="0" t="s">
        <v>2223</v>
      </c>
    </row>
    <row r="163" customFormat="false" ht="15.75" hidden="false" customHeight="false" outlineLevel="0" collapsed="false">
      <c r="DL163" s="0" t="n">
        <v>1454</v>
      </c>
    </row>
    <row r="165" customFormat="false" ht="15.75" hidden="false" customHeight="false" outlineLevel="0" collapsed="false">
      <c r="DL165" s="0" t="s">
        <v>2226</v>
      </c>
    </row>
    <row r="166" customFormat="false" ht="15.75" hidden="false" customHeight="false" outlineLevel="0" collapsed="false">
      <c r="DL166" s="0" t="n">
        <v>85760</v>
      </c>
    </row>
    <row r="168" customFormat="false" ht="15.75" hidden="false" customHeight="false" outlineLevel="0" collapsed="false">
      <c r="DL168" s="0" t="s">
        <v>2227</v>
      </c>
    </row>
    <row r="169" customFormat="false" ht="15.75" hidden="false" customHeight="false" outlineLevel="0" collapsed="false">
      <c r="DL169" s="0" t="n">
        <v>-50000</v>
      </c>
    </row>
    <row r="171" customFormat="false" ht="15.75" hidden="false" customHeight="false" outlineLevel="0" collapsed="false">
      <c r="DL171" s="0" t="s">
        <v>2164</v>
      </c>
    </row>
    <row r="172" customFormat="false" ht="15.75" hidden="false" customHeight="false" outlineLevel="0" collapsed="false">
      <c r="DL172" s="0" t="n">
        <v>2768</v>
      </c>
    </row>
    <row r="174" customFormat="false" ht="15.75" hidden="false" customHeight="false" outlineLevel="0" collapsed="false">
      <c r="DL174" s="0" t="s">
        <v>2164</v>
      </c>
    </row>
    <row r="175" customFormat="false" ht="15.75" hidden="false" customHeight="false" outlineLevel="0" collapsed="false">
      <c r="DL175" s="0" t="n">
        <v>2768</v>
      </c>
    </row>
    <row r="177" customFormat="false" ht="15.75" hidden="false" customHeight="false" outlineLevel="0" collapsed="false">
      <c r="DL177" s="0" t="s">
        <v>2164</v>
      </c>
    </row>
    <row r="178" customFormat="false" ht="15.75" hidden="false" customHeight="false" outlineLevel="0" collapsed="false">
      <c r="DL178" s="0" t="n">
        <v>5289</v>
      </c>
    </row>
    <row r="180" customFormat="false" ht="15.75" hidden="false" customHeight="false" outlineLevel="0" collapsed="false">
      <c r="DL180" s="0" t="s">
        <v>2164</v>
      </c>
    </row>
    <row r="181" customFormat="false" ht="15.75" hidden="false" customHeight="false" outlineLevel="0" collapsed="false">
      <c r="DL181" s="0" t="n">
        <v>6623</v>
      </c>
    </row>
    <row r="183" customFormat="false" ht="15.75" hidden="false" customHeight="false" outlineLevel="0" collapsed="false">
      <c r="DL183" s="0" t="s">
        <v>2164</v>
      </c>
    </row>
    <row r="184" customFormat="false" ht="15.75" hidden="false" customHeight="false" outlineLevel="0" collapsed="false">
      <c r="DL184" s="0" t="n">
        <v>3408</v>
      </c>
    </row>
    <row r="186" customFormat="false" ht="15.75" hidden="false" customHeight="false" outlineLevel="0" collapsed="false">
      <c r="DL186" s="0" t="s">
        <v>2164</v>
      </c>
    </row>
    <row r="187" customFormat="false" ht="15.75" hidden="false" customHeight="false" outlineLevel="0" collapsed="false">
      <c r="DL187" s="0" t="n">
        <v>3408</v>
      </c>
    </row>
    <row r="189" customFormat="false" ht="15.75" hidden="false" customHeight="false" outlineLevel="0" collapsed="false">
      <c r="DL189" s="0" t="s">
        <v>2164</v>
      </c>
    </row>
    <row r="190" customFormat="false" ht="15.75" hidden="false" customHeight="false" outlineLevel="0" collapsed="false">
      <c r="DL190" s="0" t="n">
        <v>3408</v>
      </c>
    </row>
    <row r="192" customFormat="false" ht="15.75" hidden="false" customHeight="false" outlineLevel="0" collapsed="false">
      <c r="DL192" s="0" t="s">
        <v>2164</v>
      </c>
    </row>
    <row r="193" customFormat="false" ht="15.75" hidden="false" customHeight="false" outlineLevel="0" collapsed="false">
      <c r="DL193" s="0" t="n">
        <v>407</v>
      </c>
    </row>
    <row r="195" customFormat="false" ht="15.75" hidden="false" customHeight="false" outlineLevel="0" collapsed="false">
      <c r="DL195" s="0" t="s">
        <v>2215</v>
      </c>
    </row>
    <row r="196" customFormat="false" ht="15.75" hidden="false" customHeight="false" outlineLevel="0" collapsed="false">
      <c r="DL196" s="0" t="n">
        <v>4538</v>
      </c>
    </row>
    <row r="198" customFormat="false" ht="15.75" hidden="false" customHeight="false" outlineLevel="0" collapsed="false">
      <c r="DL198" s="0" t="s">
        <v>2218</v>
      </c>
    </row>
    <row r="199" customFormat="false" ht="15.75" hidden="false" customHeight="false" outlineLevel="0" collapsed="false">
      <c r="DL199" s="0" t="n">
        <v>155</v>
      </c>
    </row>
    <row r="201" customFormat="false" ht="15.75" hidden="false" customHeight="false" outlineLevel="0" collapsed="false">
      <c r="DL201" s="0" t="s">
        <v>2221</v>
      </c>
    </row>
    <row r="202" customFormat="false" ht="15.75" hidden="false" customHeight="false" outlineLevel="0" collapsed="false">
      <c r="DL202" s="0" t="n">
        <v>12291</v>
      </c>
    </row>
    <row r="204" customFormat="false" ht="15.75" hidden="false" customHeight="false" outlineLevel="0" collapsed="false">
      <c r="DL204" s="0" t="s">
        <v>2223</v>
      </c>
    </row>
    <row r="205" customFormat="false" ht="15.75" hidden="false" customHeight="false" outlineLevel="0" collapsed="false">
      <c r="DL205" s="0" t="n">
        <v>1864</v>
      </c>
    </row>
    <row r="207" customFormat="false" ht="15.75" hidden="false" customHeight="false" outlineLevel="0" collapsed="false">
      <c r="DL207" s="0" t="s">
        <v>2164</v>
      </c>
    </row>
    <row r="208" customFormat="false" ht="15.75" hidden="false" customHeight="false" outlineLevel="0" collapsed="false">
      <c r="DL208" s="0" t="n">
        <v>407</v>
      </c>
    </row>
    <row r="210" customFormat="false" ht="15.75" hidden="false" customHeight="false" outlineLevel="0" collapsed="false">
      <c r="DL210" s="0" t="s">
        <v>2215</v>
      </c>
    </row>
    <row r="211" customFormat="false" ht="15.75" hidden="false" customHeight="false" outlineLevel="0" collapsed="false">
      <c r="DL211" s="0" t="n">
        <v>4526</v>
      </c>
    </row>
    <row r="213" customFormat="false" ht="15.75" hidden="false" customHeight="false" outlineLevel="0" collapsed="false">
      <c r="DL213" s="0" t="s">
        <v>2218</v>
      </c>
    </row>
    <row r="214" customFormat="false" ht="15.75" hidden="false" customHeight="false" outlineLevel="0" collapsed="false">
      <c r="DL214" s="0" t="n">
        <v>172</v>
      </c>
    </row>
    <row r="216" customFormat="false" ht="15.75" hidden="false" customHeight="false" outlineLevel="0" collapsed="false">
      <c r="DL216" s="0" t="s">
        <v>2221</v>
      </c>
    </row>
    <row r="217" customFormat="false" ht="15.75" hidden="false" customHeight="false" outlineLevel="0" collapsed="false">
      <c r="DL217" s="0" t="n">
        <v>12495</v>
      </c>
    </row>
    <row r="219" customFormat="false" ht="15.75" hidden="false" customHeight="false" outlineLevel="0" collapsed="false">
      <c r="DL219" s="0" t="s">
        <v>2223</v>
      </c>
    </row>
    <row r="220" customFormat="false" ht="15.75" hidden="false" customHeight="false" outlineLevel="0" collapsed="false">
      <c r="DL220" s="0" t="n">
        <v>1997</v>
      </c>
    </row>
    <row r="222" customFormat="false" ht="15.75" hidden="false" customHeight="false" outlineLevel="0" collapsed="false">
      <c r="DL222" s="0" t="s">
        <v>2164</v>
      </c>
    </row>
    <row r="223" customFormat="false" ht="15.75" hidden="false" customHeight="false" outlineLevel="0" collapsed="false">
      <c r="DL223" s="0" t="n">
        <v>407</v>
      </c>
    </row>
    <row r="225" customFormat="false" ht="15.75" hidden="false" customHeight="false" outlineLevel="0" collapsed="false">
      <c r="DL225" s="0" t="s">
        <v>2215</v>
      </c>
    </row>
    <row r="226" customFormat="false" ht="15.75" hidden="false" customHeight="false" outlineLevel="0" collapsed="false">
      <c r="DL226" s="0" t="n">
        <v>4381</v>
      </c>
    </row>
    <row r="228" customFormat="false" ht="15.75" hidden="false" customHeight="false" outlineLevel="0" collapsed="false">
      <c r="DL228" s="0" t="s">
        <v>2218</v>
      </c>
    </row>
    <row r="229" customFormat="false" ht="15.75" hidden="false" customHeight="false" outlineLevel="0" collapsed="false">
      <c r="DL229" s="0" t="n">
        <v>177</v>
      </c>
    </row>
    <row r="231" customFormat="false" ht="15.75" hidden="false" customHeight="false" outlineLevel="0" collapsed="false">
      <c r="DL231" s="0" t="s">
        <v>2221</v>
      </c>
    </row>
    <row r="232" customFormat="false" ht="15.75" hidden="false" customHeight="false" outlineLevel="0" collapsed="false">
      <c r="DL232" s="0" t="n">
        <v>12473</v>
      </c>
    </row>
    <row r="234" customFormat="false" ht="15.75" hidden="false" customHeight="false" outlineLevel="0" collapsed="false">
      <c r="DL234" s="0" t="s">
        <v>2223</v>
      </c>
    </row>
    <row r="235" customFormat="false" ht="15.75" hidden="false" customHeight="false" outlineLevel="0" collapsed="false">
      <c r="DL235" s="0" t="n">
        <v>1983</v>
      </c>
    </row>
    <row r="237" customFormat="false" ht="15.75" hidden="false" customHeight="false" outlineLevel="0" collapsed="false">
      <c r="DL237" s="0" t="s">
        <v>2164</v>
      </c>
    </row>
    <row r="238" customFormat="false" ht="15.75" hidden="false" customHeight="false" outlineLevel="0" collapsed="false">
      <c r="DL238" s="0" t="n">
        <v>407</v>
      </c>
    </row>
    <row r="240" customFormat="false" ht="15.75" hidden="false" customHeight="false" outlineLevel="0" collapsed="false">
      <c r="DL240" s="0" t="s">
        <v>2215</v>
      </c>
    </row>
    <row r="241" customFormat="false" ht="15.75" hidden="false" customHeight="false" outlineLevel="0" collapsed="false">
      <c r="DL241" s="0" t="n">
        <v>4320</v>
      </c>
    </row>
    <row r="243" customFormat="false" ht="15.75" hidden="false" customHeight="false" outlineLevel="0" collapsed="false">
      <c r="DL243" s="0" t="s">
        <v>2218</v>
      </c>
    </row>
    <row r="244" customFormat="false" ht="15.75" hidden="false" customHeight="false" outlineLevel="0" collapsed="false">
      <c r="DL244" s="0" t="n">
        <v>199</v>
      </c>
    </row>
    <row r="246" customFormat="false" ht="15.75" hidden="false" customHeight="false" outlineLevel="0" collapsed="false">
      <c r="DL246" s="0" t="s">
        <v>2221</v>
      </c>
    </row>
    <row r="247" customFormat="false" ht="15.75" hidden="false" customHeight="false" outlineLevel="0" collapsed="false">
      <c r="DL247" s="0" t="n">
        <v>12524</v>
      </c>
    </row>
    <row r="249" customFormat="false" ht="15.75" hidden="false" customHeight="false" outlineLevel="0" collapsed="false">
      <c r="DL249" s="0" t="s">
        <v>2223</v>
      </c>
    </row>
    <row r="250" customFormat="false" ht="15.75" hidden="false" customHeight="false" outlineLevel="0" collapsed="false">
      <c r="DL250" s="0" t="n">
        <v>2015</v>
      </c>
    </row>
    <row r="252" customFormat="false" ht="15.75" hidden="false" customHeight="false" outlineLevel="0" collapsed="false">
      <c r="DL252" s="0" t="s">
        <v>2164</v>
      </c>
    </row>
    <row r="253" customFormat="false" ht="15.75" hidden="false" customHeight="false" outlineLevel="0" collapsed="false">
      <c r="DL253" s="0" t="n">
        <v>407</v>
      </c>
    </row>
    <row r="255" customFormat="false" ht="15.75" hidden="false" customHeight="false" outlineLevel="0" collapsed="false">
      <c r="DL255" s="0" t="s">
        <v>2215</v>
      </c>
    </row>
    <row r="256" customFormat="false" ht="15.75" hidden="false" customHeight="false" outlineLevel="0" collapsed="false">
      <c r="DL256" s="0" t="n">
        <v>4318</v>
      </c>
    </row>
    <row r="258" customFormat="false" ht="15.75" hidden="false" customHeight="false" outlineLevel="0" collapsed="false">
      <c r="DL258" s="0" t="s">
        <v>2218</v>
      </c>
    </row>
    <row r="259" customFormat="false" ht="15.75" hidden="false" customHeight="false" outlineLevel="0" collapsed="false">
      <c r="DL259" s="0" t="n">
        <v>180</v>
      </c>
    </row>
    <row r="261" customFormat="false" ht="15.75" hidden="false" customHeight="false" outlineLevel="0" collapsed="false">
      <c r="DL261" s="0" t="s">
        <v>2221</v>
      </c>
    </row>
    <row r="262" customFormat="false" ht="15.75" hidden="false" customHeight="false" outlineLevel="0" collapsed="false">
      <c r="DL262" s="0" t="n">
        <v>12606</v>
      </c>
    </row>
    <row r="264" customFormat="false" ht="15.75" hidden="false" customHeight="false" outlineLevel="0" collapsed="false">
      <c r="DL264" s="0" t="s">
        <v>2223</v>
      </c>
    </row>
    <row r="265" customFormat="false" ht="15.75" hidden="false" customHeight="false" outlineLevel="0" collapsed="false">
      <c r="DL265" s="0" t="n">
        <v>2067</v>
      </c>
    </row>
    <row r="267" customFormat="false" ht="15.75" hidden="false" customHeight="false" outlineLevel="0" collapsed="false">
      <c r="DL267" s="0" t="s">
        <v>2164</v>
      </c>
    </row>
    <row r="268" customFormat="false" ht="15.75" hidden="false" customHeight="false" outlineLevel="0" collapsed="false">
      <c r="DL268" s="0" t="n">
        <v>407</v>
      </c>
    </row>
    <row r="270" customFormat="false" ht="15.75" hidden="false" customHeight="false" outlineLevel="0" collapsed="false">
      <c r="DL270" s="0" t="s">
        <v>2215</v>
      </c>
    </row>
    <row r="271" customFormat="false" ht="15.75" hidden="false" customHeight="false" outlineLevel="0" collapsed="false">
      <c r="DL271" s="0" t="n">
        <v>4248</v>
      </c>
    </row>
    <row r="273" customFormat="false" ht="15.75" hidden="false" customHeight="false" outlineLevel="0" collapsed="false">
      <c r="DL273" s="0" t="s">
        <v>2218</v>
      </c>
    </row>
    <row r="274" customFormat="false" ht="15.75" hidden="false" customHeight="false" outlineLevel="0" collapsed="false">
      <c r="DL274" s="0" t="n">
        <v>187</v>
      </c>
    </row>
    <row r="276" customFormat="false" ht="15.75" hidden="false" customHeight="false" outlineLevel="0" collapsed="false">
      <c r="DL276" s="0" t="s">
        <v>2221</v>
      </c>
    </row>
    <row r="277" customFormat="false" ht="15.75" hidden="false" customHeight="false" outlineLevel="0" collapsed="false">
      <c r="DL277" s="0" t="n">
        <v>12617</v>
      </c>
    </row>
    <row r="279" customFormat="false" ht="15.75" hidden="false" customHeight="false" outlineLevel="0" collapsed="false">
      <c r="DL279" s="0" t="s">
        <v>2223</v>
      </c>
    </row>
    <row r="280" customFormat="false" ht="15.75" hidden="false" customHeight="false" outlineLevel="0" collapsed="false">
      <c r="DL280" s="0" t="n">
        <v>2074</v>
      </c>
    </row>
    <row r="282" customFormat="false" ht="15.75" hidden="false" customHeight="false" outlineLevel="0" collapsed="false">
      <c r="DL282" s="0" t="s">
        <v>2164</v>
      </c>
    </row>
    <row r="283" customFormat="false" ht="15.75" hidden="false" customHeight="false" outlineLevel="0" collapsed="false">
      <c r="DL283" s="0" t="n">
        <v>407</v>
      </c>
    </row>
    <row r="285" customFormat="false" ht="15.75" hidden="false" customHeight="false" outlineLevel="0" collapsed="false">
      <c r="DL285" s="0" t="s">
        <v>2215</v>
      </c>
    </row>
    <row r="286" customFormat="false" ht="15.75" hidden="false" customHeight="false" outlineLevel="0" collapsed="false">
      <c r="DL286" s="0" t="n">
        <v>4233</v>
      </c>
    </row>
    <row r="288" customFormat="false" ht="15.75" hidden="false" customHeight="false" outlineLevel="0" collapsed="false">
      <c r="DL288" s="0" t="s">
        <v>2218</v>
      </c>
    </row>
    <row r="289" customFormat="false" ht="15.75" hidden="false" customHeight="false" outlineLevel="0" collapsed="false">
      <c r="DL289" s="0" t="n">
        <v>210</v>
      </c>
    </row>
    <row r="291" customFormat="false" ht="15.75" hidden="false" customHeight="false" outlineLevel="0" collapsed="false">
      <c r="DL291" s="0" t="s">
        <v>2221</v>
      </c>
    </row>
    <row r="292" customFormat="false" ht="15.75" hidden="false" customHeight="false" outlineLevel="0" collapsed="false">
      <c r="DL292" s="0" t="n">
        <v>12783</v>
      </c>
    </row>
    <row r="294" customFormat="false" ht="15.75" hidden="false" customHeight="false" outlineLevel="0" collapsed="false">
      <c r="DL294" s="0" t="s">
        <v>2223</v>
      </c>
    </row>
    <row r="295" customFormat="false" ht="15.75" hidden="false" customHeight="false" outlineLevel="0" collapsed="false">
      <c r="DL295" s="0" t="n">
        <v>2177</v>
      </c>
    </row>
    <row r="297" customFormat="false" ht="15.75" hidden="false" customHeight="false" outlineLevel="0" collapsed="false">
      <c r="DL297" s="0" t="s">
        <v>2164</v>
      </c>
    </row>
    <row r="298" customFormat="false" ht="15.75" hidden="false" customHeight="false" outlineLevel="0" collapsed="false">
      <c r="DL298" s="0" t="n">
        <v>48</v>
      </c>
    </row>
    <row r="300" customFormat="false" ht="15.75" hidden="false" customHeight="false" outlineLevel="0" collapsed="false">
      <c r="DL300" s="0" t="s">
        <v>2164</v>
      </c>
    </row>
    <row r="301" customFormat="false" ht="15.75" hidden="false" customHeight="false" outlineLevel="0" collapsed="false">
      <c r="DL301" s="0" t="n">
        <v>48</v>
      </c>
    </row>
    <row r="303" customFormat="false" ht="15.75" hidden="false" customHeight="false" outlineLevel="0" collapsed="false">
      <c r="DL303" s="0" t="s">
        <v>2164</v>
      </c>
    </row>
    <row r="304" customFormat="false" ht="15.75" hidden="false" customHeight="false" outlineLevel="0" collapsed="false">
      <c r="DL304" s="0" t="n">
        <v>46</v>
      </c>
    </row>
    <row r="306" customFormat="false" ht="15.75" hidden="false" customHeight="false" outlineLevel="0" collapsed="false">
      <c r="DL306" s="0" t="s">
        <v>2164</v>
      </c>
    </row>
    <row r="307" customFormat="false" ht="15.75" hidden="false" customHeight="false" outlineLevel="0" collapsed="false">
      <c r="DL307" s="0" t="n">
        <v>46</v>
      </c>
    </row>
    <row r="309" customFormat="false" ht="15.75" hidden="false" customHeight="false" outlineLevel="0" collapsed="false">
      <c r="DL309" s="0" t="s">
        <v>2164</v>
      </c>
    </row>
    <row r="310" customFormat="false" ht="15.75" hidden="false" customHeight="false" outlineLevel="0" collapsed="false">
      <c r="DL310" s="0" t="n">
        <v>45</v>
      </c>
    </row>
    <row r="312" customFormat="false" ht="15.75" hidden="false" customHeight="false" outlineLevel="0" collapsed="false">
      <c r="DL312" s="0" t="s">
        <v>2164</v>
      </c>
    </row>
    <row r="313" customFormat="false" ht="15.75" hidden="false" customHeight="false" outlineLevel="0" collapsed="false">
      <c r="DL313" s="0" t="n">
        <v>44</v>
      </c>
    </row>
    <row r="315" customFormat="false" ht="15.75" hidden="false" customHeight="false" outlineLevel="0" collapsed="false">
      <c r="DL315" s="0" t="s">
        <v>2164</v>
      </c>
    </row>
    <row r="316" customFormat="false" ht="15.75" hidden="false" customHeight="false" outlineLevel="0" collapsed="false">
      <c r="DL316" s="0" t="n">
        <v>44</v>
      </c>
    </row>
    <row r="318" customFormat="false" ht="15.75" hidden="false" customHeight="false" outlineLevel="0" collapsed="false">
      <c r="DL318" s="0" t="s">
        <v>2164</v>
      </c>
    </row>
    <row r="319" customFormat="false" ht="15.75" hidden="false" customHeight="false" outlineLevel="0" collapsed="false">
      <c r="DL319" s="0" t="n">
        <v>14</v>
      </c>
    </row>
    <row r="321" customFormat="false" ht="15.75" hidden="false" customHeight="false" outlineLevel="0" collapsed="false">
      <c r="DL321" s="0" t="s">
        <v>2164</v>
      </c>
    </row>
    <row r="322" customFormat="false" ht="15.75" hidden="false" customHeight="false" outlineLevel="0" collapsed="false">
      <c r="DL322" s="0" t="n">
        <v>14</v>
      </c>
    </row>
    <row r="324" customFormat="false" ht="15.75" hidden="false" customHeight="false" outlineLevel="0" collapsed="false">
      <c r="DL324" s="0" t="s">
        <v>2164</v>
      </c>
    </row>
    <row r="325" customFormat="false" ht="15.75" hidden="false" customHeight="false" outlineLevel="0" collapsed="false">
      <c r="DL325" s="0" t="n">
        <v>14</v>
      </c>
    </row>
    <row r="327" customFormat="false" ht="15.75" hidden="false" customHeight="false" outlineLevel="0" collapsed="false">
      <c r="DL327" s="0" t="s">
        <v>2164</v>
      </c>
    </row>
    <row r="328" customFormat="false" ht="15.75" hidden="false" customHeight="false" outlineLevel="0" collapsed="false">
      <c r="DL328" s="0" t="n">
        <v>14</v>
      </c>
    </row>
    <row r="330" customFormat="false" ht="15.75" hidden="false" customHeight="false" outlineLevel="0" collapsed="false">
      <c r="DL330" s="0" t="s">
        <v>2164</v>
      </c>
    </row>
    <row r="331" customFormat="false" ht="15.75" hidden="false" customHeight="false" outlineLevel="0" collapsed="false">
      <c r="DL331" s="0" t="n">
        <v>15</v>
      </c>
    </row>
    <row r="333" customFormat="false" ht="15.75" hidden="false" customHeight="false" outlineLevel="0" collapsed="false">
      <c r="DL333" s="0" t="s">
        <v>2164</v>
      </c>
    </row>
    <row r="334" customFormat="false" ht="15.75" hidden="false" customHeight="false" outlineLevel="0" collapsed="false">
      <c r="DL334" s="0" t="n">
        <v>15</v>
      </c>
    </row>
    <row r="336" customFormat="false" ht="15.75" hidden="false" customHeight="false" outlineLevel="0" collapsed="false">
      <c r="DL336" s="0" t="s">
        <v>2164</v>
      </c>
    </row>
    <row r="337" customFormat="false" ht="15.75" hidden="false" customHeight="false" outlineLevel="0" collapsed="false">
      <c r="DL337" s="0" t="n">
        <v>15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N233"/>
  <sheetViews>
    <sheetView showFormulas="false" showGridLines="true" showRowColHeaders="true" showZeros="true" rightToLeft="false" tabSelected="false" showOutlineSymbols="true" defaultGridColor="true" view="normal" topLeftCell="A119" colorId="64" zoomScale="150" zoomScaleNormal="150" zoomScalePageLayoutView="100" workbookViewId="0">
      <selection pane="topLeft" activeCell="F15" activeCellId="0" sqref="F15"/>
    </sheetView>
  </sheetViews>
  <sheetFormatPr defaultColWidth="10.5" defaultRowHeight="15.75" zeroHeight="false" outlineLevelRow="0" outlineLevelCol="0"/>
  <cols>
    <col collapsed="false" customWidth="true" hidden="false" outlineLevel="0" max="1" min="1" style="0" width="20"/>
    <col collapsed="false" customWidth="true" hidden="false" outlineLevel="0" max="2" min="2" style="0" width="17"/>
    <col collapsed="false" customWidth="true" hidden="false" outlineLevel="0" max="3" min="3" style="0" width="16.67"/>
    <col collapsed="false" customWidth="true" hidden="false" outlineLevel="0" max="4" min="4" style="0" width="14"/>
    <col collapsed="false" customWidth="true" hidden="false" outlineLevel="0" max="6" min="6" style="0" width="19.33"/>
  </cols>
  <sheetData>
    <row r="1" customFormat="false" ht="15.75" hidden="false" customHeight="false" outlineLevel="0" collapsed="false">
      <c r="A1" s="0" t="s">
        <v>937</v>
      </c>
      <c r="B1" s="0" t="s">
        <v>938</v>
      </c>
    </row>
    <row r="2" customFormat="false" ht="15.75" hidden="false" customHeight="false" outlineLevel="0" collapsed="false">
      <c r="A2" s="0" t="s">
        <v>939</v>
      </c>
    </row>
    <row r="3" customFormat="false" ht="15.75" hidden="false" customHeight="false" outlineLevel="0" collapsed="false">
      <c r="A3" s="0" t="s">
        <v>940</v>
      </c>
    </row>
    <row r="4" customFormat="false" ht="15.75" hidden="false" customHeight="false" outlineLevel="0" collapsed="false">
      <c r="A4" s="0" t="s">
        <v>941</v>
      </c>
    </row>
    <row r="5" customFormat="false" ht="21" hidden="false" customHeight="false" outlineLevel="0" collapsed="false">
      <c r="A5" s="428" t="s">
        <v>942</v>
      </c>
      <c r="B5" s="428" t="s">
        <v>943</v>
      </c>
      <c r="C5" s="428" t="s">
        <v>944</v>
      </c>
      <c r="D5" s="428" t="s">
        <v>945</v>
      </c>
      <c r="F5" s="429"/>
      <c r="G5" s="429"/>
      <c r="H5" s="429"/>
      <c r="I5" s="429"/>
      <c r="J5" s="429"/>
      <c r="K5" s="429"/>
      <c r="L5" s="429"/>
      <c r="M5" s="429"/>
      <c r="N5" s="429"/>
      <c r="O5" s="429"/>
      <c r="P5" s="429"/>
      <c r="Q5" s="429"/>
      <c r="R5" s="429"/>
      <c r="S5" s="429"/>
      <c r="T5" s="429"/>
      <c r="U5" s="429"/>
      <c r="V5" s="429"/>
      <c r="W5" s="429"/>
      <c r="X5" s="429"/>
      <c r="Y5" s="429"/>
      <c r="Z5" s="429"/>
      <c r="AA5" s="429"/>
      <c r="AB5" s="429"/>
      <c r="AC5" s="429"/>
      <c r="AD5" s="429"/>
      <c r="AE5" s="429"/>
      <c r="AF5" s="429"/>
      <c r="AG5" s="429"/>
      <c r="AH5" s="429"/>
      <c r="AI5" s="429"/>
      <c r="AJ5" s="429"/>
      <c r="AK5" s="429"/>
      <c r="AL5" s="429"/>
      <c r="AM5" s="429"/>
      <c r="AN5" s="429"/>
      <c r="AO5" s="429"/>
      <c r="AP5" s="429"/>
      <c r="AQ5" s="429"/>
      <c r="AR5" s="429"/>
      <c r="AS5" s="429"/>
      <c r="AT5" s="429"/>
      <c r="AU5" s="429"/>
      <c r="AV5" s="429"/>
      <c r="AW5" s="429"/>
      <c r="AX5" s="429"/>
      <c r="AY5" s="429"/>
      <c r="AZ5" s="429"/>
      <c r="BA5" s="429"/>
      <c r="BB5" s="429"/>
      <c r="BC5" s="429"/>
      <c r="BD5" s="429"/>
      <c r="BE5" s="429"/>
      <c r="BF5" s="429"/>
      <c r="BG5" s="429"/>
      <c r="BH5" s="429"/>
      <c r="BI5" s="429"/>
      <c r="BJ5" s="429"/>
      <c r="BK5" s="429"/>
      <c r="BL5" s="429"/>
      <c r="BM5" s="9"/>
      <c r="BN5" s="9"/>
      <c r="BO5" s="9"/>
      <c r="BP5" s="9"/>
      <c r="BQ5" s="9"/>
      <c r="BR5" s="9"/>
      <c r="BS5" s="9"/>
      <c r="BT5" s="9"/>
      <c r="BU5" s="9"/>
      <c r="BV5" s="9"/>
      <c r="BW5" s="9"/>
      <c r="BX5" s="9"/>
      <c r="BY5" s="9"/>
      <c r="BZ5" s="430"/>
      <c r="CA5" s="430"/>
      <c r="CB5" s="430"/>
      <c r="CC5" s="430"/>
      <c r="CD5" s="430"/>
      <c r="CE5" s="430"/>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row>
    <row r="6" customFormat="false" ht="15.75" hidden="false" customHeight="false" outlineLevel="0" collapsed="false">
      <c r="A6" s="406" t="s">
        <v>672</v>
      </c>
      <c r="B6" s="427" t="n">
        <v>1</v>
      </c>
      <c r="C6" s="431" t="n">
        <v>1</v>
      </c>
      <c r="D6" s="432" t="n">
        <v>1</v>
      </c>
      <c r="F6" s="178"/>
      <c r="G6" s="178"/>
      <c r="H6" s="433"/>
      <c r="I6" s="178"/>
      <c r="J6" s="433"/>
      <c r="K6" s="433"/>
      <c r="L6" s="434"/>
      <c r="M6" s="178"/>
      <c r="N6" s="178"/>
      <c r="O6" s="178"/>
      <c r="P6" s="178"/>
      <c r="Q6" s="178"/>
      <c r="R6" s="178"/>
      <c r="S6" s="178"/>
      <c r="T6" s="178"/>
      <c r="U6" s="435"/>
      <c r="V6" s="178"/>
      <c r="W6" s="435"/>
      <c r="X6" s="178"/>
      <c r="Y6" s="178"/>
      <c r="Z6" s="178"/>
      <c r="AA6" s="178"/>
      <c r="AB6" s="178"/>
      <c r="AC6" s="178"/>
      <c r="AD6" s="178"/>
      <c r="AE6" s="178"/>
      <c r="AF6" s="178"/>
      <c r="AG6" s="178"/>
      <c r="AH6" s="178"/>
      <c r="AI6" s="178"/>
      <c r="AJ6" s="435"/>
      <c r="AK6" s="435"/>
      <c r="AL6" s="435"/>
      <c r="AM6" s="435"/>
      <c r="AN6" s="435"/>
      <c r="AO6" s="435"/>
      <c r="AP6" s="178"/>
      <c r="AQ6" s="178"/>
      <c r="AR6" s="178"/>
      <c r="AS6" s="435"/>
      <c r="AT6" s="435"/>
      <c r="AU6" s="435"/>
      <c r="AV6" s="178"/>
      <c r="AW6" s="436"/>
      <c r="AX6" s="421"/>
      <c r="AY6" s="421"/>
      <c r="AZ6" s="421"/>
      <c r="BA6" s="421"/>
      <c r="BB6" s="437"/>
      <c r="BC6" s="178"/>
      <c r="BD6" s="421"/>
      <c r="BE6" s="178"/>
      <c r="BF6" s="178"/>
      <c r="BG6" s="438"/>
      <c r="BH6" s="438"/>
      <c r="BI6" s="438"/>
      <c r="BJ6" s="438"/>
      <c r="BK6" s="438"/>
      <c r="BL6" s="438"/>
      <c r="CF6" s="426"/>
      <c r="CG6" s="439"/>
      <c r="CH6" s="426"/>
      <c r="CI6" s="426"/>
      <c r="CJ6" s="439"/>
      <c r="CK6" s="440"/>
      <c r="CL6" s="440"/>
      <c r="CM6" s="440"/>
      <c r="CN6" s="426"/>
      <c r="CP6" s="439"/>
      <c r="CQ6" s="426"/>
      <c r="CR6" s="426"/>
      <c r="CS6" s="426"/>
      <c r="CT6" s="440"/>
      <c r="CU6" s="440"/>
      <c r="CV6" s="440"/>
      <c r="CW6" s="439"/>
      <c r="CX6" s="439"/>
      <c r="CY6" s="440"/>
      <c r="CZ6" s="440"/>
      <c r="DA6" s="440"/>
      <c r="DB6" s="440"/>
      <c r="DC6" s="440"/>
      <c r="DD6" s="440"/>
      <c r="DE6" s="426"/>
      <c r="DF6" s="426"/>
      <c r="DL6" s="119"/>
      <c r="DM6" s="119"/>
      <c r="DN6" s="119"/>
      <c r="DO6" s="119"/>
      <c r="DT6" s="426"/>
      <c r="DU6" s="426"/>
      <c r="DY6" s="441"/>
      <c r="EA6" s="442"/>
      <c r="EB6" s="181"/>
      <c r="EC6" s="181"/>
      <c r="ED6" s="181"/>
      <c r="EE6" s="443"/>
      <c r="EF6" s="426"/>
      <c r="EK6" s="426"/>
      <c r="EL6" s="426"/>
      <c r="EN6" s="444"/>
      <c r="EO6" s="426"/>
      <c r="EP6" s="426"/>
      <c r="EQ6" s="426"/>
      <c r="ER6" s="426"/>
      <c r="ES6" s="426"/>
      <c r="ET6" s="426"/>
      <c r="EU6" s="142"/>
      <c r="EV6" s="426"/>
      <c r="EX6" s="426"/>
      <c r="EY6" s="426"/>
      <c r="EZ6" s="426"/>
      <c r="FA6" s="426"/>
      <c r="FB6" s="426"/>
      <c r="FC6" s="178"/>
      <c r="FE6" s="442"/>
      <c r="FF6" s="442"/>
      <c r="FG6" s="442"/>
      <c r="FH6" s="442"/>
      <c r="FI6" s="442"/>
      <c r="FJ6" s="442"/>
      <c r="FK6" s="442"/>
      <c r="FL6" s="442"/>
      <c r="FN6" s="427"/>
      <c r="FO6" s="427"/>
      <c r="FP6" s="427"/>
      <c r="FQ6" s="442"/>
      <c r="FR6" s="142"/>
      <c r="FS6" s="142"/>
      <c r="FT6" s="142"/>
      <c r="FU6" s="440"/>
      <c r="FV6" s="440"/>
      <c r="FW6" s="440"/>
      <c r="FX6" s="442"/>
      <c r="FY6" s="442"/>
      <c r="FZ6" s="442"/>
      <c r="GA6" s="442"/>
      <c r="GJ6" s="426"/>
      <c r="GK6" s="426"/>
      <c r="GL6" s="426"/>
      <c r="GM6" s="426"/>
      <c r="GN6" s="426"/>
      <c r="GO6" s="426"/>
      <c r="GP6" s="440"/>
      <c r="GQ6" s="440"/>
      <c r="GR6" s="440"/>
      <c r="GS6" s="440"/>
      <c r="GT6" s="440"/>
      <c r="GU6" s="440"/>
      <c r="GW6" s="440"/>
      <c r="GX6" s="426"/>
      <c r="GY6" s="426"/>
      <c r="GZ6" s="426"/>
      <c r="HA6" s="426"/>
      <c r="HB6" s="440"/>
      <c r="HC6" s="440"/>
      <c r="HD6" s="440"/>
      <c r="HE6" s="439"/>
      <c r="HF6" s="426"/>
      <c r="HG6" s="426"/>
      <c r="HH6" s="426"/>
      <c r="HI6" s="426"/>
      <c r="HJ6" s="440"/>
      <c r="HK6" s="440"/>
      <c r="HL6" s="439"/>
      <c r="HM6" s="426"/>
      <c r="HN6" s="426"/>
    </row>
    <row r="7" customFormat="false" ht="15.75" hidden="false" customHeight="false" outlineLevel="0" collapsed="false">
      <c r="A7" s="406" t="s">
        <v>673</v>
      </c>
      <c r="B7" s="427" t="n">
        <f aca="false">B6+1</f>
        <v>2</v>
      </c>
      <c r="C7" s="431" t="n">
        <v>2</v>
      </c>
      <c r="D7" s="0" t="n">
        <v>0.001</v>
      </c>
      <c r="F7" s="178"/>
      <c r="G7" s="178"/>
      <c r="H7" s="433"/>
      <c r="I7" s="178"/>
      <c r="J7" s="433"/>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row>
    <row r="8" customFormat="false" ht="15.75" hidden="false" customHeight="false" outlineLevel="0" collapsed="false">
      <c r="A8" s="406" t="s">
        <v>674</v>
      </c>
      <c r="B8" s="427" t="n">
        <f aca="false">B7+1</f>
        <v>3</v>
      </c>
      <c r="C8" s="431" t="n">
        <v>3</v>
      </c>
      <c r="D8" s="0" t="n">
        <v>0.9</v>
      </c>
      <c r="F8" s="178"/>
      <c r="G8" s="178"/>
      <c r="H8" s="433"/>
      <c r="I8" s="178"/>
      <c r="J8" s="433"/>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row>
    <row r="9" customFormat="false" ht="15.75" hidden="false" customHeight="false" outlineLevel="0" collapsed="false">
      <c r="A9" s="406" t="s">
        <v>675</v>
      </c>
      <c r="B9" s="427" t="n">
        <f aca="false">B8+1</f>
        <v>4</v>
      </c>
      <c r="C9" s="431" t="n">
        <v>4</v>
      </c>
      <c r="D9" s="0" t="n">
        <v>0</v>
      </c>
      <c r="F9" s="178"/>
      <c r="G9" s="178"/>
      <c r="H9" s="433"/>
      <c r="I9" s="178"/>
      <c r="J9" s="433"/>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row>
    <row r="10" customFormat="false" ht="15.75" hidden="false" customHeight="false" outlineLevel="0" collapsed="false">
      <c r="A10" s="406" t="s">
        <v>676</v>
      </c>
      <c r="B10" s="427" t="n">
        <f aca="false">B9+1</f>
        <v>5</v>
      </c>
      <c r="C10" s="431" t="n">
        <v>5</v>
      </c>
      <c r="D10" s="0" t="n">
        <v>11</v>
      </c>
      <c r="F10" s="178"/>
      <c r="G10" s="178"/>
      <c r="H10" s="433"/>
      <c r="I10" s="178"/>
      <c r="J10" s="433"/>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row>
    <row r="11" customFormat="false" ht="15.75" hidden="false" customHeight="false" outlineLevel="0" collapsed="false">
      <c r="A11" s="406" t="s">
        <v>677</v>
      </c>
      <c r="B11" s="427" t="n">
        <f aca="false">B10+1</f>
        <v>6</v>
      </c>
      <c r="C11" s="431" t="n">
        <v>205</v>
      </c>
      <c r="D11" s="0" t="n">
        <v>0</v>
      </c>
      <c r="F11" s="178"/>
      <c r="G11" s="178"/>
      <c r="H11" s="433"/>
      <c r="I11" s="178"/>
      <c r="J11" s="433"/>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row>
    <row r="12" customFormat="false" ht="15.75" hidden="false" customHeight="false" outlineLevel="0" collapsed="false">
      <c r="A12" s="406" t="s">
        <v>678</v>
      </c>
      <c r="B12" s="427" t="n">
        <f aca="false">B11+1</f>
        <v>7</v>
      </c>
      <c r="C12" s="431" t="n">
        <v>6</v>
      </c>
      <c r="D12" s="0" t="n">
        <v>1</v>
      </c>
      <c r="F12" s="178"/>
      <c r="G12" s="178"/>
      <c r="H12" s="433"/>
      <c r="I12" s="178"/>
      <c r="J12" s="433"/>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row>
    <row r="13" customFormat="false" ht="15.75" hidden="false" customHeight="false" outlineLevel="0" collapsed="false">
      <c r="A13" s="406" t="s">
        <v>679</v>
      </c>
      <c r="B13" s="427" t="n">
        <f aca="false">B12+1</f>
        <v>8</v>
      </c>
      <c r="C13" s="431" t="n">
        <v>7</v>
      </c>
      <c r="D13" s="0" t="n">
        <v>0</v>
      </c>
      <c r="F13" s="178"/>
      <c r="G13" s="178"/>
      <c r="H13" s="433"/>
      <c r="I13" s="178"/>
      <c r="J13" s="433"/>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row>
    <row r="14" customFormat="false" ht="15.75" hidden="false" customHeight="false" outlineLevel="0" collapsed="false">
      <c r="A14" s="406" t="s">
        <v>680</v>
      </c>
      <c r="B14" s="427" t="n">
        <f aca="false">B13+1</f>
        <v>9</v>
      </c>
      <c r="C14" s="431" t="n">
        <v>14</v>
      </c>
      <c r="D14" s="0" t="n">
        <v>0.01</v>
      </c>
      <c r="F14" s="178"/>
      <c r="G14" s="178"/>
      <c r="H14" s="433"/>
      <c r="I14" s="178"/>
      <c r="J14" s="433"/>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row>
    <row r="15" customFormat="false" ht="15.75" hidden="false" customHeight="false" outlineLevel="0" collapsed="false">
      <c r="A15" s="406" t="s">
        <v>681</v>
      </c>
      <c r="B15" s="427" t="n">
        <f aca="false">B14+1</f>
        <v>10</v>
      </c>
      <c r="C15" s="431" t="n">
        <v>15</v>
      </c>
      <c r="D15" s="426" t="n">
        <v>60</v>
      </c>
      <c r="F15" s="178"/>
      <c r="G15" s="178"/>
      <c r="H15" s="433"/>
      <c r="I15" s="178"/>
      <c r="J15" s="433"/>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row>
    <row r="16" customFormat="false" ht="15.75" hidden="false" customHeight="false" outlineLevel="0" collapsed="false">
      <c r="A16" s="406" t="s">
        <v>682</v>
      </c>
      <c r="B16" s="427" t="n">
        <f aca="false">B15+1</f>
        <v>11</v>
      </c>
      <c r="C16" s="431" t="n">
        <v>16</v>
      </c>
      <c r="D16" s="0" t="n">
        <v>1</v>
      </c>
      <c r="F16" s="178"/>
      <c r="G16" s="178"/>
      <c r="H16" s="433"/>
      <c r="I16" s="178"/>
      <c r="J16" s="433"/>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row>
    <row r="17" customFormat="false" ht="15.75" hidden="false" customHeight="false" outlineLevel="0" collapsed="false">
      <c r="A17" s="406" t="s">
        <v>683</v>
      </c>
      <c r="B17" s="427" t="n">
        <f aca="false">B16+1</f>
        <v>12</v>
      </c>
      <c r="C17" s="431" t="n">
        <v>195</v>
      </c>
      <c r="D17" s="426" t="n">
        <v>0</v>
      </c>
      <c r="F17" s="178"/>
      <c r="G17" s="178"/>
      <c r="H17" s="433"/>
      <c r="I17" s="178"/>
      <c r="J17" s="433"/>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row>
    <row r="18" customFormat="false" ht="15.75" hidden="false" customHeight="false" outlineLevel="0" collapsed="false">
      <c r="A18" s="406" t="s">
        <v>684</v>
      </c>
      <c r="B18" s="427" t="n">
        <f aca="false">B17+1</f>
        <v>13</v>
      </c>
      <c r="C18" s="431" t="n">
        <v>10</v>
      </c>
      <c r="D18" s="0" t="n">
        <v>0</v>
      </c>
      <c r="F18" s="178"/>
      <c r="G18" s="178"/>
      <c r="H18" s="433"/>
      <c r="I18" s="178"/>
      <c r="J18" s="433"/>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row>
    <row r="19" customFormat="false" ht="15.75" hidden="false" customHeight="false" outlineLevel="0" collapsed="false">
      <c r="A19" s="406" t="s">
        <v>685</v>
      </c>
      <c r="B19" s="427" t="n">
        <f aca="false">B18+1</f>
        <v>14</v>
      </c>
      <c r="C19" s="431" t="n">
        <v>13</v>
      </c>
      <c r="D19" s="0" t="n">
        <v>10</v>
      </c>
      <c r="F19" s="178"/>
      <c r="G19" s="178"/>
      <c r="H19" s="433"/>
      <c r="I19" s="178"/>
      <c r="J19" s="433"/>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row>
    <row r="20" customFormat="false" ht="15.75" hidden="false" customHeight="false" outlineLevel="0" collapsed="false">
      <c r="A20" s="406" t="s">
        <v>686</v>
      </c>
      <c r="B20" s="427" t="n">
        <f aca="false">B19+1</f>
        <v>15</v>
      </c>
      <c r="C20" s="431" t="n">
        <v>11</v>
      </c>
      <c r="D20" s="0" t="n">
        <v>1</v>
      </c>
      <c r="F20" s="178"/>
      <c r="G20" s="178"/>
      <c r="H20" s="433"/>
      <c r="I20" s="178"/>
      <c r="J20" s="433"/>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row>
    <row r="21" customFormat="false" ht="15.75" hidden="false" customHeight="false" outlineLevel="0" collapsed="false">
      <c r="A21" s="406" t="s">
        <v>687</v>
      </c>
      <c r="B21" s="427" t="n">
        <f aca="false">B20+1</f>
        <v>16</v>
      </c>
      <c r="C21" s="431" t="n">
        <v>12</v>
      </c>
      <c r="D21" s="0" t="n">
        <v>99</v>
      </c>
      <c r="F21" s="178"/>
      <c r="G21" s="178"/>
      <c r="H21" s="433"/>
      <c r="I21" s="178"/>
      <c r="J21" s="433"/>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row>
    <row r="22" customFormat="false" ht="15.75" hidden="false" customHeight="false" outlineLevel="0" collapsed="false">
      <c r="A22" s="406" t="s">
        <v>688</v>
      </c>
      <c r="B22" s="427" t="n">
        <f aca="false">B21+1</f>
        <v>17</v>
      </c>
      <c r="C22" s="431" t="n">
        <v>18</v>
      </c>
      <c r="D22" s="0" t="n">
        <v>0</v>
      </c>
      <c r="F22" s="178"/>
      <c r="G22" s="178"/>
      <c r="H22" s="433"/>
      <c r="I22" s="178"/>
      <c r="J22" s="433"/>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row>
    <row r="23" customFormat="false" ht="15.75" hidden="false" customHeight="false" outlineLevel="0" collapsed="false">
      <c r="A23" s="406" t="s">
        <v>689</v>
      </c>
      <c r="B23" s="427" t="n">
        <f aca="false">B22+1</f>
        <v>18</v>
      </c>
      <c r="C23" s="431" t="n">
        <v>19</v>
      </c>
      <c r="D23" s="0" t="n">
        <v>0</v>
      </c>
      <c r="F23" s="178"/>
      <c r="G23" s="178"/>
      <c r="H23" s="433"/>
      <c r="I23" s="178"/>
      <c r="J23" s="433"/>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row>
    <row r="24" customFormat="false" ht="15.75" hidden="false" customHeight="false" outlineLevel="0" collapsed="false">
      <c r="A24" s="406" t="s">
        <v>690</v>
      </c>
      <c r="B24" s="427" t="n">
        <f aca="false">B23+1</f>
        <v>19</v>
      </c>
      <c r="C24" s="431" t="n">
        <v>20</v>
      </c>
      <c r="D24" s="0" t="n">
        <v>0</v>
      </c>
      <c r="F24" s="178"/>
      <c r="G24" s="178"/>
      <c r="H24" s="433"/>
      <c r="I24" s="178"/>
      <c r="J24" s="433"/>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row>
    <row r="25" customFormat="false" ht="15.75" hidden="false" customHeight="false" outlineLevel="0" collapsed="false">
      <c r="A25" s="406" t="s">
        <v>691</v>
      </c>
      <c r="B25" s="427" t="n">
        <f aca="false">B24+1</f>
        <v>20</v>
      </c>
      <c r="C25" s="431" t="n">
        <v>21</v>
      </c>
      <c r="D25" s="0" t="n">
        <v>0</v>
      </c>
      <c r="F25" s="178"/>
      <c r="G25" s="178"/>
      <c r="H25" s="433"/>
      <c r="I25" s="178"/>
      <c r="J25" s="433"/>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row>
    <row r="26" customFormat="false" ht="15.75" hidden="false" customHeight="false" outlineLevel="0" collapsed="false">
      <c r="A26" s="406" t="s">
        <v>692</v>
      </c>
      <c r="B26" s="427" t="n">
        <f aca="false">B25+1</f>
        <v>21</v>
      </c>
      <c r="C26" s="431" t="n">
        <v>23</v>
      </c>
      <c r="D26" s="0" t="n">
        <v>0</v>
      </c>
      <c r="F26" s="178"/>
      <c r="G26" s="178"/>
      <c r="H26" s="433"/>
      <c r="I26" s="178"/>
      <c r="J26" s="433"/>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row>
    <row r="27" customFormat="false" ht="15.75" hidden="false" customHeight="false" outlineLevel="0" collapsed="false">
      <c r="A27" s="406" t="s">
        <v>693</v>
      </c>
      <c r="B27" s="427" t="n">
        <f aca="false">B26+1</f>
        <v>22</v>
      </c>
      <c r="C27" s="431" t="n">
        <v>63</v>
      </c>
      <c r="D27" s="0" t="n">
        <v>0</v>
      </c>
      <c r="F27" s="178"/>
      <c r="G27" s="178"/>
      <c r="H27" s="433"/>
      <c r="I27" s="178"/>
      <c r="J27" s="433"/>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row>
    <row r="28" customFormat="false" ht="15.75" hidden="false" customHeight="false" outlineLevel="0" collapsed="false">
      <c r="A28" s="407" t="s">
        <v>694</v>
      </c>
      <c r="B28" s="427" t="n">
        <f aca="false">B27+1</f>
        <v>23</v>
      </c>
      <c r="C28" s="431" t="n">
        <v>17</v>
      </c>
      <c r="D28" s="0" t="n">
        <v>5</v>
      </c>
      <c r="F28" s="178"/>
      <c r="G28" s="178"/>
      <c r="H28" s="433"/>
      <c r="I28" s="178"/>
      <c r="J28" s="433"/>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row>
    <row r="29" customFormat="false" ht="15.75" hidden="false" customHeight="false" outlineLevel="0" collapsed="false">
      <c r="A29" s="407" t="s">
        <v>695</v>
      </c>
      <c r="B29" s="427" t="n">
        <f aca="false">B28+1</f>
        <v>24</v>
      </c>
      <c r="C29" s="431" t="n">
        <v>30</v>
      </c>
      <c r="D29" s="0" t="n">
        <v>120</v>
      </c>
      <c r="F29" s="178"/>
      <c r="G29" s="178"/>
      <c r="H29" s="433"/>
      <c r="I29" s="178"/>
      <c r="J29" s="433"/>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row>
    <row r="30" customFormat="false" ht="15.75" hidden="false" customHeight="false" outlineLevel="0" collapsed="false">
      <c r="A30" s="407" t="s">
        <v>696</v>
      </c>
      <c r="B30" s="427" t="n">
        <f aca="false">B29+1</f>
        <v>25</v>
      </c>
      <c r="C30" s="431" t="n">
        <v>31</v>
      </c>
      <c r="D30" s="426" t="n">
        <v>45</v>
      </c>
      <c r="F30" s="178"/>
      <c r="G30" s="178"/>
      <c r="H30" s="433"/>
      <c r="I30" s="178"/>
      <c r="J30" s="433"/>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row>
    <row r="31" customFormat="false" ht="15.75" hidden="false" customHeight="false" outlineLevel="0" collapsed="false">
      <c r="A31" s="407" t="s">
        <v>697</v>
      </c>
      <c r="B31" s="427" t="n">
        <f aca="false">B30+1</f>
        <v>26</v>
      </c>
      <c r="C31" s="431" t="n">
        <v>32</v>
      </c>
      <c r="D31" s="426" t="n">
        <v>20</v>
      </c>
      <c r="F31" s="178"/>
      <c r="G31" s="178"/>
      <c r="H31" s="433"/>
      <c r="I31" s="178"/>
      <c r="J31" s="433"/>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row>
    <row r="32" customFormat="false" ht="15.75" hidden="false" customHeight="false" outlineLevel="0" collapsed="false">
      <c r="A32" s="407" t="s">
        <v>698</v>
      </c>
      <c r="B32" s="427" t="n">
        <f aca="false">B31+1</f>
        <v>27</v>
      </c>
      <c r="C32" s="431" t="n">
        <v>33</v>
      </c>
      <c r="D32" s="426" t="n">
        <v>20</v>
      </c>
      <c r="F32" s="178"/>
      <c r="G32" s="178"/>
      <c r="H32" s="433"/>
      <c r="I32" s="178"/>
      <c r="J32" s="433"/>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row>
    <row r="33" customFormat="false" ht="15.75" hidden="false" customHeight="false" outlineLevel="0" collapsed="false">
      <c r="A33" s="407" t="s">
        <v>699</v>
      </c>
      <c r="B33" s="427" t="n">
        <f aca="false">B32+1</f>
        <v>28</v>
      </c>
      <c r="C33" s="431" t="n">
        <v>34</v>
      </c>
      <c r="D33" s="426" t="n">
        <v>14.7</v>
      </c>
      <c r="F33" s="178"/>
      <c r="G33" s="178"/>
      <c r="H33" s="433"/>
      <c r="I33" s="178"/>
      <c r="J33" s="433"/>
      <c r="K33" s="178"/>
      <c r="L33" s="178"/>
      <c r="M33" s="178"/>
      <c r="N33" s="178"/>
      <c r="O33" s="178"/>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row>
    <row r="34" customFormat="false" ht="15.75" hidden="false" customHeight="false" outlineLevel="0" collapsed="false">
      <c r="A34" s="407" t="s">
        <v>700</v>
      </c>
      <c r="B34" s="427" t="n">
        <f aca="false">B33+1</f>
        <v>29</v>
      </c>
      <c r="C34" s="431" t="n">
        <v>35</v>
      </c>
      <c r="D34" s="426" t="n">
        <v>80</v>
      </c>
      <c r="F34" s="178"/>
      <c r="G34" s="178"/>
      <c r="H34" s="433"/>
      <c r="I34" s="178"/>
      <c r="J34" s="433"/>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row>
    <row r="35" customFormat="false" ht="15.75" hidden="false" customHeight="false" outlineLevel="0" collapsed="false">
      <c r="A35" s="407" t="s">
        <v>701</v>
      </c>
      <c r="B35" s="427" t="n">
        <f aca="false">B34+1</f>
        <v>30</v>
      </c>
      <c r="C35" s="431" t="n">
        <v>36</v>
      </c>
      <c r="D35" s="426" t="n">
        <v>2000</v>
      </c>
      <c r="F35" s="178"/>
      <c r="G35" s="178"/>
      <c r="H35" s="433"/>
      <c r="I35" s="178"/>
      <c r="J35" s="433"/>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row>
    <row r="36" customFormat="false" ht="15.75" hidden="false" customHeight="false" outlineLevel="0" collapsed="false">
      <c r="A36" s="407" t="s">
        <v>702</v>
      </c>
      <c r="B36" s="427" t="n">
        <f aca="false">B35+1</f>
        <v>31</v>
      </c>
      <c r="C36" s="431" t="n">
        <v>37</v>
      </c>
      <c r="D36" s="0" t="n">
        <v>1</v>
      </c>
      <c r="F36" s="178"/>
      <c r="G36" s="178"/>
      <c r="H36" s="433"/>
      <c r="I36" s="178"/>
      <c r="J36" s="433"/>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row>
    <row r="37" customFormat="false" ht="15.75" hidden="false" customHeight="false" outlineLevel="0" collapsed="false">
      <c r="A37" s="408" t="s">
        <v>703</v>
      </c>
      <c r="B37" s="427" t="n">
        <f aca="false">B36+1</f>
        <v>32</v>
      </c>
      <c r="C37" s="431" t="n">
        <v>199</v>
      </c>
      <c r="D37" s="0" t="n">
        <v>12</v>
      </c>
      <c r="F37" s="178"/>
      <c r="G37" s="178"/>
      <c r="H37" s="433"/>
      <c r="I37" s="178"/>
      <c r="J37" s="433"/>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row>
    <row r="38" customFormat="false" ht="15.75" hidden="false" customHeight="false" outlineLevel="0" collapsed="false">
      <c r="A38" s="408" t="s">
        <v>704</v>
      </c>
      <c r="B38" s="427" t="n">
        <f aca="false">B37+1</f>
        <v>33</v>
      </c>
      <c r="C38" s="431" t="n">
        <v>200</v>
      </c>
      <c r="D38" s="0" t="n">
        <v>0</v>
      </c>
      <c r="F38" s="178"/>
      <c r="G38" s="178"/>
      <c r="H38" s="433"/>
      <c r="I38" s="178"/>
      <c r="J38" s="433"/>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row>
    <row r="39" customFormat="false" ht="15.75" hidden="false" customHeight="false" outlineLevel="0" collapsed="false">
      <c r="A39" s="407" t="s">
        <v>705</v>
      </c>
      <c r="B39" s="427" t="n">
        <f aca="false">B38+1</f>
        <v>34</v>
      </c>
      <c r="C39" s="431" t="n">
        <v>38</v>
      </c>
      <c r="D39" s="426" t="n">
        <v>0</v>
      </c>
      <c r="F39" s="178"/>
      <c r="G39" s="178"/>
      <c r="H39" s="433"/>
      <c r="I39" s="178"/>
      <c r="J39" s="433"/>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row>
    <row r="40" customFormat="false" ht="15.75" hidden="false" customHeight="false" outlineLevel="0" collapsed="false">
      <c r="A40" s="407" t="s">
        <v>706</v>
      </c>
      <c r="B40" s="427" t="n">
        <f aca="false">B39+1</f>
        <v>35</v>
      </c>
      <c r="C40" s="431" t="n">
        <v>39</v>
      </c>
      <c r="D40" s="426" t="n">
        <v>3</v>
      </c>
      <c r="F40" s="178"/>
      <c r="G40" s="178"/>
      <c r="H40" s="433"/>
      <c r="I40" s="178"/>
      <c r="J40" s="433"/>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row>
    <row r="41" customFormat="false" ht="15.75" hidden="false" customHeight="false" outlineLevel="0" collapsed="false">
      <c r="A41" s="407" t="s">
        <v>707</v>
      </c>
      <c r="B41" s="427" t="n">
        <f aca="false">B40+1</f>
        <v>36</v>
      </c>
      <c r="C41" s="431" t="n">
        <v>40</v>
      </c>
      <c r="D41" s="426" t="n">
        <v>3</v>
      </c>
      <c r="F41" s="178"/>
      <c r="G41" s="178"/>
      <c r="H41" s="433"/>
      <c r="I41" s="178"/>
      <c r="J41" s="433"/>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row>
    <row r="42" customFormat="false" ht="15.75" hidden="false" customHeight="false" outlineLevel="0" collapsed="false">
      <c r="A42" s="407" t="s">
        <v>708</v>
      </c>
      <c r="B42" s="427" t="n">
        <f aca="false">B41+1</f>
        <v>37</v>
      </c>
      <c r="C42" s="431" t="n">
        <v>41</v>
      </c>
      <c r="D42" s="0" t="n">
        <v>15</v>
      </c>
      <c r="F42" s="178"/>
      <c r="G42" s="178"/>
      <c r="H42" s="433"/>
      <c r="I42" s="178"/>
      <c r="J42" s="433"/>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row>
    <row r="43" customFormat="false" ht="15.75" hidden="false" customHeight="false" outlineLevel="0" collapsed="false">
      <c r="A43" s="407" t="s">
        <v>710</v>
      </c>
      <c r="B43" s="427" t="n">
        <f aca="false">B42+1</f>
        <v>38</v>
      </c>
      <c r="C43" s="431" t="n">
        <v>194</v>
      </c>
      <c r="D43" s="142" t="n">
        <v>0</v>
      </c>
      <c r="F43" s="178"/>
      <c r="G43" s="178"/>
      <c r="H43" s="433"/>
      <c r="I43" s="178"/>
      <c r="J43" s="433"/>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row>
    <row r="44" customFormat="false" ht="15.75" hidden="false" customHeight="false" outlineLevel="0" collapsed="false">
      <c r="A44" s="407" t="s">
        <v>711</v>
      </c>
      <c r="B44" s="427" t="n">
        <f aca="false">B43+1</f>
        <v>39</v>
      </c>
      <c r="C44" s="431" t="n">
        <v>216</v>
      </c>
      <c r="D44" s="445" t="n">
        <v>0.3333</v>
      </c>
      <c r="F44" s="178"/>
      <c r="G44" s="178"/>
      <c r="H44" s="433"/>
      <c r="I44" s="178"/>
      <c r="J44" s="433"/>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row>
    <row r="45" customFormat="false" ht="15.75" hidden="false" customHeight="false" outlineLevel="0" collapsed="false">
      <c r="A45" s="407" t="s">
        <v>712</v>
      </c>
      <c r="B45" s="427" t="n">
        <f aca="false">B44+1</f>
        <v>40</v>
      </c>
      <c r="C45" s="431" t="n">
        <v>217</v>
      </c>
      <c r="D45" s="445" t="n">
        <v>0.3333</v>
      </c>
      <c r="F45" s="178"/>
      <c r="G45" s="178"/>
      <c r="H45" s="433"/>
      <c r="I45" s="178"/>
      <c r="J45" s="433"/>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row>
    <row r="46" customFormat="false" ht="15.75" hidden="false" customHeight="false" outlineLevel="0" collapsed="false">
      <c r="A46" s="407" t="s">
        <v>713</v>
      </c>
      <c r="B46" s="427" t="n">
        <f aca="false">B45+1</f>
        <v>41</v>
      </c>
      <c r="C46" s="431" t="n">
        <v>218</v>
      </c>
      <c r="D46" s="445" t="n">
        <v>0.3333</v>
      </c>
      <c r="F46" s="178"/>
      <c r="G46" s="178"/>
      <c r="H46" s="433"/>
      <c r="I46" s="178"/>
      <c r="J46" s="433"/>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row>
    <row r="47" customFormat="false" ht="15.75" hidden="false" customHeight="false" outlineLevel="0" collapsed="false">
      <c r="A47" s="407" t="s">
        <v>714</v>
      </c>
      <c r="B47" s="427" t="n">
        <f aca="false">B46+1</f>
        <v>42</v>
      </c>
      <c r="C47" s="431" t="n">
        <v>42</v>
      </c>
      <c r="D47" s="445" t="n">
        <v>0.459</v>
      </c>
      <c r="F47" s="178"/>
      <c r="G47" s="178"/>
      <c r="H47" s="433"/>
      <c r="I47" s="178"/>
      <c r="J47" s="433"/>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row>
    <row r="48" customFormat="false" ht="15.75" hidden="false" customHeight="false" outlineLevel="0" collapsed="false">
      <c r="A48" s="407" t="s">
        <v>715</v>
      </c>
      <c r="B48" s="427" t="n">
        <f aca="false">B47+1</f>
        <v>43</v>
      </c>
      <c r="C48" s="431" t="n">
        <v>43</v>
      </c>
      <c r="D48" s="446" t="n">
        <v>0.001</v>
      </c>
      <c r="F48" s="178"/>
      <c r="G48" s="178"/>
      <c r="H48" s="433"/>
      <c r="I48" s="178"/>
      <c r="J48" s="433"/>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row>
    <row r="49" customFormat="false" ht="15.75" hidden="false" customHeight="false" outlineLevel="0" collapsed="false">
      <c r="A49" s="407" t="s">
        <v>716</v>
      </c>
      <c r="B49" s="427" t="n">
        <f aca="false">B48+1</f>
        <v>44</v>
      </c>
      <c r="C49" s="431" t="n">
        <v>44</v>
      </c>
      <c r="D49" s="0" t="n">
        <v>0.015</v>
      </c>
      <c r="F49" s="178"/>
      <c r="G49" s="178"/>
      <c r="H49" s="433"/>
      <c r="I49" s="178"/>
      <c r="J49" s="433"/>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row>
    <row r="50" customFormat="false" ht="15.75" hidden="false" customHeight="false" outlineLevel="0" collapsed="false">
      <c r="A50" s="407" t="s">
        <v>717</v>
      </c>
      <c r="B50" s="427" t="n">
        <f aca="false">B49+1</f>
        <v>45</v>
      </c>
      <c r="C50" s="431" t="n">
        <v>45</v>
      </c>
      <c r="D50" s="445" t="n">
        <v>1.253</v>
      </c>
      <c r="F50" s="178"/>
      <c r="G50" s="178"/>
      <c r="H50" s="433"/>
      <c r="I50" s="178"/>
      <c r="J50" s="433"/>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row>
    <row r="51" customFormat="false" ht="15.75" hidden="false" customHeight="false" outlineLevel="0" collapsed="false">
      <c r="A51" s="407" t="s">
        <v>718</v>
      </c>
      <c r="B51" s="427" t="n">
        <f aca="false">B50+1</f>
        <v>46</v>
      </c>
      <c r="C51" s="431" t="n">
        <v>46</v>
      </c>
      <c r="D51" s="0" t="n">
        <v>1.69</v>
      </c>
      <c r="F51" s="178"/>
      <c r="G51" s="178"/>
      <c r="H51" s="433"/>
      <c r="I51" s="178"/>
      <c r="J51" s="433"/>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c r="BK51" s="178"/>
      <c r="BL51" s="178"/>
    </row>
    <row r="52" customFormat="false" ht="15.75" hidden="false" customHeight="false" outlineLevel="0" collapsed="false">
      <c r="A52" s="407" t="s">
        <v>719</v>
      </c>
      <c r="B52" s="427" t="n">
        <f aca="false">B51+1</f>
        <v>47</v>
      </c>
      <c r="C52" s="431" t="n">
        <v>219</v>
      </c>
      <c r="D52" s="0" t="n">
        <v>0.459</v>
      </c>
      <c r="F52" s="178"/>
      <c r="G52" s="178"/>
      <c r="H52" s="433"/>
      <c r="I52" s="178"/>
      <c r="J52" s="433"/>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row>
    <row r="53" customFormat="false" ht="15.75" hidden="false" customHeight="false" outlineLevel="0" collapsed="false">
      <c r="A53" s="407" t="s">
        <v>720</v>
      </c>
      <c r="B53" s="427" t="n">
        <f aca="false">B52+1</f>
        <v>48</v>
      </c>
      <c r="C53" s="431" t="n">
        <v>220</v>
      </c>
      <c r="D53" s="442" t="n">
        <v>0.001</v>
      </c>
      <c r="F53" s="178"/>
      <c r="G53" s="178"/>
      <c r="H53" s="433"/>
      <c r="I53" s="178"/>
      <c r="J53" s="433"/>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row>
    <row r="54" customFormat="false" ht="15.75" hidden="false" customHeight="false" outlineLevel="0" collapsed="false">
      <c r="A54" s="407" t="s">
        <v>721</v>
      </c>
      <c r="B54" s="427" t="n">
        <f aca="false">B53+1</f>
        <v>49</v>
      </c>
      <c r="C54" s="431" t="n">
        <v>221</v>
      </c>
      <c r="D54" s="442" t="n">
        <v>0.015</v>
      </c>
      <c r="F54" s="178"/>
      <c r="G54" s="178"/>
      <c r="H54" s="433"/>
      <c r="I54" s="178"/>
      <c r="J54" s="433"/>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row>
    <row r="55" customFormat="false" ht="15.75" hidden="false" customHeight="false" outlineLevel="0" collapsed="false">
      <c r="A55" s="407" t="s">
        <v>722</v>
      </c>
      <c r="B55" s="427" t="n">
        <f aca="false">B54+1</f>
        <v>50</v>
      </c>
      <c r="C55" s="431" t="n">
        <v>222</v>
      </c>
      <c r="D55" s="442" t="n">
        <v>1.253</v>
      </c>
      <c r="F55" s="178"/>
      <c r="G55" s="178"/>
      <c r="H55" s="433"/>
      <c r="I55" s="178"/>
      <c r="J55" s="433"/>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row>
    <row r="56" customFormat="false" ht="15.75" hidden="false" customHeight="false" outlineLevel="0" collapsed="false">
      <c r="A56" s="407" t="s">
        <v>723</v>
      </c>
      <c r="B56" s="427" t="n">
        <f aca="false">B55+1</f>
        <v>51</v>
      </c>
      <c r="C56" s="431" t="n">
        <v>223</v>
      </c>
      <c r="D56" s="442" t="n">
        <v>1.69</v>
      </c>
      <c r="F56" s="178"/>
      <c r="G56" s="178"/>
      <c r="H56" s="433"/>
      <c r="I56" s="178"/>
      <c r="J56" s="433"/>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row>
    <row r="57" customFormat="false" ht="15.75" hidden="false" customHeight="false" outlineLevel="0" collapsed="false">
      <c r="A57" s="407" t="s">
        <v>724</v>
      </c>
      <c r="B57" s="427" t="n">
        <f aca="false">B56+1</f>
        <v>52</v>
      </c>
      <c r="C57" s="431" t="n">
        <v>224</v>
      </c>
      <c r="D57" s="442" t="n">
        <v>0.459</v>
      </c>
      <c r="F57" s="178"/>
      <c r="G57" s="178"/>
      <c r="H57" s="433"/>
      <c r="I57" s="178"/>
      <c r="J57" s="433"/>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row>
    <row r="58" customFormat="false" ht="15.75" hidden="false" customHeight="false" outlineLevel="0" collapsed="false">
      <c r="A58" s="407" t="s">
        <v>725</v>
      </c>
      <c r="B58" s="427" t="n">
        <f aca="false">B57+1</f>
        <v>53</v>
      </c>
      <c r="C58" s="431" t="n">
        <v>225</v>
      </c>
      <c r="D58" s="442" t="n">
        <v>0.001</v>
      </c>
      <c r="F58" s="178"/>
      <c r="G58" s="178"/>
      <c r="H58" s="433"/>
      <c r="I58" s="178"/>
      <c r="J58" s="433"/>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row>
    <row r="59" customFormat="false" ht="15.75" hidden="false" customHeight="false" outlineLevel="0" collapsed="false">
      <c r="A59" s="407" t="s">
        <v>726</v>
      </c>
      <c r="B59" s="427" t="n">
        <f aca="false">B58+1</f>
        <v>54</v>
      </c>
      <c r="C59" s="431" t="n">
        <v>226</v>
      </c>
      <c r="D59" s="0" t="n">
        <v>0.015</v>
      </c>
      <c r="F59" s="178"/>
      <c r="G59" s="178"/>
      <c r="H59" s="433"/>
      <c r="I59" s="178"/>
      <c r="J59" s="433"/>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row>
    <row r="60" customFormat="false" ht="15.75" hidden="false" customHeight="false" outlineLevel="0" collapsed="false">
      <c r="A60" s="407" t="s">
        <v>727</v>
      </c>
      <c r="B60" s="427" t="n">
        <f aca="false">B59+1</f>
        <v>55</v>
      </c>
      <c r="C60" s="431" t="n">
        <v>227</v>
      </c>
      <c r="D60" s="0" t="n">
        <v>1.253</v>
      </c>
      <c r="F60" s="178"/>
      <c r="G60" s="178"/>
      <c r="H60" s="433"/>
      <c r="I60" s="178"/>
      <c r="J60" s="433"/>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row>
    <row r="61" customFormat="false" ht="15.75" hidden="false" customHeight="false" outlineLevel="0" collapsed="false">
      <c r="A61" s="407" t="s">
        <v>728</v>
      </c>
      <c r="B61" s="427" t="n">
        <f aca="false">B60+1</f>
        <v>56</v>
      </c>
      <c r="C61" s="431" t="n">
        <v>228</v>
      </c>
      <c r="D61" s="0" t="n">
        <v>1.69</v>
      </c>
      <c r="F61" s="178"/>
      <c r="G61" s="178"/>
      <c r="H61" s="433"/>
      <c r="I61" s="178"/>
      <c r="J61" s="433"/>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row>
    <row r="62" customFormat="false" ht="15.75" hidden="false" customHeight="false" outlineLevel="0" collapsed="false">
      <c r="A62" s="407" t="s">
        <v>729</v>
      </c>
      <c r="B62" s="427" t="n">
        <f aca="false">B61+1</f>
        <v>57</v>
      </c>
      <c r="C62" s="431" t="n">
        <v>47</v>
      </c>
      <c r="D62" s="0" t="n">
        <v>0.5</v>
      </c>
      <c r="F62" s="178"/>
      <c r="G62" s="178"/>
      <c r="H62" s="433"/>
      <c r="I62" s="178"/>
      <c r="J62" s="433"/>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row>
    <row r="63" customFormat="false" ht="15.75" hidden="false" customHeight="false" outlineLevel="0" collapsed="false">
      <c r="A63" s="407" t="s">
        <v>730</v>
      </c>
      <c r="B63" s="427" t="n">
        <f aca="false">B62+1</f>
        <v>58</v>
      </c>
      <c r="C63" s="431" t="n">
        <v>48</v>
      </c>
      <c r="D63" s="0" t="n">
        <v>0</v>
      </c>
      <c r="F63" s="178"/>
      <c r="G63" s="178"/>
      <c r="H63" s="433"/>
      <c r="I63" s="178"/>
      <c r="J63" s="433"/>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row>
    <row r="64" customFormat="false" ht="15.75" hidden="false" customHeight="false" outlineLevel="0" collapsed="false">
      <c r="A64" s="407" t="s">
        <v>731</v>
      </c>
      <c r="B64" s="427" t="n">
        <f aca="false">B63+1</f>
        <v>59</v>
      </c>
      <c r="C64" s="431" t="n">
        <v>196</v>
      </c>
      <c r="D64" s="0" t="n">
        <v>0</v>
      </c>
      <c r="F64" s="178"/>
      <c r="G64" s="178"/>
      <c r="H64" s="433"/>
      <c r="I64" s="178"/>
      <c r="J64" s="433"/>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row>
    <row r="65" customFormat="false" ht="15.75" hidden="false" customHeight="false" outlineLevel="0" collapsed="false">
      <c r="A65" s="407" t="s">
        <v>732</v>
      </c>
      <c r="B65" s="427" t="n">
        <f aca="false">B64+1</f>
        <v>60</v>
      </c>
      <c r="C65" s="431" t="n">
        <v>197</v>
      </c>
      <c r="D65" s="0" t="n">
        <v>0</v>
      </c>
      <c r="F65" s="178"/>
      <c r="G65" s="178"/>
      <c r="H65" s="433"/>
      <c r="I65" s="178"/>
      <c r="J65" s="433"/>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row>
    <row r="66" customFormat="false" ht="15.75" hidden="false" customHeight="false" outlineLevel="0" collapsed="false">
      <c r="A66" s="407" t="s">
        <v>733</v>
      </c>
      <c r="B66" s="427" t="n">
        <f aca="false">B65+1</f>
        <v>61</v>
      </c>
      <c r="C66" s="431" t="n">
        <v>139</v>
      </c>
      <c r="D66" s="0" t="n">
        <v>10</v>
      </c>
      <c r="F66" s="178"/>
      <c r="G66" s="178"/>
      <c r="H66" s="433"/>
      <c r="I66" s="178"/>
      <c r="J66" s="433"/>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row>
    <row r="67" customFormat="false" ht="15.75" hidden="false" customHeight="false" outlineLevel="0" collapsed="false">
      <c r="A67" s="407" t="s">
        <v>734</v>
      </c>
      <c r="B67" s="427" t="n">
        <f aca="false">B66+1</f>
        <v>62</v>
      </c>
      <c r="C67" s="431" t="n">
        <v>140</v>
      </c>
      <c r="D67" s="0" t="n">
        <v>1.3228756555323</v>
      </c>
      <c r="F67" s="178"/>
      <c r="G67" s="178"/>
      <c r="H67" s="433"/>
      <c r="I67" s="178"/>
      <c r="J67" s="433"/>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row>
    <row r="68" customFormat="false" ht="15.75" hidden="false" customHeight="false" outlineLevel="0" collapsed="false">
      <c r="A68" s="407" t="s">
        <v>735</v>
      </c>
      <c r="B68" s="427" t="n">
        <f aca="false">B67+1</f>
        <v>63</v>
      </c>
      <c r="C68" s="431" t="n">
        <v>141</v>
      </c>
      <c r="D68" s="0" t="n">
        <v>1</v>
      </c>
      <c r="F68" s="178"/>
      <c r="G68" s="178"/>
      <c r="H68" s="433"/>
      <c r="I68" s="178"/>
      <c r="J68" s="433"/>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row>
    <row r="69" customFormat="false" ht="15.75" hidden="false" customHeight="false" outlineLevel="0" collapsed="false">
      <c r="A69" s="407" t="s">
        <v>736</v>
      </c>
      <c r="B69" s="427" t="n">
        <f aca="false">B68+1</f>
        <v>64</v>
      </c>
      <c r="C69" s="431" t="n">
        <v>142</v>
      </c>
      <c r="D69" s="0" t="n">
        <v>1</v>
      </c>
      <c r="F69" s="178"/>
      <c r="G69" s="178"/>
      <c r="H69" s="433"/>
      <c r="I69" s="178"/>
      <c r="J69" s="433"/>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row>
    <row r="70" customFormat="false" ht="15.75" hidden="false" customHeight="false" outlineLevel="0" collapsed="false">
      <c r="A70" s="407" t="s">
        <v>737</v>
      </c>
      <c r="B70" s="427" t="n">
        <f aca="false">B69+1</f>
        <v>65</v>
      </c>
      <c r="C70" s="431" t="n">
        <v>143</v>
      </c>
      <c r="D70" s="0" t="n">
        <v>1</v>
      </c>
      <c r="F70" s="178"/>
      <c r="G70" s="178"/>
      <c r="H70" s="433"/>
      <c r="I70" s="178"/>
      <c r="J70" s="433"/>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row>
    <row r="71" customFormat="false" ht="15.75" hidden="false" customHeight="false" outlineLevel="0" collapsed="false">
      <c r="A71" s="407" t="s">
        <v>738</v>
      </c>
      <c r="B71" s="427" t="n">
        <f aca="false">B70+1</f>
        <v>66</v>
      </c>
      <c r="C71" s="431" t="n">
        <v>144</v>
      </c>
      <c r="D71" s="0" t="n">
        <v>0</v>
      </c>
      <c r="F71" s="178"/>
      <c r="G71" s="178"/>
      <c r="H71" s="433"/>
      <c r="I71" s="178"/>
      <c r="J71" s="433"/>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row>
    <row r="72" customFormat="false" ht="15.75" hidden="false" customHeight="false" outlineLevel="0" collapsed="false">
      <c r="A72" s="407" t="s">
        <v>739</v>
      </c>
      <c r="B72" s="427" t="n">
        <f aca="false">B71+1</f>
        <v>67</v>
      </c>
      <c r="C72" s="447" t="n">
        <v>24</v>
      </c>
      <c r="D72" s="0" t="n">
        <v>0</v>
      </c>
      <c r="F72" s="178"/>
      <c r="G72" s="178"/>
      <c r="H72" s="433"/>
      <c r="I72" s="178"/>
      <c r="J72" s="433"/>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row>
    <row r="73" customFormat="false" ht="15.75" hidden="false" customHeight="false" outlineLevel="0" collapsed="false">
      <c r="A73" s="407" t="s">
        <v>745</v>
      </c>
      <c r="B73" s="427" t="n">
        <f aca="false">B72+1</f>
        <v>68</v>
      </c>
      <c r="C73" s="447" t="n">
        <v>52</v>
      </c>
      <c r="D73" s="0" t="n">
        <v>0</v>
      </c>
      <c r="F73" s="178"/>
      <c r="G73" s="178"/>
      <c r="H73" s="433"/>
      <c r="I73" s="17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row>
    <row r="74" customFormat="false" ht="15.75" hidden="false" customHeight="false" outlineLevel="0" collapsed="false">
      <c r="A74" s="407" t="s">
        <v>746</v>
      </c>
      <c r="B74" s="427" t="n">
        <f aca="false">B73+1</f>
        <v>69</v>
      </c>
      <c r="C74" s="447" t="n">
        <v>53</v>
      </c>
      <c r="D74" s="0" t="n">
        <v>20</v>
      </c>
      <c r="F74" s="178"/>
      <c r="G74" s="178"/>
      <c r="H74" s="433"/>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row>
    <row r="75" customFormat="false" ht="15.75" hidden="false" customHeight="false" outlineLevel="0" collapsed="false">
      <c r="A75" s="407" t="s">
        <v>747</v>
      </c>
      <c r="B75" s="427" t="n">
        <f aca="false">B74+1</f>
        <v>70</v>
      </c>
      <c r="C75" s="447" t="n">
        <v>54</v>
      </c>
      <c r="D75" s="0" t="n">
        <v>2</v>
      </c>
      <c r="F75" s="178"/>
      <c r="G75" s="178"/>
      <c r="H75" s="433"/>
      <c r="I75" s="43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row>
    <row r="76" customFormat="false" ht="15.75" hidden="false" customHeight="false" outlineLevel="0" collapsed="false">
      <c r="A76" s="407" t="s">
        <v>748</v>
      </c>
      <c r="B76" s="427" t="n">
        <f aca="false">B75+1</f>
        <v>71</v>
      </c>
      <c r="C76" s="447" t="n">
        <v>55</v>
      </c>
      <c r="D76" s="0" t="n">
        <v>1</v>
      </c>
      <c r="F76" s="178"/>
      <c r="G76" s="178"/>
      <c r="H76" s="433"/>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row>
    <row r="77" customFormat="false" ht="15.75" hidden="false" customHeight="false" outlineLevel="0" collapsed="false">
      <c r="A77" s="407" t="s">
        <v>749</v>
      </c>
      <c r="B77" s="427" t="n">
        <f aca="false">B76+1</f>
        <v>72</v>
      </c>
      <c r="C77" s="447" t="n">
        <v>56</v>
      </c>
      <c r="D77" s="0" t="n">
        <v>1</v>
      </c>
      <c r="F77" s="178"/>
      <c r="G77" s="178"/>
      <c r="H77" s="433"/>
      <c r="I77" s="17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row>
    <row r="78" customFormat="false" ht="15.75" hidden="false" customHeight="false" outlineLevel="0" collapsed="false">
      <c r="A78" s="407" t="s">
        <v>750</v>
      </c>
      <c r="B78" s="427" t="n">
        <f aca="false">B77+1</f>
        <v>73</v>
      </c>
      <c r="C78" s="431" t="n">
        <v>57</v>
      </c>
      <c r="D78" s="426" t="n">
        <v>0.9999</v>
      </c>
      <c r="F78" s="178"/>
      <c r="G78" s="178"/>
      <c r="H78" s="433"/>
      <c r="I78" s="178"/>
      <c r="J78" s="433"/>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row>
    <row r="79" customFormat="false" ht="15.75" hidden="false" customHeight="false" outlineLevel="0" collapsed="false">
      <c r="A79" s="407" t="s">
        <v>751</v>
      </c>
      <c r="B79" s="427" t="n">
        <f aca="false">B78+1</f>
        <v>74</v>
      </c>
      <c r="C79" s="431" t="n">
        <v>58</v>
      </c>
      <c r="D79" s="439" t="n">
        <v>20</v>
      </c>
      <c r="F79" s="178"/>
      <c r="G79" s="178"/>
      <c r="H79" s="433"/>
      <c r="I79" s="178"/>
      <c r="J79" s="433"/>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row>
    <row r="80" customFormat="false" ht="15.75" hidden="false" customHeight="false" outlineLevel="0" collapsed="false">
      <c r="A80" s="407" t="s">
        <v>752</v>
      </c>
      <c r="B80" s="427" t="n">
        <f aca="false">B79+1</f>
        <v>75</v>
      </c>
      <c r="C80" s="431" t="n">
        <v>59</v>
      </c>
      <c r="D80" s="426" t="n">
        <v>20</v>
      </c>
      <c r="F80" s="178"/>
      <c r="G80" s="178"/>
      <c r="H80" s="433"/>
      <c r="I80" s="178"/>
      <c r="J80" s="433"/>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row>
    <row r="81" customFormat="false" ht="15.75" hidden="false" customHeight="false" outlineLevel="0" collapsed="false">
      <c r="A81" s="407" t="s">
        <v>753</v>
      </c>
      <c r="B81" s="427" t="n">
        <f aca="false">B80+1</f>
        <v>76</v>
      </c>
      <c r="C81" s="431" t="n">
        <v>60</v>
      </c>
      <c r="D81" s="426" t="n">
        <v>30</v>
      </c>
      <c r="F81" s="178"/>
      <c r="G81" s="178"/>
      <c r="H81" s="433"/>
      <c r="I81" s="178"/>
      <c r="J81" s="433"/>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row>
    <row r="82" customFormat="false" ht="15.75" hidden="false" customHeight="false" outlineLevel="0" collapsed="false">
      <c r="A82" s="407" t="s">
        <v>754</v>
      </c>
      <c r="B82" s="427" t="n">
        <f aca="false">B81+1</f>
        <v>77</v>
      </c>
      <c r="C82" s="431" t="n">
        <v>61</v>
      </c>
      <c r="D82" s="439" t="n">
        <v>0</v>
      </c>
      <c r="F82" s="178"/>
      <c r="G82" s="178"/>
      <c r="H82" s="433"/>
      <c r="I82" s="178"/>
      <c r="J82" s="433"/>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row>
    <row r="83" customFormat="false" ht="15.75" hidden="false" customHeight="false" outlineLevel="0" collapsed="false">
      <c r="A83" s="407" t="s">
        <v>755</v>
      </c>
      <c r="B83" s="427" t="n">
        <f aca="false">B82+1</f>
        <v>78</v>
      </c>
      <c r="C83" s="431" t="n">
        <v>62</v>
      </c>
      <c r="D83" s="440" t="n">
        <v>90</v>
      </c>
      <c r="F83" s="178"/>
      <c r="G83" s="178"/>
      <c r="H83" s="433"/>
      <c r="I83" s="178"/>
      <c r="J83" s="433"/>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row>
    <row r="84" customFormat="false" ht="15.75" hidden="false" customHeight="false" outlineLevel="0" collapsed="false">
      <c r="A84" s="407" t="s">
        <v>756</v>
      </c>
      <c r="B84" s="427" t="n">
        <f aca="false">B83+1</f>
        <v>79</v>
      </c>
      <c r="C84" s="431" t="n">
        <v>103</v>
      </c>
      <c r="D84" s="440" t="n">
        <v>1</v>
      </c>
      <c r="F84" s="178"/>
      <c r="G84" s="178"/>
      <c r="H84" s="433"/>
      <c r="I84" s="178"/>
      <c r="J84" s="433"/>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row>
    <row r="85" customFormat="false" ht="15.75" hidden="false" customHeight="false" outlineLevel="0" collapsed="false">
      <c r="A85" s="409" t="s">
        <v>757</v>
      </c>
      <c r="B85" s="427" t="n">
        <f aca="false">B84+1</f>
        <v>80</v>
      </c>
      <c r="C85" s="431" t="n">
        <v>206</v>
      </c>
      <c r="D85" s="440" t="n">
        <v>100</v>
      </c>
      <c r="F85" s="178"/>
      <c r="G85" s="178"/>
      <c r="H85" s="433"/>
      <c r="I85" s="178"/>
      <c r="J85" s="433"/>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row>
    <row r="86" customFormat="false" ht="15.75" hidden="false" customHeight="false" outlineLevel="0" collapsed="false">
      <c r="A86" s="409" t="s">
        <v>758</v>
      </c>
      <c r="B86" s="427" t="n">
        <f aca="false">B85+1</f>
        <v>81</v>
      </c>
      <c r="C86" s="431" t="n">
        <v>211</v>
      </c>
      <c r="D86" s="426" t="n">
        <v>10</v>
      </c>
      <c r="F86" s="178"/>
      <c r="G86" s="178"/>
      <c r="H86" s="433"/>
      <c r="I86" s="178"/>
      <c r="J86" s="433"/>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row>
    <row r="87" customFormat="false" ht="15.75" hidden="false" customHeight="false" outlineLevel="0" collapsed="false">
      <c r="A87" s="410" t="s">
        <v>759</v>
      </c>
      <c r="B87" s="427" t="n">
        <f aca="false">B86+1</f>
        <v>82</v>
      </c>
      <c r="C87" s="431" t="n">
        <v>210</v>
      </c>
      <c r="D87" s="0" t="n">
        <v>1</v>
      </c>
      <c r="F87" s="178"/>
      <c r="G87" s="178"/>
      <c r="H87" s="433"/>
      <c r="I87" s="178"/>
      <c r="J87" s="433"/>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row>
    <row r="88" customFormat="false" ht="15.75" hidden="false" customHeight="false" outlineLevel="0" collapsed="false">
      <c r="A88" s="448" t="s">
        <v>760</v>
      </c>
      <c r="B88" s="427" t="n">
        <f aca="false">B87+1</f>
        <v>83</v>
      </c>
      <c r="C88" s="431" t="n">
        <v>207</v>
      </c>
      <c r="D88" s="439" t="n">
        <v>1.8</v>
      </c>
      <c r="F88" s="178"/>
      <c r="G88" s="178"/>
      <c r="H88" s="433"/>
      <c r="I88" s="178"/>
      <c r="J88" s="433"/>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row>
    <row r="89" customFormat="false" ht="15.75" hidden="false" customHeight="false" outlineLevel="0" collapsed="false">
      <c r="A89" s="448" t="s">
        <v>761</v>
      </c>
      <c r="B89" s="427" t="n">
        <f aca="false">B88+1</f>
        <v>84</v>
      </c>
      <c r="C89" s="431" t="n">
        <v>208</v>
      </c>
      <c r="D89" s="426" t="n">
        <v>0.5</v>
      </c>
      <c r="F89" s="178"/>
      <c r="G89" s="178"/>
      <c r="H89" s="433"/>
      <c r="I89" s="178"/>
      <c r="J89" s="433"/>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row>
    <row r="90" customFormat="false" ht="15.75" hidden="false" customHeight="false" outlineLevel="0" collapsed="false">
      <c r="A90" s="448" t="s">
        <v>762</v>
      </c>
      <c r="B90" s="427" t="n">
        <f aca="false">B89+1</f>
        <v>85</v>
      </c>
      <c r="C90" s="431" t="n">
        <v>209</v>
      </c>
      <c r="D90" s="426" t="n">
        <v>0.5</v>
      </c>
      <c r="F90" s="178"/>
      <c r="G90" s="178"/>
      <c r="H90" s="433"/>
      <c r="I90" s="178"/>
      <c r="J90" s="433"/>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row>
    <row r="91" customFormat="false" ht="15.75" hidden="false" customHeight="false" outlineLevel="0" collapsed="false">
      <c r="A91" s="407" t="s">
        <v>767</v>
      </c>
      <c r="B91" s="427" t="n">
        <f aca="false">B90+1</f>
        <v>86</v>
      </c>
      <c r="C91" s="431" t="n">
        <v>88</v>
      </c>
      <c r="D91" s="426" t="n">
        <v>10</v>
      </c>
      <c r="F91" s="178"/>
      <c r="G91" s="178"/>
      <c r="H91" s="433"/>
      <c r="I91" s="178"/>
      <c r="J91" s="433"/>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row>
    <row r="92" customFormat="false" ht="15.75" hidden="false" customHeight="false" outlineLevel="0" collapsed="false">
      <c r="A92" s="407" t="s">
        <v>768</v>
      </c>
      <c r="B92" s="427" t="n">
        <f aca="false">B91+1</f>
        <v>87</v>
      </c>
      <c r="C92" s="431" t="n">
        <v>89</v>
      </c>
      <c r="D92" s="440" t="n">
        <v>2.5</v>
      </c>
      <c r="F92" s="178"/>
      <c r="G92" s="178"/>
      <c r="H92" s="433"/>
      <c r="I92" s="178"/>
      <c r="J92" s="433"/>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row>
    <row r="93" customFormat="false" ht="15.75" hidden="false" customHeight="false" outlineLevel="0" collapsed="false">
      <c r="A93" s="407" t="s">
        <v>769</v>
      </c>
      <c r="B93" s="427" t="n">
        <f aca="false">B92+1</f>
        <v>88</v>
      </c>
      <c r="C93" s="431" t="n">
        <v>91</v>
      </c>
      <c r="D93" s="440" t="n">
        <v>0.4</v>
      </c>
      <c r="F93" s="178"/>
      <c r="G93" s="178"/>
      <c r="H93" s="433"/>
      <c r="I93" s="178"/>
      <c r="J93" s="433"/>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row>
    <row r="94" customFormat="false" ht="15.75" hidden="false" customHeight="false" outlineLevel="0" collapsed="false">
      <c r="A94" s="407" t="s">
        <v>770</v>
      </c>
      <c r="B94" s="427" t="n">
        <f aca="false">B93+1</f>
        <v>89</v>
      </c>
      <c r="C94" s="431" t="n">
        <v>92</v>
      </c>
      <c r="D94" s="440" t="n">
        <v>0.2</v>
      </c>
      <c r="F94" s="178"/>
      <c r="G94" s="178"/>
      <c r="H94" s="433"/>
      <c r="I94" s="178"/>
      <c r="J94" s="433"/>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row>
    <row r="95" customFormat="false" ht="15.75" hidden="false" customHeight="false" outlineLevel="0" collapsed="false">
      <c r="A95" s="407" t="s">
        <v>771</v>
      </c>
      <c r="B95" s="427" t="n">
        <f aca="false">B94+1</f>
        <v>90</v>
      </c>
      <c r="C95" s="431" t="n">
        <v>90</v>
      </c>
      <c r="D95" s="439" t="n">
        <v>0.01</v>
      </c>
      <c r="F95" s="178"/>
      <c r="G95" s="178"/>
      <c r="H95" s="433"/>
      <c r="I95" s="178"/>
      <c r="J95" s="433"/>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row>
    <row r="96" customFormat="false" ht="15.75" hidden="false" customHeight="false" outlineLevel="0" collapsed="false">
      <c r="A96" s="407" t="s">
        <v>772</v>
      </c>
      <c r="B96" s="427" t="n">
        <f aca="false">B95+1</f>
        <v>91</v>
      </c>
      <c r="C96" s="431" t="n">
        <v>110</v>
      </c>
      <c r="D96" s="439" t="n">
        <v>0.7854</v>
      </c>
      <c r="F96" s="178"/>
      <c r="G96" s="178"/>
      <c r="H96" s="433"/>
      <c r="I96" s="178"/>
      <c r="J96" s="433"/>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row>
    <row r="97" customFormat="false" ht="15.75" hidden="false" customHeight="false" outlineLevel="0" collapsed="false">
      <c r="A97" s="407" t="s">
        <v>773</v>
      </c>
      <c r="B97" s="427" t="n">
        <f aca="false">B96+1</f>
        <v>92</v>
      </c>
      <c r="C97" s="431" t="n">
        <v>104</v>
      </c>
      <c r="D97" s="440" t="n">
        <v>0.3927</v>
      </c>
      <c r="F97" s="178"/>
      <c r="G97" s="178"/>
      <c r="H97" s="433"/>
      <c r="I97" s="178"/>
      <c r="J97" s="433"/>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row>
    <row r="98" customFormat="false" ht="15.75" hidden="false" customHeight="false" outlineLevel="0" collapsed="false">
      <c r="A98" s="407" t="s">
        <v>774</v>
      </c>
      <c r="B98" s="427" t="n">
        <f aca="false">B97+1</f>
        <v>93</v>
      </c>
      <c r="C98" s="431" t="n">
        <v>105</v>
      </c>
      <c r="D98" s="440" t="n">
        <v>0.7854</v>
      </c>
      <c r="F98" s="178"/>
      <c r="G98" s="178"/>
      <c r="H98" s="433"/>
      <c r="I98" s="178"/>
      <c r="J98" s="433"/>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row>
    <row r="99" customFormat="false" ht="15.75" hidden="false" customHeight="false" outlineLevel="0" collapsed="false">
      <c r="A99" s="407" t="s">
        <v>775</v>
      </c>
      <c r="B99" s="427" t="n">
        <f aca="false">B98+1</f>
        <v>94</v>
      </c>
      <c r="C99" s="431" t="n">
        <v>93</v>
      </c>
      <c r="D99" s="440" t="n">
        <v>700</v>
      </c>
      <c r="F99" s="178"/>
      <c r="G99" s="178"/>
      <c r="H99" s="433"/>
      <c r="I99" s="178"/>
      <c r="J99" s="433"/>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row>
    <row r="100" customFormat="false" ht="15.75" hidden="false" customHeight="false" outlineLevel="0" collapsed="false">
      <c r="A100" s="407" t="s">
        <v>776</v>
      </c>
      <c r="B100" s="427" t="n">
        <f aca="false">B99+1</f>
        <v>95</v>
      </c>
      <c r="C100" s="431" t="n">
        <v>94</v>
      </c>
      <c r="D100" s="440" t="n">
        <v>10</v>
      </c>
      <c r="F100" s="178"/>
      <c r="G100" s="178"/>
      <c r="H100" s="433"/>
      <c r="I100" s="178"/>
      <c r="J100" s="433"/>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row>
    <row r="101" customFormat="false" ht="15.75" hidden="false" customHeight="false" outlineLevel="0" collapsed="false">
      <c r="A101" s="407" t="s">
        <v>777</v>
      </c>
      <c r="B101" s="427" t="n">
        <f aca="false">B100+1</f>
        <v>96</v>
      </c>
      <c r="C101" s="431" t="n">
        <v>95</v>
      </c>
      <c r="D101" s="440" t="n">
        <v>0.0859</v>
      </c>
      <c r="F101" s="178"/>
      <c r="G101" s="178"/>
      <c r="H101" s="433"/>
      <c r="I101" s="178"/>
      <c r="J101" s="433"/>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row>
    <row r="102" customFormat="false" ht="15.75" hidden="false" customHeight="false" outlineLevel="0" collapsed="false">
      <c r="A102" s="407" t="s">
        <v>778</v>
      </c>
      <c r="B102" s="427" t="n">
        <f aca="false">B101+1</f>
        <v>97</v>
      </c>
      <c r="C102" s="431" t="n">
        <v>96</v>
      </c>
      <c r="D102" s="440" t="n">
        <v>0.4</v>
      </c>
      <c r="F102" s="178"/>
      <c r="G102" s="178"/>
      <c r="H102" s="433"/>
      <c r="I102" s="178"/>
      <c r="J102" s="433"/>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row>
    <row r="103" customFormat="false" ht="15.75" hidden="false" customHeight="false" outlineLevel="0" collapsed="false">
      <c r="A103" s="407" t="s">
        <v>779</v>
      </c>
      <c r="B103" s="427" t="n">
        <f aca="false">B102+1</f>
        <v>98</v>
      </c>
      <c r="C103" s="431" t="n">
        <v>97</v>
      </c>
      <c r="D103" s="426" t="n">
        <v>0.2</v>
      </c>
      <c r="F103" s="178"/>
      <c r="G103" s="178"/>
      <c r="H103" s="433"/>
      <c r="I103" s="178"/>
      <c r="J103" s="433"/>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row>
    <row r="104" customFormat="false" ht="15.75" hidden="false" customHeight="false" outlineLevel="0" collapsed="false">
      <c r="A104" s="407" t="s">
        <v>780</v>
      </c>
      <c r="B104" s="427" t="n">
        <f aca="false">B103+1</f>
        <v>99</v>
      </c>
      <c r="C104" s="431" t="n">
        <v>98</v>
      </c>
      <c r="D104" s="426" t="n">
        <v>1</v>
      </c>
      <c r="F104" s="178"/>
      <c r="G104" s="178"/>
      <c r="H104" s="433"/>
      <c r="I104" s="178"/>
      <c r="J104" s="433"/>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row>
    <row r="105" customFormat="false" ht="15.75" hidden="false" customHeight="false" outlineLevel="0" collapsed="false">
      <c r="A105" s="407" t="s">
        <v>781</v>
      </c>
      <c r="B105" s="427" t="n">
        <f aca="false">B104+1</f>
        <v>100</v>
      </c>
      <c r="C105" s="431" t="n">
        <v>111</v>
      </c>
      <c r="D105" s="0" t="n">
        <v>2.6986344</v>
      </c>
      <c r="F105" s="178"/>
      <c r="G105" s="178"/>
      <c r="H105" s="433"/>
      <c r="I105" s="178"/>
      <c r="J105" s="433"/>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row>
    <row r="106" customFormat="false" ht="15.75" hidden="false" customHeight="false" outlineLevel="0" collapsed="false">
      <c r="A106" s="407" t="s">
        <v>782</v>
      </c>
      <c r="B106" s="427" t="n">
        <f aca="false">B105+1</f>
        <v>101</v>
      </c>
      <c r="C106" s="431" t="n">
        <v>106</v>
      </c>
      <c r="D106" s="0" t="n">
        <v>11.590634748</v>
      </c>
      <c r="F106" s="178"/>
      <c r="G106" s="178"/>
      <c r="H106" s="433"/>
      <c r="I106" s="178"/>
      <c r="J106" s="433"/>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row>
    <row r="107" customFormat="false" ht="15.75" hidden="false" customHeight="false" outlineLevel="0" collapsed="false">
      <c r="A107" s="407" t="s">
        <v>783</v>
      </c>
      <c r="B107" s="427" t="n">
        <f aca="false">B106+1</f>
        <v>102</v>
      </c>
      <c r="C107" s="431" t="n">
        <v>107</v>
      </c>
      <c r="D107" s="0" t="n">
        <v>23.181269496</v>
      </c>
      <c r="F107" s="449"/>
      <c r="G107" s="450"/>
      <c r="H107" s="433"/>
      <c r="I107" s="178"/>
      <c r="J107" s="433"/>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row>
    <row r="108" customFormat="false" ht="15.75" hidden="false" customHeight="false" outlineLevel="0" collapsed="false">
      <c r="A108" s="407" t="s">
        <v>784</v>
      </c>
      <c r="B108" s="427" t="n">
        <f aca="false">B107+1</f>
        <v>103</v>
      </c>
      <c r="C108" s="431" t="n">
        <v>99</v>
      </c>
      <c r="D108" s="0" t="n">
        <v>53.0515236397589</v>
      </c>
      <c r="F108" s="451"/>
      <c r="G108" s="433"/>
      <c r="H108" s="433"/>
      <c r="I108" s="178"/>
      <c r="J108" s="433"/>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row>
    <row r="109" customFormat="false" ht="15.75" hidden="false" customHeight="false" outlineLevel="0" collapsed="false">
      <c r="A109" s="407" t="s">
        <v>785</v>
      </c>
      <c r="B109" s="427" t="n">
        <f aca="false">B108+1</f>
        <v>104</v>
      </c>
      <c r="C109" s="431" t="n">
        <v>100</v>
      </c>
      <c r="D109" s="0" t="n">
        <v>0.002</v>
      </c>
      <c r="F109" s="451"/>
      <c r="G109" s="450"/>
      <c r="H109" s="433"/>
      <c r="I109" s="178"/>
      <c r="J109" s="433"/>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row>
    <row r="110" customFormat="false" ht="15.75" hidden="false" customHeight="false" outlineLevel="0" collapsed="false">
      <c r="A110" s="407" t="s">
        <v>786</v>
      </c>
      <c r="B110" s="427" t="n">
        <f aca="false">B109+1</f>
        <v>105</v>
      </c>
      <c r="C110" s="431" t="n">
        <v>112</v>
      </c>
      <c r="D110" s="119" t="n">
        <v>10.2633458778052</v>
      </c>
      <c r="F110" s="452"/>
      <c r="G110" s="450"/>
      <c r="H110" s="433"/>
      <c r="I110" s="178"/>
      <c r="J110" s="433"/>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row>
    <row r="111" customFormat="false" ht="15.75" hidden="false" customHeight="false" outlineLevel="0" collapsed="false">
      <c r="A111" s="407" t="s">
        <v>787</v>
      </c>
      <c r="B111" s="427" t="n">
        <f aca="false">B110+1</f>
        <v>106</v>
      </c>
      <c r="C111" s="431" t="n">
        <v>113</v>
      </c>
      <c r="D111" s="119" t="n">
        <v>0.333333333333333</v>
      </c>
      <c r="F111" s="452"/>
      <c r="G111" s="450"/>
      <c r="H111" s="433"/>
      <c r="I111" s="178"/>
      <c r="J111" s="433"/>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row>
    <row r="112" customFormat="false" ht="15.75" hidden="false" customHeight="false" outlineLevel="0" collapsed="false">
      <c r="A112" s="407" t="s">
        <v>788</v>
      </c>
      <c r="B112" s="427" t="n">
        <f aca="false">B111+1</f>
        <v>107</v>
      </c>
      <c r="C112" s="431" t="n">
        <v>114</v>
      </c>
      <c r="D112" s="119" t="n">
        <v>797.807060205464</v>
      </c>
      <c r="F112" s="452"/>
      <c r="G112" s="450"/>
      <c r="H112" s="433"/>
      <c r="I112" s="178"/>
      <c r="J112" s="433"/>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row>
    <row r="113" customFormat="false" ht="15.75" hidden="false" customHeight="false" outlineLevel="0" collapsed="false">
      <c r="A113" s="407" t="s">
        <v>789</v>
      </c>
      <c r="B113" s="427" t="n">
        <f aca="false">B112+1</f>
        <v>108</v>
      </c>
      <c r="C113" s="431" t="n">
        <v>115</v>
      </c>
      <c r="D113" s="119" t="n">
        <v>0.0031425721899438</v>
      </c>
      <c r="F113" s="178"/>
      <c r="G113" s="178"/>
      <c r="H113" s="433"/>
      <c r="I113" s="178"/>
      <c r="J113" s="433"/>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row>
    <row r="114" customFormat="false" ht="15.75" hidden="false" customHeight="false" outlineLevel="0" collapsed="false">
      <c r="A114" s="407" t="s">
        <v>790</v>
      </c>
      <c r="B114" s="427" t="n">
        <f aca="false">B113+1</f>
        <v>109</v>
      </c>
      <c r="C114" s="431" t="n">
        <v>108</v>
      </c>
      <c r="D114" s="0" t="n">
        <v>4.3163801316482</v>
      </c>
      <c r="F114" s="178"/>
      <c r="G114" s="178"/>
      <c r="H114" s="433"/>
      <c r="I114" s="178"/>
      <c r="J114" s="433"/>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row>
    <row r="115" customFormat="false" ht="15.75" hidden="false" customHeight="false" outlineLevel="0" collapsed="false">
      <c r="A115" s="407" t="s">
        <v>791</v>
      </c>
      <c r="B115" s="427" t="n">
        <f aca="false">B114+1</f>
        <v>110</v>
      </c>
      <c r="C115" s="431" t="n">
        <v>109</v>
      </c>
      <c r="D115" s="0" t="n">
        <v>8.63276026329639</v>
      </c>
      <c r="F115" s="178"/>
      <c r="G115" s="178"/>
      <c r="H115" s="433"/>
      <c r="I115" s="178"/>
      <c r="J115" s="433"/>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row>
    <row r="116" customFormat="false" ht="15.75" hidden="false" customHeight="false" outlineLevel="0" collapsed="false">
      <c r="A116" s="407" t="s">
        <v>792</v>
      </c>
      <c r="B116" s="427" t="n">
        <f aca="false">B115+1</f>
        <v>111</v>
      </c>
      <c r="C116" s="431" t="n">
        <v>101</v>
      </c>
      <c r="D116" s="0" t="n">
        <v>0.4</v>
      </c>
      <c r="F116" s="178"/>
      <c r="G116" s="178"/>
      <c r="H116" s="433"/>
      <c r="I116" s="178"/>
      <c r="J116" s="433"/>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row>
    <row r="117" customFormat="false" ht="15.75" hidden="false" customHeight="false" outlineLevel="0" collapsed="false">
      <c r="A117" s="407" t="s">
        <v>793</v>
      </c>
      <c r="B117" s="427" t="n">
        <f aca="false">B116+1</f>
        <v>112</v>
      </c>
      <c r="C117" s="431" t="n">
        <v>102</v>
      </c>
      <c r="D117" s="0" t="n">
        <v>0.2</v>
      </c>
      <c r="F117" s="178"/>
      <c r="G117" s="178"/>
      <c r="H117" s="433"/>
      <c r="I117" s="178"/>
      <c r="J117" s="433"/>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row>
    <row r="118" customFormat="false" ht="15.75" hidden="false" customHeight="false" outlineLevel="0" collapsed="false">
      <c r="A118" s="407" t="s">
        <v>794</v>
      </c>
      <c r="B118" s="427" t="n">
        <f aca="false">B117+1</f>
        <v>113</v>
      </c>
      <c r="C118" s="431" t="n">
        <v>65</v>
      </c>
      <c r="D118" s="426" t="n">
        <v>50</v>
      </c>
      <c r="F118" s="178"/>
      <c r="G118" s="178"/>
      <c r="H118" s="433"/>
      <c r="I118" s="178"/>
      <c r="J118" s="433"/>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row>
    <row r="119" customFormat="false" ht="15.75" hidden="false" customHeight="false" outlineLevel="0" collapsed="false">
      <c r="A119" s="407" t="s">
        <v>946</v>
      </c>
      <c r="B119" s="427" t="n">
        <f aca="false">B118+1</f>
        <v>114</v>
      </c>
      <c r="C119" s="431" t="n">
        <v>66</v>
      </c>
      <c r="D119" s="426" t="n">
        <v>45</v>
      </c>
      <c r="F119" s="178"/>
      <c r="G119" s="178"/>
      <c r="H119" s="433"/>
      <c r="I119" s="178"/>
      <c r="J119" s="433"/>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row>
    <row r="120" customFormat="false" ht="15.75" hidden="false" customHeight="false" outlineLevel="0" collapsed="false">
      <c r="A120" s="407" t="s">
        <v>798</v>
      </c>
      <c r="B120" s="427" t="n">
        <f aca="false">B119+1</f>
        <v>115</v>
      </c>
      <c r="C120" s="431" t="n">
        <v>67</v>
      </c>
      <c r="D120" s="0" t="n">
        <v>0</v>
      </c>
      <c r="F120" s="178"/>
      <c r="G120" s="178"/>
      <c r="H120" s="433"/>
      <c r="I120" s="178"/>
      <c r="J120" s="433"/>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row>
    <row r="121" customFormat="false" ht="15.75" hidden="false" customHeight="false" outlineLevel="0" collapsed="false">
      <c r="A121" s="407" t="s">
        <v>799</v>
      </c>
      <c r="B121" s="427" t="n">
        <f aca="false">B120+1</f>
        <v>116</v>
      </c>
      <c r="C121" s="431" t="n">
        <v>68</v>
      </c>
      <c r="D121" s="0" t="n">
        <v>1</v>
      </c>
      <c r="F121" s="178"/>
      <c r="G121" s="178"/>
      <c r="H121" s="433"/>
      <c r="I121" s="178"/>
      <c r="J121" s="433"/>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row>
    <row r="122" customFormat="false" ht="15.75" hidden="false" customHeight="false" outlineLevel="0" collapsed="false">
      <c r="A122" s="407" t="s">
        <v>800</v>
      </c>
      <c r="B122" s="427" t="n">
        <f aca="false">B121+1</f>
        <v>117</v>
      </c>
      <c r="C122" s="431" t="n">
        <v>69</v>
      </c>
      <c r="D122" s="0" t="n">
        <v>0</v>
      </c>
      <c r="F122" s="178"/>
      <c r="G122" s="178"/>
      <c r="H122" s="433"/>
      <c r="I122" s="178"/>
      <c r="J122" s="433"/>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row>
    <row r="123" customFormat="false" ht="15.75" hidden="false" customHeight="false" outlineLevel="0" collapsed="false">
      <c r="A123" s="407" t="s">
        <v>801</v>
      </c>
      <c r="B123" s="427" t="n">
        <f aca="false">B122+1</f>
        <v>118</v>
      </c>
      <c r="C123" s="431" t="n">
        <v>70</v>
      </c>
      <c r="D123" s="441" t="n">
        <v>120</v>
      </c>
      <c r="F123" s="178"/>
      <c r="G123" s="178"/>
      <c r="H123" s="433"/>
      <c r="I123" s="178"/>
      <c r="J123" s="433"/>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row>
    <row r="124" customFormat="false" ht="15.75" hidden="false" customHeight="false" outlineLevel="0" collapsed="false">
      <c r="A124" s="407" t="s">
        <v>802</v>
      </c>
      <c r="B124" s="427" t="n">
        <f aca="false">B123+1</f>
        <v>119</v>
      </c>
      <c r="C124" s="431" t="n">
        <v>71</v>
      </c>
      <c r="D124" s="0" t="n">
        <v>140</v>
      </c>
      <c r="F124" s="178"/>
      <c r="G124" s="178"/>
      <c r="H124" s="433"/>
      <c r="I124" s="178"/>
      <c r="J124" s="433"/>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row>
    <row r="125" customFormat="false" ht="15.75" hidden="false" customHeight="false" outlineLevel="0" collapsed="false">
      <c r="A125" s="407" t="s">
        <v>803</v>
      </c>
      <c r="B125" s="427" t="n">
        <f aca="false">B124+1</f>
        <v>120</v>
      </c>
      <c r="C125" s="431" t="n">
        <v>72</v>
      </c>
      <c r="D125" s="442" t="n">
        <v>270</v>
      </c>
      <c r="F125" s="178"/>
      <c r="G125" s="178"/>
      <c r="H125" s="433"/>
      <c r="I125" s="178"/>
      <c r="J125" s="433"/>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row>
    <row r="126" customFormat="false" ht="15.75" hidden="false" customHeight="false" outlineLevel="0" collapsed="false">
      <c r="A126" s="407" t="s">
        <v>804</v>
      </c>
      <c r="B126" s="427" t="n">
        <f aca="false">B125+1</f>
        <v>121</v>
      </c>
      <c r="C126" s="431" t="n">
        <v>73</v>
      </c>
      <c r="D126" s="181" t="n">
        <v>290</v>
      </c>
      <c r="F126" s="178"/>
      <c r="G126" s="178"/>
      <c r="H126" s="433"/>
      <c r="I126" s="178"/>
      <c r="J126" s="433"/>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row>
    <row r="127" customFormat="false" ht="15.75" hidden="false" customHeight="false" outlineLevel="0" collapsed="false">
      <c r="A127" s="407" t="s">
        <v>805</v>
      </c>
      <c r="B127" s="427" t="n">
        <f aca="false">B126+1</f>
        <v>122</v>
      </c>
      <c r="C127" s="431" t="n">
        <v>74</v>
      </c>
      <c r="D127" s="181" t="n">
        <v>0</v>
      </c>
      <c r="F127" s="178"/>
      <c r="G127" s="178"/>
      <c r="H127" s="433"/>
      <c r="I127" s="178"/>
      <c r="J127" s="433"/>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row>
    <row r="128" customFormat="false" ht="15.75" hidden="false" customHeight="false" outlineLevel="0" collapsed="false">
      <c r="A128" s="407" t="s">
        <v>806</v>
      </c>
      <c r="B128" s="427" t="n">
        <f aca="false">B127+1</f>
        <v>123</v>
      </c>
      <c r="C128" s="431" t="n">
        <v>75</v>
      </c>
      <c r="D128" s="181" t="n">
        <v>-3</v>
      </c>
      <c r="F128" s="178"/>
      <c r="G128" s="178"/>
      <c r="H128" s="433"/>
      <c r="I128" s="178"/>
      <c r="J128" s="433"/>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row>
    <row r="129" customFormat="false" ht="15.75" hidden="false" customHeight="false" outlineLevel="0" collapsed="false">
      <c r="A129" s="407" t="s">
        <v>807</v>
      </c>
      <c r="B129" s="427" t="n">
        <f aca="false">B128+1</f>
        <v>124</v>
      </c>
      <c r="C129" s="431" t="n">
        <v>76</v>
      </c>
      <c r="D129" s="443" t="n">
        <v>50</v>
      </c>
      <c r="F129" s="178"/>
      <c r="G129" s="178"/>
      <c r="H129" s="433"/>
      <c r="I129" s="178"/>
      <c r="J129" s="433"/>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row>
    <row r="130" customFormat="false" ht="15.75" hidden="false" customHeight="false" outlineLevel="0" collapsed="false">
      <c r="A130" s="407" t="s">
        <v>808</v>
      </c>
      <c r="B130" s="427" t="n">
        <f aca="false">B129+1</f>
        <v>125</v>
      </c>
      <c r="C130" s="431" t="n">
        <v>77</v>
      </c>
      <c r="D130" s="426" t="n">
        <v>100</v>
      </c>
      <c r="F130" s="178"/>
      <c r="G130" s="178"/>
      <c r="H130" s="433"/>
      <c r="I130" s="178"/>
      <c r="J130" s="433"/>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row>
    <row r="131" customFormat="false" ht="15.75" hidden="false" customHeight="false" outlineLevel="0" collapsed="false">
      <c r="A131" s="407" t="s">
        <v>809</v>
      </c>
      <c r="B131" s="427" t="n">
        <f aca="false">B130+1</f>
        <v>126</v>
      </c>
      <c r="C131" s="431" t="n">
        <v>78</v>
      </c>
      <c r="D131" s="0" t="n">
        <v>0.25</v>
      </c>
      <c r="F131" s="178"/>
      <c r="G131" s="178"/>
      <c r="H131" s="433"/>
      <c r="I131" s="178"/>
      <c r="J131" s="433"/>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row>
    <row r="132" customFormat="false" ht="15.75" hidden="false" customHeight="false" outlineLevel="0" collapsed="false">
      <c r="A132" s="407" t="s">
        <v>810</v>
      </c>
      <c r="B132" s="427" t="n">
        <f aca="false">B131+1</f>
        <v>127</v>
      </c>
      <c r="C132" s="431" t="n">
        <v>79</v>
      </c>
      <c r="D132" s="0" t="n">
        <v>45.849</v>
      </c>
      <c r="F132" s="178"/>
      <c r="G132" s="178"/>
      <c r="H132" s="433"/>
      <c r="I132" s="178"/>
      <c r="J132" s="433"/>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row>
    <row r="133" customFormat="false" ht="15.75" hidden="false" customHeight="false" outlineLevel="0" collapsed="false">
      <c r="A133" s="407" t="s">
        <v>811</v>
      </c>
      <c r="B133" s="427" t="n">
        <f aca="false">B132+1</f>
        <v>128</v>
      </c>
      <c r="C133" s="431" t="n">
        <v>49</v>
      </c>
      <c r="D133" s="0" t="n">
        <v>0</v>
      </c>
      <c r="F133" s="178"/>
      <c r="G133" s="178"/>
      <c r="H133" s="433"/>
      <c r="I133" s="178"/>
      <c r="J133" s="433"/>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row>
    <row r="134" customFormat="false" ht="15.75" hidden="false" customHeight="false" outlineLevel="0" collapsed="false">
      <c r="A134" s="407" t="s">
        <v>812</v>
      </c>
      <c r="B134" s="427" t="n">
        <f aca="false">B133+1</f>
        <v>129</v>
      </c>
      <c r="C134" s="431" t="n">
        <v>50</v>
      </c>
      <c r="D134" s="0" t="n">
        <v>0</v>
      </c>
      <c r="F134" s="178"/>
      <c r="G134" s="178"/>
      <c r="H134" s="433"/>
      <c r="I134" s="178"/>
      <c r="J134" s="433"/>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row>
    <row r="135" customFormat="false" ht="15.75" hidden="false" customHeight="false" outlineLevel="0" collapsed="false">
      <c r="A135" s="407" t="s">
        <v>813</v>
      </c>
      <c r="B135" s="427" t="n">
        <f aca="false">B134+1</f>
        <v>130</v>
      </c>
      <c r="C135" s="431" t="n">
        <v>51</v>
      </c>
      <c r="D135" s="426" t="n">
        <v>10000</v>
      </c>
      <c r="F135" s="178"/>
      <c r="G135" s="178"/>
      <c r="H135" s="433"/>
      <c r="I135" s="178"/>
      <c r="J135" s="433"/>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row>
    <row r="136" customFormat="false" ht="15.75" hidden="false" customHeight="false" outlineLevel="0" collapsed="false">
      <c r="A136" s="407" t="s">
        <v>814</v>
      </c>
      <c r="B136" s="427" t="n">
        <f aca="false">B135+1</f>
        <v>131</v>
      </c>
      <c r="C136" s="431" t="n">
        <v>204</v>
      </c>
      <c r="D136" s="426" t="n">
        <v>0</v>
      </c>
      <c r="F136" s="178"/>
      <c r="G136" s="178"/>
      <c r="H136" s="433"/>
      <c r="I136" s="178"/>
      <c r="J136" s="433"/>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row>
    <row r="137" customFormat="false" ht="15.75" hidden="false" customHeight="false" outlineLevel="0" collapsed="false">
      <c r="A137" s="407" t="s">
        <v>815</v>
      </c>
      <c r="B137" s="427" t="n">
        <f aca="false">B136+1</f>
        <v>132</v>
      </c>
      <c r="C137" s="431" t="n">
        <v>25</v>
      </c>
      <c r="D137" s="0" t="n">
        <v>9</v>
      </c>
      <c r="F137" s="178"/>
      <c r="G137" s="178"/>
      <c r="H137" s="433"/>
      <c r="I137" s="178"/>
      <c r="J137" s="433"/>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row>
    <row r="138" customFormat="false" ht="15.75" hidden="false" customHeight="false" outlineLevel="0" collapsed="false">
      <c r="A138" s="407" t="s">
        <v>816</v>
      </c>
      <c r="B138" s="427" t="n">
        <f aca="false">B137+1</f>
        <v>133</v>
      </c>
      <c r="C138" s="431" t="n">
        <v>26</v>
      </c>
      <c r="D138" s="444" t="n">
        <v>10</v>
      </c>
      <c r="F138" s="178"/>
      <c r="G138" s="178"/>
      <c r="H138" s="433"/>
      <c r="I138" s="178"/>
      <c r="J138" s="433"/>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row>
    <row r="139" customFormat="false" ht="15.75" hidden="false" customHeight="false" outlineLevel="0" collapsed="false">
      <c r="A139" s="407" t="s">
        <v>817</v>
      </c>
      <c r="B139" s="427" t="n">
        <f aca="false">B138+1</f>
        <v>134</v>
      </c>
      <c r="C139" s="431" t="n">
        <v>27</v>
      </c>
      <c r="D139" s="426" t="n">
        <v>-20</v>
      </c>
      <c r="F139" s="178"/>
      <c r="G139" s="178"/>
      <c r="H139" s="433"/>
      <c r="I139" s="178"/>
      <c r="J139" s="433"/>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row>
    <row r="140" customFormat="false" ht="15.75" hidden="false" customHeight="false" outlineLevel="0" collapsed="false">
      <c r="A140" s="407" t="s">
        <v>947</v>
      </c>
      <c r="B140" s="427" t="n">
        <f aca="false">B139+1</f>
        <v>135</v>
      </c>
      <c r="C140" s="431" t="n">
        <v>28</v>
      </c>
      <c r="D140" s="426" t="n">
        <v>-20</v>
      </c>
      <c r="F140" s="178"/>
      <c r="G140" s="178"/>
      <c r="H140" s="433"/>
      <c r="I140" s="178"/>
      <c r="J140" s="433"/>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row>
    <row r="141" customFormat="false" ht="15.75" hidden="false" customHeight="false" outlineLevel="0" collapsed="false">
      <c r="A141" s="407" t="s">
        <v>948</v>
      </c>
      <c r="B141" s="427" t="n">
        <f aca="false">B140+1</f>
        <v>136</v>
      </c>
      <c r="C141" s="431" t="n">
        <v>29</v>
      </c>
      <c r="D141" s="426" t="n">
        <v>-40</v>
      </c>
      <c r="F141" s="178"/>
      <c r="G141" s="178"/>
      <c r="H141" s="433"/>
      <c r="I141" s="178"/>
      <c r="J141" s="433"/>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row>
    <row r="142" customFormat="false" ht="15.75" hidden="false" customHeight="false" outlineLevel="0" collapsed="false">
      <c r="A142" s="407" t="s">
        <v>949</v>
      </c>
      <c r="B142" s="427" t="n">
        <f aca="false">B141+1</f>
        <v>137</v>
      </c>
      <c r="C142" s="431" t="n">
        <v>119</v>
      </c>
      <c r="D142" s="426" t="n">
        <v>52.5</v>
      </c>
      <c r="F142" s="178"/>
      <c r="G142" s="178"/>
      <c r="H142" s="433"/>
      <c r="I142" s="178"/>
      <c r="J142" s="433"/>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row>
    <row r="143" customFormat="false" ht="15.75" hidden="false" customHeight="false" outlineLevel="0" collapsed="false">
      <c r="A143" s="407" t="s">
        <v>823</v>
      </c>
      <c r="B143" s="427" t="n">
        <f aca="false">B142+1</f>
        <v>138</v>
      </c>
      <c r="C143" s="431" t="n">
        <v>120</v>
      </c>
      <c r="D143" s="426" t="n">
        <v>10</v>
      </c>
      <c r="F143" s="178"/>
      <c r="G143" s="178"/>
      <c r="H143" s="433"/>
      <c r="I143" s="178"/>
      <c r="J143" s="433"/>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row>
    <row r="144" customFormat="false" ht="15.75" hidden="false" customHeight="false" outlineLevel="0" collapsed="false">
      <c r="A144" s="407" t="s">
        <v>824</v>
      </c>
      <c r="B144" s="427" t="n">
        <f aca="false">B143+1</f>
        <v>139</v>
      </c>
      <c r="C144" s="431" t="n">
        <v>8</v>
      </c>
      <c r="D144" s="426" t="n">
        <v>1</v>
      </c>
      <c r="F144" s="178"/>
      <c r="G144" s="178"/>
      <c r="H144" s="433"/>
      <c r="I144" s="178"/>
      <c r="J144" s="433"/>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row>
    <row r="145" customFormat="false" ht="15.75" hidden="false" customHeight="false" outlineLevel="0" collapsed="false">
      <c r="A145" s="407" t="s">
        <v>825</v>
      </c>
      <c r="B145" s="427" t="n">
        <f aca="false">B144+1</f>
        <v>140</v>
      </c>
      <c r="C145" s="431" t="n">
        <v>121</v>
      </c>
      <c r="D145" s="142" t="n">
        <v>0.006</v>
      </c>
      <c r="F145" s="178"/>
      <c r="G145" s="178"/>
      <c r="H145" s="433"/>
      <c r="I145" s="178"/>
      <c r="J145" s="433"/>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row>
    <row r="146" customFormat="false" ht="15.75" hidden="false" customHeight="false" outlineLevel="0" collapsed="false">
      <c r="A146" s="407" t="s">
        <v>826</v>
      </c>
      <c r="B146" s="427" t="n">
        <f aca="false">B145+1</f>
        <v>141</v>
      </c>
      <c r="C146" s="431" t="n">
        <v>122</v>
      </c>
      <c r="D146" s="426" t="n">
        <v>0</v>
      </c>
      <c r="F146" s="178"/>
      <c r="G146" s="178"/>
      <c r="H146" s="433"/>
      <c r="I146" s="178"/>
      <c r="J146" s="433"/>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row>
    <row r="147" customFormat="false" ht="15.75" hidden="false" customHeight="false" outlineLevel="0" collapsed="false">
      <c r="A147" s="407" t="s">
        <v>827</v>
      </c>
      <c r="B147" s="427" t="n">
        <f aca="false">B146+1</f>
        <v>142</v>
      </c>
      <c r="C147" s="431" t="n">
        <v>198</v>
      </c>
      <c r="D147" s="0" t="n">
        <v>0</v>
      </c>
      <c r="F147" s="178"/>
      <c r="G147" s="178"/>
      <c r="H147" s="433"/>
      <c r="I147" s="178"/>
      <c r="J147" s="433"/>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row>
    <row r="148" customFormat="false" ht="15.75" hidden="false" customHeight="false" outlineLevel="0" collapsed="false">
      <c r="A148" s="407" t="s">
        <v>828</v>
      </c>
      <c r="B148" s="427" t="n">
        <f aca="false">B147+1</f>
        <v>143</v>
      </c>
      <c r="C148" s="431" t="n">
        <v>123</v>
      </c>
      <c r="D148" s="426" t="n">
        <v>25</v>
      </c>
      <c r="F148" s="178"/>
      <c r="G148" s="178"/>
      <c r="H148" s="433"/>
      <c r="I148" s="178"/>
      <c r="J148" s="433"/>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row>
    <row r="149" customFormat="false" ht="15.75" hidden="false" customHeight="false" outlineLevel="0" collapsed="false">
      <c r="A149" s="407" t="s">
        <v>829</v>
      </c>
      <c r="B149" s="427" t="n">
        <f aca="false">B148+1</f>
        <v>144</v>
      </c>
      <c r="C149" s="431" t="n">
        <v>124</v>
      </c>
      <c r="D149" s="426" t="n">
        <v>17</v>
      </c>
      <c r="F149" s="178"/>
      <c r="G149" s="178"/>
      <c r="H149" s="433"/>
      <c r="I149" s="178"/>
      <c r="J149" s="433"/>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row>
    <row r="150" customFormat="false" ht="15.75" hidden="false" customHeight="false" outlineLevel="0" collapsed="false">
      <c r="A150" s="407" t="s">
        <v>830</v>
      </c>
      <c r="B150" s="427" t="n">
        <f aca="false">B149+1</f>
        <v>145</v>
      </c>
      <c r="C150" s="431" t="n">
        <v>22</v>
      </c>
      <c r="D150" s="426" t="n">
        <v>0</v>
      </c>
      <c r="F150" s="178"/>
      <c r="G150" s="178"/>
      <c r="H150" s="433"/>
      <c r="I150" s="178"/>
      <c r="J150" s="433"/>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row>
    <row r="151" customFormat="false" ht="15.75" hidden="false" customHeight="false" outlineLevel="0" collapsed="false">
      <c r="A151" s="407" t="s">
        <v>831</v>
      </c>
      <c r="B151" s="427" t="n">
        <f aca="false">B150+1</f>
        <v>146</v>
      </c>
      <c r="C151" s="431" t="n">
        <v>125</v>
      </c>
      <c r="D151" s="426" t="n">
        <v>0</v>
      </c>
      <c r="F151" s="178"/>
      <c r="G151" s="178"/>
      <c r="H151" s="433"/>
      <c r="I151" s="178"/>
      <c r="J151" s="433"/>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row>
    <row r="152" customFormat="false" ht="15.75" hidden="false" customHeight="false" outlineLevel="0" collapsed="false">
      <c r="A152" s="407" t="s">
        <v>832</v>
      </c>
      <c r="B152" s="427" t="n">
        <f aca="false">B151+1</f>
        <v>147</v>
      </c>
      <c r="C152" s="431" t="n">
        <v>126</v>
      </c>
      <c r="D152" s="426" t="n">
        <v>35</v>
      </c>
      <c r="F152" s="178"/>
      <c r="G152" s="178"/>
      <c r="H152" s="433"/>
      <c r="I152" s="178"/>
      <c r="J152" s="433"/>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row>
    <row r="153" customFormat="false" ht="15.75" hidden="false" customHeight="false" outlineLevel="0" collapsed="false">
      <c r="A153" s="407" t="s">
        <v>833</v>
      </c>
      <c r="B153" s="427" t="n">
        <f aca="false">B152+1</f>
        <v>148</v>
      </c>
      <c r="C153" s="431" t="n">
        <v>127</v>
      </c>
      <c r="D153" s="178" t="n">
        <v>1.2</v>
      </c>
      <c r="F153" s="178"/>
      <c r="G153" s="178"/>
      <c r="H153" s="433"/>
      <c r="I153" s="178"/>
      <c r="J153" s="433"/>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row>
    <row r="154" customFormat="false" ht="15.75" hidden="false" customHeight="false" outlineLevel="0" collapsed="false">
      <c r="A154" s="407" t="s">
        <v>834</v>
      </c>
      <c r="B154" s="427" t="n">
        <f aca="false">B153+1</f>
        <v>149</v>
      </c>
      <c r="C154" s="431" t="n">
        <v>128</v>
      </c>
      <c r="D154" s="0" t="n">
        <v>4.8</v>
      </c>
      <c r="F154" s="178"/>
      <c r="G154" s="178"/>
      <c r="H154" s="433"/>
      <c r="I154" s="178"/>
      <c r="J154" s="433"/>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row>
    <row r="155" customFormat="false" ht="15.75" hidden="false" customHeight="false" outlineLevel="0" collapsed="false">
      <c r="A155" s="407" t="s">
        <v>836</v>
      </c>
      <c r="B155" s="427" t="n">
        <f aca="false">B154+1</f>
        <v>150</v>
      </c>
      <c r="C155" s="431" t="n">
        <v>129</v>
      </c>
      <c r="D155" s="442" t="n">
        <v>0</v>
      </c>
      <c r="F155" s="178"/>
      <c r="G155" s="178"/>
      <c r="H155" s="433"/>
      <c r="I155" s="178"/>
      <c r="J155" s="433"/>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row>
    <row r="156" customFormat="false" ht="15.75" hidden="false" customHeight="false" outlineLevel="0" collapsed="false">
      <c r="A156" s="407" t="s">
        <v>837</v>
      </c>
      <c r="B156" s="427" t="n">
        <f aca="false">B155+1</f>
        <v>151</v>
      </c>
      <c r="C156" s="431" t="n">
        <v>130</v>
      </c>
      <c r="D156" s="442" t="n">
        <v>0</v>
      </c>
      <c r="F156" s="178"/>
      <c r="G156" s="178"/>
      <c r="H156" s="433"/>
      <c r="I156" s="178"/>
      <c r="J156" s="433"/>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row>
    <row r="157" customFormat="false" ht="15.75" hidden="false" customHeight="false" outlineLevel="0" collapsed="false">
      <c r="A157" s="407" t="s">
        <v>838</v>
      </c>
      <c r="B157" s="427" t="n">
        <f aca="false">B156+1</f>
        <v>152</v>
      </c>
      <c r="C157" s="431" t="n">
        <v>131</v>
      </c>
      <c r="D157" s="442" t="n">
        <v>0</v>
      </c>
      <c r="F157" s="178"/>
      <c r="G157" s="178"/>
      <c r="H157" s="433"/>
      <c r="I157" s="178"/>
      <c r="J157" s="433"/>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row>
    <row r="158" customFormat="false" ht="15.75" hidden="false" customHeight="false" outlineLevel="0" collapsed="false">
      <c r="A158" s="407" t="s">
        <v>839</v>
      </c>
      <c r="B158" s="427" t="n">
        <f aca="false">B157+1</f>
        <v>153</v>
      </c>
      <c r="C158" s="431" t="n">
        <v>132</v>
      </c>
      <c r="D158" s="442" t="n">
        <v>0</v>
      </c>
      <c r="F158" s="178"/>
      <c r="G158" s="178"/>
      <c r="H158" s="433"/>
      <c r="I158" s="178"/>
      <c r="J158" s="433"/>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row>
    <row r="159" customFormat="false" ht="15.75" hidden="false" customHeight="false" outlineLevel="0" collapsed="false">
      <c r="A159" s="407" t="s">
        <v>841</v>
      </c>
      <c r="B159" s="427" t="n">
        <f aca="false">B158+1</f>
        <v>154</v>
      </c>
      <c r="C159" s="431" t="n">
        <v>80</v>
      </c>
      <c r="D159" s="442" t="n">
        <v>110</v>
      </c>
      <c r="F159" s="178"/>
      <c r="G159" s="178"/>
      <c r="H159" s="433"/>
      <c r="I159" s="178"/>
      <c r="J159" s="433"/>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row>
    <row r="160" customFormat="false" ht="15.75" hidden="false" customHeight="false" outlineLevel="0" collapsed="false">
      <c r="A160" s="407" t="s">
        <v>842</v>
      </c>
      <c r="B160" s="427" t="n">
        <f aca="false">B159+1</f>
        <v>155</v>
      </c>
      <c r="C160" s="431" t="n">
        <v>81</v>
      </c>
      <c r="D160" s="442" t="n">
        <v>180</v>
      </c>
      <c r="F160" s="178"/>
      <c r="G160" s="178"/>
      <c r="H160" s="433"/>
      <c r="I160" s="178"/>
      <c r="J160" s="433"/>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row>
    <row r="161" customFormat="false" ht="15.75" hidden="false" customHeight="false" outlineLevel="0" collapsed="false">
      <c r="A161" s="407" t="s">
        <v>843</v>
      </c>
      <c r="B161" s="427" t="n">
        <f aca="false">B160+1</f>
        <v>156</v>
      </c>
      <c r="C161" s="431" t="n">
        <v>82</v>
      </c>
      <c r="D161" s="442" t="n">
        <v>0</v>
      </c>
      <c r="F161" s="178"/>
      <c r="G161" s="178"/>
      <c r="H161" s="433"/>
      <c r="I161" s="178"/>
      <c r="J161" s="433"/>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row>
    <row r="162" customFormat="false" ht="15.75" hidden="false" customHeight="false" outlineLevel="0" collapsed="false">
      <c r="A162" s="407" t="s">
        <v>844</v>
      </c>
      <c r="B162" s="427" t="n">
        <f aca="false">B161+1</f>
        <v>157</v>
      </c>
      <c r="C162" s="431" t="n">
        <v>83</v>
      </c>
      <c r="D162" s="442" t="n">
        <v>-0.37</v>
      </c>
      <c r="F162" s="178"/>
      <c r="G162" s="178"/>
      <c r="H162" s="433"/>
      <c r="I162" s="178"/>
      <c r="J162" s="433"/>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row>
    <row r="163" customFormat="false" ht="15.75" hidden="false" customHeight="false" outlineLevel="0" collapsed="false">
      <c r="A163" s="407" t="s">
        <v>845</v>
      </c>
      <c r="B163" s="427" t="n">
        <f aca="false">B162+1</f>
        <v>158</v>
      </c>
      <c r="C163" s="431" t="n">
        <v>84</v>
      </c>
      <c r="D163" s="0" t="n">
        <v>0.12</v>
      </c>
      <c r="F163" s="178"/>
      <c r="G163" s="178"/>
      <c r="H163" s="433"/>
      <c r="I163" s="178"/>
      <c r="J163" s="433"/>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row>
    <row r="164" customFormat="false" ht="15.75" hidden="false" customHeight="false" outlineLevel="0" collapsed="false">
      <c r="A164" s="407" t="s">
        <v>846</v>
      </c>
      <c r="B164" s="427" t="n">
        <f aca="false">B163+1</f>
        <v>159</v>
      </c>
      <c r="C164" s="431" t="n">
        <v>85</v>
      </c>
      <c r="D164" s="427" t="n">
        <v>41.14</v>
      </c>
      <c r="F164" s="178"/>
      <c r="G164" s="178"/>
      <c r="H164" s="433"/>
      <c r="I164" s="178"/>
      <c r="J164" s="433"/>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row>
    <row r="165" customFormat="false" ht="15.75" hidden="false" customHeight="false" outlineLevel="0" collapsed="false">
      <c r="A165" s="407" t="s">
        <v>847</v>
      </c>
      <c r="B165" s="427" t="n">
        <f aca="false">B164+1</f>
        <v>160</v>
      </c>
      <c r="C165" s="431" t="n">
        <v>86</v>
      </c>
      <c r="D165" s="427" t="n">
        <v>27350</v>
      </c>
      <c r="F165" s="178"/>
      <c r="G165" s="178"/>
      <c r="H165" s="433"/>
      <c r="I165" s="178"/>
      <c r="J165" s="433"/>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row>
    <row r="166" customFormat="false" ht="15.75" hidden="false" customHeight="false" outlineLevel="0" collapsed="false">
      <c r="A166" s="407" t="s">
        <v>848</v>
      </c>
      <c r="B166" s="427" t="n">
        <f aca="false">B165+1</f>
        <v>161</v>
      </c>
      <c r="C166" s="431" t="n">
        <v>87</v>
      </c>
      <c r="D166" s="427" t="n">
        <v>-1.815</v>
      </c>
      <c r="F166" s="178"/>
      <c r="G166" s="178"/>
      <c r="H166" s="433"/>
      <c r="I166" s="178"/>
      <c r="J166" s="433"/>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row>
    <row r="167" customFormat="false" ht="15.75" hidden="false" customHeight="false" outlineLevel="0" collapsed="false">
      <c r="A167" s="407" t="s">
        <v>849</v>
      </c>
      <c r="B167" s="427" t="n">
        <f aca="false">B166+1</f>
        <v>162</v>
      </c>
      <c r="C167" s="431" t="n">
        <v>64</v>
      </c>
      <c r="D167" s="442" t="n">
        <v>0.5</v>
      </c>
      <c r="F167" s="178"/>
      <c r="G167" s="178"/>
      <c r="H167" s="433"/>
      <c r="I167" s="178"/>
      <c r="J167" s="433"/>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row>
    <row r="168" customFormat="false" ht="15.75" hidden="false" customHeight="false" outlineLevel="0" collapsed="false">
      <c r="A168" s="407" t="s">
        <v>850</v>
      </c>
      <c r="B168" s="427" t="n">
        <f aca="false">B167+1</f>
        <v>163</v>
      </c>
      <c r="C168" s="431" t="n">
        <v>145</v>
      </c>
      <c r="D168" s="142" t="n">
        <v>10</v>
      </c>
      <c r="F168" s="178"/>
      <c r="G168" s="178"/>
      <c r="H168" s="433"/>
      <c r="I168" s="178"/>
      <c r="J168" s="433"/>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row>
    <row r="169" customFormat="false" ht="15.75" hidden="false" customHeight="false" outlineLevel="0" collapsed="false">
      <c r="A169" s="407" t="s">
        <v>851</v>
      </c>
      <c r="B169" s="427" t="n">
        <f aca="false">B168+1</f>
        <v>164</v>
      </c>
      <c r="C169" s="431" t="n">
        <v>146</v>
      </c>
      <c r="D169" s="142" t="n">
        <v>10</v>
      </c>
      <c r="F169" s="178"/>
      <c r="G169" s="178"/>
      <c r="H169" s="433"/>
      <c r="I169" s="178"/>
      <c r="J169" s="433"/>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row>
    <row r="170" customFormat="false" ht="15.75" hidden="false" customHeight="false" outlineLevel="0" collapsed="false">
      <c r="A170" s="407" t="s">
        <v>852</v>
      </c>
      <c r="B170" s="427" t="n">
        <f aca="false">B169+1</f>
        <v>165</v>
      </c>
      <c r="C170" s="431" t="n">
        <v>147</v>
      </c>
      <c r="D170" s="142" t="n">
        <v>10</v>
      </c>
      <c r="F170" s="178"/>
      <c r="G170" s="178"/>
      <c r="H170" s="433"/>
      <c r="I170" s="178"/>
      <c r="J170" s="433"/>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row>
    <row r="171" customFormat="false" ht="15.75" hidden="false" customHeight="false" outlineLevel="0" collapsed="false">
      <c r="A171" s="407" t="s">
        <v>853</v>
      </c>
      <c r="B171" s="427" t="n">
        <f aca="false">B170+1</f>
        <v>166</v>
      </c>
      <c r="C171" s="431" t="n">
        <v>148</v>
      </c>
      <c r="D171" s="440" t="n">
        <v>10</v>
      </c>
      <c r="F171" s="178"/>
      <c r="G171" s="178"/>
      <c r="H171" s="433"/>
      <c r="I171" s="178"/>
      <c r="J171" s="433"/>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row>
    <row r="172" customFormat="false" ht="15.75" hidden="false" customHeight="false" outlineLevel="0" collapsed="false">
      <c r="A172" s="407" t="s">
        <v>854</v>
      </c>
      <c r="B172" s="427" t="n">
        <f aca="false">B171+1</f>
        <v>167</v>
      </c>
      <c r="C172" s="431" t="n">
        <v>149</v>
      </c>
      <c r="D172" s="440" t="n">
        <v>-2</v>
      </c>
      <c r="F172" s="178"/>
      <c r="G172" s="178"/>
      <c r="H172" s="433"/>
      <c r="I172" s="178"/>
      <c r="J172" s="433"/>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row>
    <row r="173" customFormat="false" ht="15.75" hidden="false" customHeight="false" outlineLevel="0" collapsed="false">
      <c r="A173" s="407" t="s">
        <v>855</v>
      </c>
      <c r="B173" s="427" t="n">
        <f aca="false">B172+1</f>
        <v>168</v>
      </c>
      <c r="C173" s="431" t="n">
        <v>150</v>
      </c>
      <c r="D173" s="440" t="n">
        <v>-2</v>
      </c>
      <c r="F173" s="178"/>
      <c r="G173" s="178"/>
      <c r="H173" s="433"/>
      <c r="I173" s="178"/>
      <c r="J173" s="433"/>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row>
    <row r="174" customFormat="false" ht="15.75" hidden="false" customHeight="false" outlineLevel="0" collapsed="false">
      <c r="A174" s="407" t="s">
        <v>856</v>
      </c>
      <c r="B174" s="427" t="n">
        <f aca="false">B173+1</f>
        <v>169</v>
      </c>
      <c r="C174" s="431" t="n">
        <v>151</v>
      </c>
      <c r="D174" s="442" t="n">
        <v>-2</v>
      </c>
      <c r="F174" s="178"/>
      <c r="G174" s="178"/>
      <c r="H174" s="433"/>
      <c r="I174" s="178"/>
      <c r="J174" s="433"/>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row>
    <row r="175" customFormat="false" ht="15.75" hidden="false" customHeight="false" outlineLevel="0" collapsed="false">
      <c r="A175" s="407" t="s">
        <v>857</v>
      </c>
      <c r="B175" s="427" t="n">
        <f aca="false">B174+1</f>
        <v>170</v>
      </c>
      <c r="C175" s="431" t="n">
        <v>152</v>
      </c>
      <c r="D175" s="442" t="n">
        <v>-2</v>
      </c>
      <c r="F175" s="178"/>
      <c r="G175" s="178"/>
      <c r="H175" s="433"/>
      <c r="I175" s="178"/>
      <c r="J175" s="433"/>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row>
    <row r="176" customFormat="false" ht="15.75" hidden="false" customHeight="false" outlineLevel="0" collapsed="false">
      <c r="A176" s="407" t="s">
        <v>858</v>
      </c>
      <c r="B176" s="427" t="n">
        <f aca="false">B175+1</f>
        <v>171</v>
      </c>
      <c r="C176" s="431" t="n">
        <v>9</v>
      </c>
      <c r="D176" s="442" t="n">
        <v>0</v>
      </c>
      <c r="F176" s="178"/>
      <c r="G176" s="178"/>
      <c r="H176" s="433"/>
      <c r="I176" s="178"/>
      <c r="J176" s="433"/>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row>
    <row r="177" customFormat="false" ht="15.75" hidden="false" customHeight="false" outlineLevel="0" collapsed="false">
      <c r="A177" s="407" t="s">
        <v>859</v>
      </c>
      <c r="B177" s="427" t="n">
        <f aca="false">B176+1</f>
        <v>172</v>
      </c>
      <c r="C177" s="431" t="n">
        <v>201</v>
      </c>
      <c r="D177" s="442" t="n">
        <v>-1.275</v>
      </c>
      <c r="F177" s="178"/>
      <c r="G177" s="178"/>
      <c r="H177" s="433"/>
      <c r="I177" s="178"/>
      <c r="J177" s="433"/>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row>
    <row r="178" customFormat="false" ht="15.75" hidden="false" customHeight="false" outlineLevel="0" collapsed="false">
      <c r="A178" s="407" t="s">
        <v>860</v>
      </c>
      <c r="B178" s="427" t="n">
        <f aca="false">B177+1</f>
        <v>173</v>
      </c>
      <c r="C178" s="431" t="n">
        <v>202</v>
      </c>
      <c r="D178" s="0" t="n">
        <v>181.8</v>
      </c>
      <c r="F178" s="178"/>
      <c r="G178" s="178"/>
      <c r="H178" s="433"/>
      <c r="I178" s="178"/>
      <c r="J178" s="433"/>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row>
    <row r="179" customFormat="false" ht="15.75" hidden="false" customHeight="false" outlineLevel="0" collapsed="false">
      <c r="A179" s="407" t="s">
        <v>861</v>
      </c>
      <c r="B179" s="427" t="n">
        <f aca="false">B178+1</f>
        <v>174</v>
      </c>
      <c r="C179" s="431" t="n">
        <v>203</v>
      </c>
      <c r="D179" s="0" t="n">
        <v>0.169</v>
      </c>
      <c r="F179" s="178"/>
      <c r="G179" s="178"/>
      <c r="H179" s="433"/>
      <c r="I179" s="178"/>
      <c r="J179" s="433"/>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row>
    <row r="180" customFormat="false" ht="15.75" hidden="false" customHeight="false" outlineLevel="0" collapsed="false">
      <c r="A180" s="407" t="s">
        <v>862</v>
      </c>
      <c r="B180" s="427" t="n">
        <f aca="false">B179+1</f>
        <v>175</v>
      </c>
      <c r="C180" s="431" t="n">
        <v>153</v>
      </c>
      <c r="D180" s="0" t="n">
        <v>1</v>
      </c>
      <c r="F180" s="178"/>
      <c r="G180" s="178"/>
      <c r="H180" s="433"/>
      <c r="I180" s="178"/>
      <c r="J180" s="433"/>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row>
    <row r="181" customFormat="false" ht="15.75" hidden="false" customHeight="false" outlineLevel="0" collapsed="false">
      <c r="A181" s="407" t="s">
        <v>863</v>
      </c>
      <c r="B181" s="427" t="n">
        <f aca="false">B180+1</f>
        <v>176</v>
      </c>
      <c r="C181" s="431" t="n">
        <v>154</v>
      </c>
      <c r="D181" s="0" t="n">
        <v>3183.5</v>
      </c>
      <c r="F181" s="178"/>
      <c r="G181" s="178"/>
      <c r="H181" s="433"/>
      <c r="I181" s="178"/>
      <c r="J181" s="433"/>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row>
    <row r="182" customFormat="false" ht="15.75" hidden="false" customHeight="false" outlineLevel="0" collapsed="false">
      <c r="A182" s="407" t="s">
        <v>864</v>
      </c>
      <c r="B182" s="427" t="n">
        <f aca="false">B181+1</f>
        <v>177</v>
      </c>
      <c r="C182" s="431" t="n">
        <v>155</v>
      </c>
      <c r="D182" s="0" t="n">
        <v>1725</v>
      </c>
      <c r="F182" s="178"/>
      <c r="G182" s="178"/>
      <c r="H182" s="433"/>
      <c r="I182" s="178"/>
      <c r="J182" s="433"/>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row>
    <row r="183" customFormat="false" ht="15.75" hidden="false" customHeight="false" outlineLevel="0" collapsed="false">
      <c r="A183" s="407" t="s">
        <v>865</v>
      </c>
      <c r="B183" s="427" t="n">
        <f aca="false">B182+1</f>
        <v>178</v>
      </c>
      <c r="C183" s="431" t="n">
        <v>156</v>
      </c>
      <c r="D183" s="0" t="n">
        <v>11.7666666666667</v>
      </c>
      <c r="F183" s="178"/>
      <c r="G183" s="178"/>
      <c r="H183" s="433"/>
      <c r="I183" s="178"/>
      <c r="J183" s="433"/>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row>
    <row r="184" customFormat="false" ht="15.75" hidden="false" customHeight="false" outlineLevel="0" collapsed="false">
      <c r="A184" s="407" t="s">
        <v>866</v>
      </c>
      <c r="B184" s="427" t="n">
        <f aca="false">B183+1</f>
        <v>179</v>
      </c>
      <c r="C184" s="431" t="n">
        <v>116</v>
      </c>
      <c r="D184" s="0" t="n">
        <v>1.00012836</v>
      </c>
      <c r="F184" s="178"/>
      <c r="G184" s="178"/>
      <c r="H184" s="433"/>
      <c r="I184" s="178"/>
      <c r="J184" s="433"/>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row>
    <row r="185" customFormat="false" ht="15.75" hidden="false" customHeight="false" outlineLevel="0" collapsed="false">
      <c r="A185" s="407" t="s">
        <v>867</v>
      </c>
      <c r="B185" s="427" t="n">
        <f aca="false">B184+1</f>
        <v>180</v>
      </c>
      <c r="C185" s="431" t="n">
        <v>117</v>
      </c>
      <c r="D185" s="0" t="n">
        <v>0.999692247015</v>
      </c>
      <c r="F185" s="178"/>
      <c r="G185" s="178"/>
      <c r="H185" s="433"/>
      <c r="I185" s="178"/>
      <c r="J185" s="433"/>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row>
    <row r="186" customFormat="false" ht="15.75" hidden="false" customHeight="false" outlineLevel="0" collapsed="false">
      <c r="A186" s="407" t="s">
        <v>868</v>
      </c>
      <c r="B186" s="427" t="n">
        <f aca="false">B185+1</f>
        <v>181</v>
      </c>
      <c r="C186" s="431" t="n">
        <v>118</v>
      </c>
      <c r="D186" s="426" t="n">
        <v>0.332109607724837</v>
      </c>
      <c r="F186" s="453"/>
      <c r="G186" s="178"/>
      <c r="H186" s="433"/>
      <c r="I186" s="178"/>
      <c r="J186" s="433"/>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row>
    <row r="187" customFormat="false" ht="15.75" hidden="false" customHeight="false" outlineLevel="0" collapsed="false">
      <c r="A187" s="407" t="s">
        <v>869</v>
      </c>
      <c r="B187" s="427" t="n">
        <f aca="false">B186+1</f>
        <v>182</v>
      </c>
      <c r="C187" s="431" t="n">
        <v>157</v>
      </c>
      <c r="D187" s="426" t="n">
        <v>1</v>
      </c>
      <c r="F187" s="453"/>
      <c r="G187" s="178"/>
      <c r="H187" s="433"/>
      <c r="I187" s="178"/>
      <c r="J187" s="433"/>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row>
    <row r="188" customFormat="false" ht="15.75" hidden="false" customHeight="false" outlineLevel="0" collapsed="false">
      <c r="A188" s="407" t="s">
        <v>870</v>
      </c>
      <c r="B188" s="427" t="n">
        <f aca="false">B187+1</f>
        <v>183</v>
      </c>
      <c r="C188" s="431" t="n">
        <v>158</v>
      </c>
      <c r="D188" s="426" t="n">
        <v>1</v>
      </c>
      <c r="F188" s="453"/>
      <c r="G188" s="178"/>
      <c r="H188" s="433"/>
      <c r="I188" s="178"/>
      <c r="J188" s="433"/>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row>
    <row r="189" customFormat="false" ht="15.75" hidden="false" customHeight="false" outlineLevel="0" collapsed="false">
      <c r="A189" s="407" t="s">
        <v>871</v>
      </c>
      <c r="B189" s="427" t="n">
        <f aca="false">B188+1</f>
        <v>184</v>
      </c>
      <c r="C189" s="431" t="n">
        <v>159</v>
      </c>
      <c r="D189" s="426" t="n">
        <v>1</v>
      </c>
      <c r="F189" s="178"/>
      <c r="G189" s="178"/>
      <c r="H189" s="433"/>
      <c r="I189" s="178"/>
      <c r="J189" s="433"/>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row>
    <row r="190" customFormat="false" ht="15.75" hidden="false" customHeight="false" outlineLevel="0" collapsed="false">
      <c r="A190" s="407" t="s">
        <v>872</v>
      </c>
      <c r="B190" s="427" t="n">
        <f aca="false">B189+1</f>
        <v>185</v>
      </c>
      <c r="C190" s="431" t="n">
        <v>160</v>
      </c>
      <c r="D190" s="426" t="n">
        <v>1</v>
      </c>
      <c r="F190" s="178"/>
      <c r="G190" s="178"/>
      <c r="H190" s="433"/>
      <c r="I190" s="178"/>
      <c r="J190" s="433"/>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row>
    <row r="191" customFormat="false" ht="15.75" hidden="false" customHeight="false" outlineLevel="0" collapsed="false">
      <c r="A191" s="407" t="s">
        <v>950</v>
      </c>
      <c r="B191" s="427" t="n">
        <f aca="false">B190+1</f>
        <v>186</v>
      </c>
      <c r="C191" s="431" t="n">
        <v>161</v>
      </c>
      <c r="D191" s="426" t="n">
        <v>-10</v>
      </c>
      <c r="F191" s="178"/>
      <c r="G191" s="178"/>
      <c r="H191" s="433"/>
      <c r="I191" s="178"/>
      <c r="J191" s="433"/>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row>
    <row r="192" customFormat="false" ht="15.75" hidden="false" customHeight="false" outlineLevel="0" collapsed="false">
      <c r="A192" s="407" t="s">
        <v>876</v>
      </c>
      <c r="B192" s="427" t="n">
        <f aca="false">B191+1</f>
        <v>187</v>
      </c>
      <c r="C192" s="431" t="n">
        <v>162</v>
      </c>
      <c r="D192" s="0" t="n">
        <v>-10</v>
      </c>
      <c r="F192" s="178"/>
      <c r="G192" s="178"/>
      <c r="H192" s="433"/>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row>
    <row r="193" customFormat="false" ht="15.75" hidden="false" customHeight="false" outlineLevel="0" collapsed="false">
      <c r="A193" s="407" t="s">
        <v>879</v>
      </c>
      <c r="B193" s="427" t="n">
        <f aca="false">B192+1</f>
        <v>188</v>
      </c>
      <c r="C193" s="431" t="n">
        <v>163</v>
      </c>
      <c r="D193" s="0" t="n">
        <v>-10</v>
      </c>
      <c r="F193" s="178"/>
      <c r="G193" s="178"/>
      <c r="H193" s="433"/>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row>
    <row r="194" customFormat="false" ht="15.75" hidden="false" customHeight="false" outlineLevel="0" collapsed="false">
      <c r="A194" s="407" t="s">
        <v>880</v>
      </c>
      <c r="B194" s="427" t="n">
        <f aca="false">B193+1</f>
        <v>189</v>
      </c>
      <c r="C194" s="431" t="n">
        <v>164</v>
      </c>
      <c r="D194" s="0" t="n">
        <v>-10</v>
      </c>
      <c r="F194" s="178"/>
      <c r="G194" s="178"/>
      <c r="H194" s="433"/>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row>
    <row r="195" customFormat="false" ht="15.75" hidden="false" customHeight="false" outlineLevel="0" collapsed="false">
      <c r="A195" s="407" t="s">
        <v>881</v>
      </c>
      <c r="B195" s="427" t="n">
        <f aca="false">B194+1</f>
        <v>190</v>
      </c>
      <c r="C195" s="431" t="n">
        <v>165</v>
      </c>
      <c r="D195" s="0" t="n">
        <v>100</v>
      </c>
      <c r="F195" s="178"/>
      <c r="G195" s="178"/>
      <c r="H195" s="433"/>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row>
    <row r="196" customFormat="false" ht="15.75" hidden="false" customHeight="false" outlineLevel="0" collapsed="false">
      <c r="A196" s="407" t="s">
        <v>951</v>
      </c>
      <c r="B196" s="427" t="n">
        <f aca="false">B195+1</f>
        <v>191</v>
      </c>
      <c r="C196" s="431" t="n">
        <v>166</v>
      </c>
      <c r="D196" s="440" t="n">
        <v>100</v>
      </c>
      <c r="F196" s="178"/>
      <c r="G196" s="178"/>
      <c r="H196" s="433"/>
      <c r="I196" s="178"/>
      <c r="J196" s="433"/>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row>
    <row r="197" customFormat="false" ht="15.75" hidden="false" customHeight="false" outlineLevel="0" collapsed="false">
      <c r="A197" s="407" t="s">
        <v>887</v>
      </c>
      <c r="B197" s="427" t="n">
        <f aca="false">B196+1</f>
        <v>192</v>
      </c>
      <c r="C197" s="431" t="n">
        <v>167</v>
      </c>
      <c r="D197" s="440" t="n">
        <v>100</v>
      </c>
      <c r="F197" s="178"/>
      <c r="G197" s="178"/>
      <c r="H197" s="433"/>
      <c r="I197" s="178"/>
      <c r="J197" s="433"/>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row>
    <row r="198" customFormat="false" ht="15.75" hidden="false" customHeight="false" outlineLevel="0" collapsed="false">
      <c r="A198" s="407" t="s">
        <v>888</v>
      </c>
      <c r="B198" s="427" t="n">
        <f aca="false">B197+1</f>
        <v>193</v>
      </c>
      <c r="C198" s="431" t="n">
        <v>168</v>
      </c>
      <c r="D198" s="440" t="n">
        <v>100</v>
      </c>
      <c r="F198" s="178"/>
      <c r="G198" s="178"/>
      <c r="H198" s="433"/>
      <c r="I198" s="178"/>
      <c r="J198" s="433"/>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row>
    <row r="199" customFormat="false" ht="15.75" hidden="false" customHeight="false" outlineLevel="0" collapsed="false">
      <c r="A199" s="407" t="s">
        <v>889</v>
      </c>
      <c r="B199" s="427" t="n">
        <f aca="false">B198+1</f>
        <v>194</v>
      </c>
      <c r="C199" s="431" t="n">
        <v>188</v>
      </c>
      <c r="D199" s="440" t="n">
        <v>0</v>
      </c>
      <c r="F199" s="178"/>
      <c r="G199" s="178"/>
      <c r="H199" s="433"/>
      <c r="I199" s="178"/>
      <c r="J199" s="433"/>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row>
    <row r="200" customFormat="false" ht="15.75" hidden="false" customHeight="false" outlineLevel="0" collapsed="false">
      <c r="A200" s="407" t="s">
        <v>890</v>
      </c>
      <c r="B200" s="427" t="n">
        <f aca="false">B199+1</f>
        <v>195</v>
      </c>
      <c r="C200" s="431" t="n">
        <v>189</v>
      </c>
      <c r="D200" s="440" t="n">
        <v>-1</v>
      </c>
      <c r="F200" s="178"/>
      <c r="G200" s="178"/>
      <c r="H200" s="433"/>
      <c r="I200" s="178"/>
      <c r="J200" s="433"/>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row>
    <row r="201" customFormat="false" ht="15.75" hidden="false" customHeight="false" outlineLevel="0" collapsed="false">
      <c r="A201" s="407" t="s">
        <v>891</v>
      </c>
      <c r="B201" s="427" t="n">
        <f aca="false">B200+1</f>
        <v>196</v>
      </c>
      <c r="C201" s="431" t="n">
        <v>190</v>
      </c>
      <c r="D201" s="440" t="n">
        <v>0</v>
      </c>
      <c r="F201" s="178"/>
      <c r="G201" s="178"/>
      <c r="H201" s="433"/>
      <c r="I201" s="178"/>
      <c r="J201" s="433"/>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row>
    <row r="202" customFormat="false" ht="15.75" hidden="false" customHeight="false" outlineLevel="0" collapsed="false">
      <c r="A202" s="407" t="s">
        <v>892</v>
      </c>
      <c r="B202" s="427" t="n">
        <f aca="false">B201+1</f>
        <v>197</v>
      </c>
      <c r="C202" s="431" t="n">
        <v>191</v>
      </c>
      <c r="D202" s="0" t="n">
        <v>0</v>
      </c>
      <c r="F202" s="178"/>
      <c r="G202" s="178"/>
      <c r="H202" s="433"/>
      <c r="I202" s="178"/>
      <c r="J202" s="433"/>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row>
    <row r="203" customFormat="false" ht="15.75" hidden="false" customHeight="false" outlineLevel="0" collapsed="false">
      <c r="A203" s="407" t="s">
        <v>893</v>
      </c>
      <c r="B203" s="427" t="n">
        <f aca="false">B202+1</f>
        <v>198</v>
      </c>
      <c r="C203" s="431" t="n">
        <v>192</v>
      </c>
      <c r="D203" s="440" t="n">
        <v>0</v>
      </c>
      <c r="F203" s="178"/>
      <c r="G203" s="178"/>
      <c r="H203" s="433"/>
      <c r="I203" s="178"/>
      <c r="J203" s="433"/>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row>
    <row r="204" customFormat="false" ht="15.75" hidden="false" customHeight="false" outlineLevel="0" collapsed="false">
      <c r="A204" s="407" t="s">
        <v>894</v>
      </c>
      <c r="B204" s="427" t="n">
        <f aca="false">B203+1</f>
        <v>199</v>
      </c>
      <c r="C204" s="431" t="n">
        <v>193</v>
      </c>
      <c r="D204" s="426" t="n">
        <v>0</v>
      </c>
      <c r="F204" s="178"/>
      <c r="G204" s="178"/>
      <c r="H204" s="433"/>
      <c r="I204" s="178"/>
      <c r="J204" s="433"/>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row>
    <row r="205" customFormat="false" ht="15.75" hidden="false" customHeight="false" outlineLevel="0" collapsed="false">
      <c r="A205" s="407" t="s">
        <v>895</v>
      </c>
      <c r="B205" s="427" t="n">
        <f aca="false">B204+1</f>
        <v>200</v>
      </c>
      <c r="C205" s="431" t="n">
        <v>212</v>
      </c>
      <c r="D205" s="426" t="n">
        <v>0</v>
      </c>
      <c r="F205" s="178"/>
      <c r="G205" s="178"/>
      <c r="H205" s="433"/>
      <c r="I205" s="178"/>
      <c r="J205" s="433"/>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row>
    <row r="206" customFormat="false" ht="15.75" hidden="false" customHeight="false" outlineLevel="0" collapsed="false">
      <c r="A206" s="407" t="s">
        <v>896</v>
      </c>
      <c r="B206" s="427" t="n">
        <f aca="false">B205+1</f>
        <v>201</v>
      </c>
      <c r="C206" s="431" t="n">
        <v>213</v>
      </c>
      <c r="D206" s="426" t="n">
        <v>-0.00851966873706004</v>
      </c>
      <c r="F206" s="178"/>
      <c r="G206" s="178"/>
      <c r="H206" s="433"/>
      <c r="I206" s="178"/>
      <c r="J206" s="433"/>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row>
    <row r="207" customFormat="false" ht="15.75" hidden="false" customHeight="false" outlineLevel="0" collapsed="false">
      <c r="A207" s="407" t="s">
        <v>897</v>
      </c>
      <c r="B207" s="427" t="n">
        <f aca="false">B206+1</f>
        <v>202</v>
      </c>
      <c r="C207" s="431" t="n">
        <v>214</v>
      </c>
      <c r="D207" s="426" t="n">
        <v>-0.0107505175983437</v>
      </c>
      <c r="F207" s="178"/>
      <c r="G207" s="178"/>
      <c r="H207" s="433"/>
      <c r="I207" s="178"/>
      <c r="J207" s="433"/>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row>
    <row r="208" customFormat="false" ht="15.75" hidden="false" customHeight="false" outlineLevel="0" collapsed="false">
      <c r="A208" s="407" t="s">
        <v>898</v>
      </c>
      <c r="B208" s="427" t="n">
        <f aca="false">B207+1</f>
        <v>203</v>
      </c>
      <c r="C208" s="431" t="n">
        <v>215</v>
      </c>
      <c r="D208" s="440" t="n">
        <v>-0.00618012422360248</v>
      </c>
      <c r="F208" s="178"/>
      <c r="G208" s="178"/>
      <c r="H208" s="433"/>
      <c r="I208" s="178"/>
      <c r="J208" s="433"/>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row>
    <row r="209" customFormat="false" ht="15.75" hidden="false" customHeight="false" outlineLevel="0" collapsed="false">
      <c r="A209" s="407" t="s">
        <v>899</v>
      </c>
      <c r="B209" s="427" t="n">
        <f aca="false">B208+1</f>
        <v>204</v>
      </c>
      <c r="C209" s="431" t="n">
        <v>135</v>
      </c>
      <c r="D209" s="440" t="n">
        <v>0.001</v>
      </c>
      <c r="F209" s="178"/>
      <c r="G209" s="178"/>
      <c r="H209" s="433"/>
      <c r="I209" s="178"/>
      <c r="J209" s="433"/>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row>
    <row r="210" customFormat="false" ht="15.75" hidden="false" customHeight="false" outlineLevel="0" collapsed="false">
      <c r="A210" s="407" t="s">
        <v>900</v>
      </c>
      <c r="B210" s="427" t="n">
        <f aca="false">B209+1</f>
        <v>205</v>
      </c>
      <c r="C210" s="431" t="n">
        <v>136</v>
      </c>
      <c r="D210" s="440" t="n">
        <v>0.001</v>
      </c>
      <c r="F210" s="178"/>
      <c r="G210" s="178"/>
      <c r="H210" s="433"/>
      <c r="I210" s="178"/>
      <c r="J210" s="433"/>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row>
    <row r="211" customFormat="false" ht="15.75" hidden="false" customHeight="false" outlineLevel="0" collapsed="false">
      <c r="A211" s="407" t="s">
        <v>901</v>
      </c>
      <c r="B211" s="427" t="n">
        <f aca="false">B210+1</f>
        <v>206</v>
      </c>
      <c r="C211" s="431" t="n">
        <v>137</v>
      </c>
      <c r="D211" s="439" t="n">
        <v>0.001</v>
      </c>
      <c r="F211" s="178"/>
      <c r="G211" s="178"/>
      <c r="H211" s="433"/>
      <c r="I211" s="178"/>
      <c r="J211" s="433"/>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row>
    <row r="212" customFormat="false" ht="15.75" hidden="false" customHeight="false" outlineLevel="0" collapsed="false">
      <c r="A212" s="407" t="s">
        <v>902</v>
      </c>
      <c r="B212" s="427" t="n">
        <f aca="false">B211+1</f>
        <v>207</v>
      </c>
      <c r="C212" s="431" t="n">
        <v>138</v>
      </c>
      <c r="D212" s="426" t="n">
        <v>0.001</v>
      </c>
      <c r="F212" s="178"/>
      <c r="G212" s="178"/>
      <c r="H212" s="433"/>
      <c r="I212" s="178"/>
      <c r="J212" s="433"/>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row>
    <row r="213" customFormat="false" ht="15.75" hidden="false" customHeight="false" outlineLevel="0" collapsed="false">
      <c r="A213" s="407" t="s">
        <v>906</v>
      </c>
      <c r="B213" s="427" t="n">
        <f aca="false">B212+1</f>
        <v>208</v>
      </c>
      <c r="C213" s="431" t="n">
        <v>133</v>
      </c>
      <c r="D213" s="426" t="n">
        <v>0</v>
      </c>
      <c r="F213" s="178"/>
      <c r="G213" s="178"/>
      <c r="H213" s="433"/>
      <c r="I213" s="178"/>
      <c r="J213" s="433"/>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row>
    <row r="214" customFormat="false" ht="15.75" hidden="false" customHeight="false" outlineLevel="0" collapsed="false">
      <c r="A214" s="407" t="s">
        <v>907</v>
      </c>
      <c r="B214" s="427" t="n">
        <f aca="false">B213+1</f>
        <v>209</v>
      </c>
      <c r="C214" s="431" t="n">
        <v>134</v>
      </c>
      <c r="D214" s="426" t="n">
        <v>0.9</v>
      </c>
      <c r="F214" s="178"/>
      <c r="G214" s="178"/>
      <c r="H214" s="433"/>
      <c r="I214" s="178"/>
      <c r="J214" s="433"/>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row>
    <row r="215" customFormat="false" ht="15.75" hidden="false" customHeight="false" outlineLevel="0" collapsed="false">
      <c r="A215" s="407" t="s">
        <v>912</v>
      </c>
      <c r="B215" s="427" t="n">
        <f aca="false">B214+1</f>
        <v>210</v>
      </c>
      <c r="C215" s="431" t="n">
        <v>169</v>
      </c>
      <c r="D215" s="426" t="n">
        <v>0</v>
      </c>
      <c r="F215" s="178"/>
      <c r="G215" s="178"/>
      <c r="H215" s="433"/>
      <c r="I215" s="178"/>
      <c r="J215" s="433"/>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row>
    <row r="216" customFormat="false" ht="15.75" hidden="false" customHeight="false" outlineLevel="0" collapsed="false">
      <c r="A216" s="407" t="s">
        <v>913</v>
      </c>
      <c r="B216" s="427" t="n">
        <f aca="false">B215+1</f>
        <v>211</v>
      </c>
      <c r="C216" s="431" t="n">
        <v>170</v>
      </c>
      <c r="D216" s="440" t="n">
        <v>1</v>
      </c>
      <c r="F216" s="178"/>
      <c r="G216" s="178"/>
      <c r="H216" s="433"/>
      <c r="I216" s="178"/>
      <c r="J216" s="433"/>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row>
    <row r="217" customFormat="false" ht="15.75" hidden="false" customHeight="false" outlineLevel="0" collapsed="false">
      <c r="A217" s="407" t="s">
        <v>914</v>
      </c>
      <c r="B217" s="427" t="n">
        <f aca="false">B216+1</f>
        <v>212</v>
      </c>
      <c r="C217" s="431" t="n">
        <v>182</v>
      </c>
      <c r="D217" s="440" t="n">
        <v>0.001</v>
      </c>
      <c r="F217" s="178"/>
      <c r="G217" s="178"/>
      <c r="H217" s="433"/>
      <c r="I217" s="178"/>
      <c r="J217" s="433"/>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row>
    <row r="218" customFormat="false" ht="15.75" hidden="false" customHeight="false" outlineLevel="0" collapsed="false">
      <c r="A218" s="407" t="s">
        <v>915</v>
      </c>
      <c r="B218" s="427" t="n">
        <f aca="false">B217+1</f>
        <v>213</v>
      </c>
      <c r="C218" s="431" t="n">
        <v>183</v>
      </c>
      <c r="D218" s="439" t="n">
        <v>0.01</v>
      </c>
      <c r="F218" s="178"/>
      <c r="G218" s="178"/>
      <c r="H218" s="433"/>
      <c r="I218" s="178"/>
      <c r="J218" s="433"/>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row>
    <row r="219" customFormat="false" ht="15.75" hidden="false" customHeight="false" outlineLevel="0" collapsed="false">
      <c r="A219" s="407" t="s">
        <v>916</v>
      </c>
      <c r="B219" s="427" t="n">
        <f aca="false">B218+1</f>
        <v>214</v>
      </c>
      <c r="C219" s="431" t="n">
        <v>184</v>
      </c>
      <c r="D219" s="426" t="n">
        <v>0.002</v>
      </c>
      <c r="F219" s="178"/>
      <c r="G219" s="178"/>
      <c r="H219" s="433"/>
      <c r="I219" s="178"/>
      <c r="J219" s="433"/>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row>
    <row r="220" customFormat="false" ht="15.75" hidden="false" customHeight="false" outlineLevel="0" collapsed="false">
      <c r="A220" s="407" t="s">
        <v>917</v>
      </c>
      <c r="B220" s="427" t="n">
        <f aca="false">B219+1</f>
        <v>215</v>
      </c>
      <c r="C220" s="431" t="n">
        <v>185</v>
      </c>
      <c r="D220" s="426" t="n">
        <v>0.5</v>
      </c>
      <c r="F220" s="453"/>
      <c r="G220" s="178"/>
      <c r="H220" s="433"/>
      <c r="I220" s="178"/>
      <c r="J220" s="433"/>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row>
    <row r="221" customFormat="false" ht="15.75" hidden="false" customHeight="false" outlineLevel="0" collapsed="false">
      <c r="A221" s="407" t="s">
        <v>918</v>
      </c>
      <c r="B221" s="427" t="n">
        <f aca="false">B220+1</f>
        <v>216</v>
      </c>
      <c r="C221" s="431" t="n">
        <v>171</v>
      </c>
      <c r="D221" s="0" t="n">
        <v>1.00012836</v>
      </c>
    </row>
    <row r="222" customFormat="false" ht="15.75" hidden="false" customHeight="false" outlineLevel="0" collapsed="false">
      <c r="A222" s="407" t="s">
        <v>919</v>
      </c>
      <c r="B222" s="427" t="n">
        <f aca="false">B221+1</f>
        <v>217</v>
      </c>
      <c r="C222" s="431" t="n">
        <v>172</v>
      </c>
      <c r="D222" s="0" t="n">
        <v>2.049894E-006</v>
      </c>
    </row>
    <row r="223" customFormat="false" ht="15.75" hidden="false" customHeight="false" outlineLevel="0" collapsed="false">
      <c r="A223" s="407" t="s">
        <v>920</v>
      </c>
      <c r="B223" s="427" t="n">
        <f aca="false">B222+1</f>
        <v>218</v>
      </c>
      <c r="C223" s="431" t="n">
        <v>173</v>
      </c>
      <c r="D223" s="0" t="n">
        <v>0.0188496</v>
      </c>
    </row>
    <row r="224" customFormat="false" ht="15.75" hidden="false" customHeight="false" outlineLevel="0" collapsed="false">
      <c r="A224" s="407" t="s">
        <v>921</v>
      </c>
      <c r="B224" s="427" t="n">
        <f aca="false">B223+1</f>
        <v>219</v>
      </c>
      <c r="C224" s="431" t="n">
        <v>174</v>
      </c>
      <c r="D224" s="0" t="n">
        <v>7.55</v>
      </c>
    </row>
    <row r="225" customFormat="false" ht="15.75" hidden="false" customHeight="false" outlineLevel="0" collapsed="false">
      <c r="A225" s="407" t="s">
        <v>922</v>
      </c>
      <c r="B225" s="427" t="n">
        <f aca="false">B224+1</f>
        <v>220</v>
      </c>
      <c r="C225" s="431" t="n">
        <v>175</v>
      </c>
      <c r="D225" s="0" t="n">
        <v>-1.25</v>
      </c>
    </row>
    <row r="226" customFormat="false" ht="15.75" hidden="false" customHeight="false" outlineLevel="0" collapsed="false">
      <c r="A226" s="407" t="s">
        <v>923</v>
      </c>
      <c r="B226" s="427" t="n">
        <f aca="false">B225+1</f>
        <v>221</v>
      </c>
      <c r="C226" s="431" t="n">
        <v>176</v>
      </c>
      <c r="D226" s="0" t="n">
        <v>-6</v>
      </c>
    </row>
    <row r="227" customFormat="false" ht="15.75" hidden="false" customHeight="false" outlineLevel="0" collapsed="false">
      <c r="A227" s="407" t="s">
        <v>924</v>
      </c>
      <c r="B227" s="427" t="n">
        <f aca="false">B226+1</f>
        <v>222</v>
      </c>
      <c r="C227" s="431" t="n">
        <v>177</v>
      </c>
      <c r="D227" s="0" t="n">
        <v>100</v>
      </c>
    </row>
    <row r="228" customFormat="false" ht="15.75" hidden="false" customHeight="false" outlineLevel="0" collapsed="false">
      <c r="A228" s="407" t="s">
        <v>926</v>
      </c>
      <c r="B228" s="427" t="n">
        <f aca="false">B227+1</f>
        <v>223</v>
      </c>
      <c r="C228" s="431" t="n">
        <v>178</v>
      </c>
      <c r="D228" s="0" t="n">
        <v>0</v>
      </c>
    </row>
    <row r="229" customFormat="false" ht="15.75" hidden="false" customHeight="false" outlineLevel="0" collapsed="false">
      <c r="A229" s="407" t="s">
        <v>927</v>
      </c>
      <c r="B229" s="427" t="n">
        <f aca="false">B228+1</f>
        <v>224</v>
      </c>
      <c r="C229" s="431" t="n">
        <v>179</v>
      </c>
      <c r="D229" s="0" t="n">
        <v>0.005</v>
      </c>
    </row>
    <row r="230" customFormat="false" ht="15.75" hidden="false" customHeight="false" outlineLevel="0" collapsed="false">
      <c r="A230" s="407" t="s">
        <v>928</v>
      </c>
      <c r="B230" s="427" t="n">
        <f aca="false">B229+1</f>
        <v>225</v>
      </c>
      <c r="C230" s="431" t="n">
        <v>180</v>
      </c>
      <c r="D230" s="0" t="n">
        <v>0.01</v>
      </c>
    </row>
    <row r="231" customFormat="false" ht="15.75" hidden="false" customHeight="false" outlineLevel="0" collapsed="false">
      <c r="A231" s="407" t="s">
        <v>932</v>
      </c>
      <c r="B231" s="427" t="n">
        <f aca="false">B230+1</f>
        <v>226</v>
      </c>
      <c r="C231" s="431" t="n">
        <v>181</v>
      </c>
      <c r="D231" s="0" t="n">
        <v>0.05</v>
      </c>
    </row>
    <row r="232" customFormat="false" ht="15.75" hidden="false" customHeight="false" outlineLevel="0" collapsed="false">
      <c r="A232" s="407" t="s">
        <v>933</v>
      </c>
      <c r="B232" s="427" t="n">
        <f aca="false">B231+1</f>
        <v>227</v>
      </c>
      <c r="C232" s="431" t="n">
        <v>186</v>
      </c>
      <c r="D232" s="0" t="n">
        <v>1E-006</v>
      </c>
    </row>
    <row r="233" customFormat="false" ht="15.75" hidden="false" customHeight="false" outlineLevel="0" collapsed="false">
      <c r="A233" s="407" t="s">
        <v>934</v>
      </c>
      <c r="B233" s="427" t="n">
        <f aca="false">B232+1</f>
        <v>228</v>
      </c>
      <c r="C233" s="431" t="n">
        <v>187</v>
      </c>
      <c r="D233" s="0" t="n">
        <v>0.5</v>
      </c>
    </row>
  </sheetData>
  <autoFilter ref="A5:BL5">
    <sortState ref="A6:BL5">
      <sortCondition ref="A6:A5"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O24"/>
  <sheetViews>
    <sheetView showFormulas="false" showGridLines="true" showRowColHeaders="true" showZeros="true" rightToLeft="false" tabSelected="false" showOutlineSymbols="true" defaultGridColor="true" view="normal" topLeftCell="A1" colorId="64" zoomScale="101" zoomScaleNormal="101" zoomScalePageLayoutView="100" workbookViewId="0">
      <selection pane="topLeft" activeCell="F33" activeCellId="0" sqref="F33"/>
    </sheetView>
  </sheetViews>
  <sheetFormatPr defaultColWidth="10.5" defaultRowHeight="15.75" zeroHeight="false" outlineLevelRow="0" outlineLevelCol="0"/>
  <cols>
    <col collapsed="false" customWidth="true" hidden="false" outlineLevel="0" max="6" min="6" style="0" width="12.16"/>
    <col collapsed="false" customWidth="true" hidden="false" outlineLevel="0" max="9" min="9" style="0" width="12.16"/>
  </cols>
  <sheetData>
    <row r="3" customFormat="false" ht="18.75" hidden="false" customHeight="false" outlineLevel="0" collapsed="false">
      <c r="B3" s="618" t="s">
        <v>2235</v>
      </c>
      <c r="C3" s="115"/>
      <c r="D3" s="115"/>
      <c r="E3" s="619" t="s">
        <v>2236</v>
      </c>
      <c r="F3" s="506"/>
      <c r="G3" s="506"/>
      <c r="H3" s="620" t="s">
        <v>2237</v>
      </c>
      <c r="I3" s="503"/>
      <c r="J3" s="503"/>
      <c r="L3" s="506" t="s">
        <v>2238</v>
      </c>
      <c r="M3" s="506"/>
    </row>
    <row r="4" customFormat="false" ht="18.75" hidden="false" customHeight="false" outlineLevel="0" collapsed="false">
      <c r="B4" s="621" t="s">
        <v>2239</v>
      </c>
      <c r="C4" s="170" t="s">
        <v>2240</v>
      </c>
      <c r="D4" s="523" t="s">
        <v>2241</v>
      </c>
      <c r="E4" s="621" t="s">
        <v>2239</v>
      </c>
      <c r="F4" s="170" t="s">
        <v>2240</v>
      </c>
      <c r="G4" s="523" t="s">
        <v>2241</v>
      </c>
      <c r="H4" s="621" t="s">
        <v>2239</v>
      </c>
      <c r="I4" s="170" t="s">
        <v>2240</v>
      </c>
      <c r="J4" s="523" t="s">
        <v>2241</v>
      </c>
      <c r="K4" s="420" t="s">
        <v>2242</v>
      </c>
      <c r="L4" s="622" t="s">
        <v>34</v>
      </c>
      <c r="M4" s="623" t="s">
        <v>35</v>
      </c>
      <c r="N4" s="624" t="s">
        <v>36</v>
      </c>
      <c r="O4" s="623" t="s">
        <v>37</v>
      </c>
    </row>
    <row r="5" customFormat="false" ht="15.75" hidden="false" customHeight="false" outlineLevel="0" collapsed="false">
      <c r="B5" s="0" t="n">
        <v>1</v>
      </c>
      <c r="C5" s="0" t="n">
        <v>330</v>
      </c>
      <c r="D5" s="0" t="n">
        <v>15850</v>
      </c>
      <c r="E5" s="0" t="n">
        <v>0.4414</v>
      </c>
      <c r="F5" s="0" t="n">
        <v>0.348</v>
      </c>
      <c r="G5" s="0" t="n">
        <v>0.1596</v>
      </c>
      <c r="H5" s="0" t="n">
        <f aca="false">M5+(L5-M5)/(1+(N5*B5)^O5)^(1-1/O5)</f>
        <v>0.441399999995903</v>
      </c>
      <c r="I5" s="0" t="n">
        <f aca="false">M5+(L5-M5)/(1+(N5*C5)^O5)^(1-1/O5)</f>
        <v>0.399690139879484</v>
      </c>
      <c r="J5" s="0" t="n">
        <f aca="false">M5+(L5-M5)/(1+(N5*D5)^O5)^(1-1/O5)</f>
        <v>0.10001071730049</v>
      </c>
      <c r="K5" s="0" t="n">
        <f aca="false">(E5-H5)^2+(F5-I5)^2+(G5-J5)^2</f>
        <v>0.00622275317340272</v>
      </c>
      <c r="L5" s="625" t="n">
        <f aca="false">E5</f>
        <v>0.4414</v>
      </c>
      <c r="M5" s="625" t="n">
        <v>0.1</v>
      </c>
      <c r="N5" s="625" t="n">
        <v>0.002</v>
      </c>
      <c r="O5" s="625" t="n">
        <v>4</v>
      </c>
    </row>
    <row r="6" customFormat="false" ht="15.75" hidden="false" customHeight="false" outlineLevel="0" collapsed="false">
      <c r="B6" s="0" t="n">
        <v>1</v>
      </c>
      <c r="C6" s="0" t="n">
        <v>330</v>
      </c>
      <c r="D6" s="0" t="n">
        <v>15850</v>
      </c>
      <c r="E6" s="0" t="n">
        <v>0.4424</v>
      </c>
      <c r="F6" s="0" t="n">
        <v>0.3502</v>
      </c>
      <c r="G6" s="0" t="n">
        <v>0.1613</v>
      </c>
      <c r="H6" s="0" t="n">
        <f aca="false">M6+(L6-M6)/(1+(N6*B6)^O6)^(1-1/O6)</f>
        <v>0.442396891010893</v>
      </c>
      <c r="I6" s="0" t="n">
        <f aca="false">M6+(L6-M6)/(1+(N6*C6)^O6)^(1-1/O6)</f>
        <v>0.350199693810438</v>
      </c>
      <c r="J6" s="0" t="n">
        <f aca="false">M6+(L6-M6)/(1+(N6*D6)^O6)^(1-1/O6)</f>
        <v>0.161299701862271</v>
      </c>
      <c r="K6" s="0" t="n">
        <f aca="false">(E6-H6)^2+(F6-I6)^2+(G6-J6)^2</f>
        <v>9.84845142093345E-012</v>
      </c>
      <c r="L6" s="625" t="n">
        <v>0.4424</v>
      </c>
      <c r="M6" s="625" t="n">
        <v>0.152803544027325</v>
      </c>
      <c r="N6" s="625" t="n">
        <v>0.0034325782456352</v>
      </c>
      <c r="O6" s="625" t="n">
        <v>1.88293210790175</v>
      </c>
    </row>
    <row r="7" customFormat="false" ht="15.75" hidden="false" customHeight="false" outlineLevel="0" collapsed="false">
      <c r="B7" s="0" t="n">
        <v>1</v>
      </c>
      <c r="C7" s="0" t="n">
        <v>330</v>
      </c>
      <c r="D7" s="0" t="n">
        <v>15850</v>
      </c>
      <c r="E7" s="0" t="n">
        <v>0.4574</v>
      </c>
      <c r="F7" s="0" t="n">
        <v>0.3856</v>
      </c>
      <c r="G7" s="0" t="n">
        <v>0.1895</v>
      </c>
      <c r="H7" s="0" t="n">
        <f aca="false">M7+(L7-M7)/(1+(N7*B7)^O7)^(1-1/O7)</f>
        <v>0.457391959134254</v>
      </c>
      <c r="I7" s="0" t="n">
        <f aca="false">M7+(L7-M7)/(1+(N7*C7)^O7)^(1-1/O7)</f>
        <v>0.385600008800674</v>
      </c>
      <c r="J7" s="0" t="n">
        <f aca="false">M7+(L7-M7)/(1+(N7*D7)^O7)^(1-1/O7)</f>
        <v>0.189500122347729</v>
      </c>
      <c r="K7" s="0" t="n">
        <f aca="false">(E7-H7)^2+(F7-I7)^2+(G7-J7)^2</f>
        <v>6.46705683623989E-011</v>
      </c>
      <c r="L7" s="625" t="n">
        <f aca="false">E7</f>
        <v>0.4574</v>
      </c>
      <c r="M7" s="625" t="n">
        <v>0.16721529561685</v>
      </c>
      <c r="N7" s="625" t="n">
        <v>0.00311487670943883</v>
      </c>
      <c r="O7" s="625" t="n">
        <v>1.65805541554671</v>
      </c>
    </row>
    <row r="8" customFormat="false" ht="15.75" hidden="false" customHeight="false" outlineLevel="0" collapsed="false">
      <c r="B8" s="0" t="n">
        <v>1</v>
      </c>
      <c r="C8" s="0" t="n">
        <v>330</v>
      </c>
      <c r="D8" s="0" t="n">
        <v>15850</v>
      </c>
      <c r="E8" s="0" t="n">
        <v>0.4574</v>
      </c>
      <c r="F8" s="0" t="n">
        <v>0.3856</v>
      </c>
      <c r="G8" s="0" t="n">
        <v>0.1895</v>
      </c>
      <c r="H8" s="0" t="n">
        <f aca="false">M8+(L8-M8)/(1+(N8*B8)^O8)^(1-1/O8)</f>
        <v>0.457391959134254</v>
      </c>
      <c r="I8" s="0" t="n">
        <f aca="false">M8+(L8-M8)/(1+(N8*C8)^O8)^(1-1/O8)</f>
        <v>0.385600008800674</v>
      </c>
      <c r="J8" s="0" t="n">
        <f aca="false">M8+(L8-M8)/(1+(N8*D8)^O8)^(1-1/O8)</f>
        <v>0.189500122347729</v>
      </c>
      <c r="K8" s="0" t="n">
        <f aca="false">(E8-H8)^2+(F8-I8)^2+(G8-J8)^2</f>
        <v>6.46705683623989E-011</v>
      </c>
      <c r="L8" s="625" t="n">
        <f aca="false">E8</f>
        <v>0.4574</v>
      </c>
      <c r="M8" s="625" t="n">
        <v>0.16721529561685</v>
      </c>
      <c r="N8" s="625" t="n">
        <v>0.00311487670943883</v>
      </c>
      <c r="O8" s="625" t="n">
        <v>1.65805541554671</v>
      </c>
    </row>
    <row r="9" customFormat="false" ht="15.75" hidden="false" customHeight="false" outlineLevel="0" collapsed="false">
      <c r="B9" s="0" t="n">
        <v>1</v>
      </c>
      <c r="C9" s="0" t="n">
        <v>330</v>
      </c>
      <c r="D9" s="0" t="n">
        <v>15850</v>
      </c>
      <c r="E9" s="0" t="n">
        <v>0.4574</v>
      </c>
      <c r="F9" s="0" t="n">
        <v>0.3856</v>
      </c>
      <c r="G9" s="0" t="n">
        <v>0.1895</v>
      </c>
      <c r="H9" s="0" t="n">
        <f aca="false">M9+(L9-M9)/(1+(N9*B9)^O9)^(1-1/O9)</f>
        <v>0.457396897854536</v>
      </c>
      <c r="I9" s="0" t="n">
        <f aca="false">M9+(L9-M9)/(1+(N9*C9)^O9)^(1-1/O9)</f>
        <v>0.358844332302932</v>
      </c>
      <c r="J9" s="0" t="n">
        <f aca="false">M9+(L9-M9)/(1+(N9*D9)^O9)^(1-1/O9)</f>
        <v>0.16004380444278</v>
      </c>
      <c r="K9" s="0" t="n">
        <f aca="false">(E9-H9)^2+(F9-I9)^2+(G9-J9)^2</f>
        <v>0.00158353322024441</v>
      </c>
      <c r="L9" s="178" t="n">
        <f aca="false">E9</f>
        <v>0.4574</v>
      </c>
      <c r="M9" s="178" t="n">
        <v>0.151556894929306</v>
      </c>
      <c r="N9" s="178" t="n">
        <v>0.00344843543545194</v>
      </c>
      <c r="O9" s="178" t="n">
        <v>1.89583271318953</v>
      </c>
    </row>
    <row r="10" customFormat="false" ht="15.75" hidden="false" customHeight="false" outlineLevel="0" collapsed="false">
      <c r="B10" s="0" t="n">
        <v>1</v>
      </c>
      <c r="C10" s="0" t="n">
        <v>330</v>
      </c>
      <c r="D10" s="0" t="n">
        <v>15850</v>
      </c>
      <c r="E10" s="0" t="n">
        <v>0.4585</v>
      </c>
      <c r="F10" s="0" t="n">
        <v>0.3886</v>
      </c>
      <c r="G10" s="0" t="n">
        <v>0.1936</v>
      </c>
      <c r="H10" s="0" t="n">
        <f aca="false">M10+(L10-M10)/(1+(N10*B10)^O10)^(1-1/O10)</f>
        <v>0.458496886697313</v>
      </c>
      <c r="I10" s="0" t="n">
        <f aca="false">M10+(L10-M10)/(1+(N10*C10)^O10)^(1-1/O10)</f>
        <v>0.359589865477722</v>
      </c>
      <c r="J10" s="0" t="n">
        <f aca="false">M10+(L10-M10)/(1+(N10*D10)^O10)^(1-1/O10)</f>
        <v>0.160074328591633</v>
      </c>
      <c r="K10" s="0" t="n">
        <f aca="false">(E10-H10)^2+(F10-I10)^2+(G10-J10)^2</f>
        <v>0.00196555855807511</v>
      </c>
      <c r="L10" s="178" t="n">
        <f aca="false">E10</f>
        <v>0.4585</v>
      </c>
      <c r="M10" s="178" t="n">
        <v>0.151556894929306</v>
      </c>
      <c r="N10" s="178" t="n">
        <v>0.00344843543545194</v>
      </c>
      <c r="O10" s="178" t="n">
        <v>1.89583271318953</v>
      </c>
    </row>
    <row r="11" customFormat="false" ht="15.75" hidden="false" customHeight="false" outlineLevel="0" collapsed="false">
      <c r="B11" s="0" t="n">
        <v>1</v>
      </c>
      <c r="C11" s="0" t="n">
        <v>330</v>
      </c>
      <c r="D11" s="0" t="n">
        <v>15850</v>
      </c>
      <c r="E11" s="0" t="n">
        <v>0.4563</v>
      </c>
      <c r="F11" s="0" t="n">
        <v>0.3966</v>
      </c>
      <c r="G11" s="0" t="n">
        <v>0.2006</v>
      </c>
      <c r="H11" s="0" t="n">
        <f aca="false">M11+(L11-M11)/(1+(N11*B11)^O11)^(1-1/O11)</f>
        <v>0.45629690901176</v>
      </c>
      <c r="I11" s="0" t="n">
        <f aca="false">M11+(L11-M11)/(1+(N11*C11)^O11)^(1-1/O11)</f>
        <v>0.358098799128142</v>
      </c>
      <c r="J11" s="0" t="n">
        <f aca="false">M11+(L11-M11)/(1+(N11*D11)^O11)^(1-1/O11)</f>
        <v>0.160013280293927</v>
      </c>
      <c r="K11" s="0" t="n">
        <f aca="false">(E11-H11)^2+(F11-I11)^2+(G11-J11)^2</f>
        <v>0.00312962429462868</v>
      </c>
      <c r="L11" s="178" t="n">
        <f aca="false">E11</f>
        <v>0.4563</v>
      </c>
      <c r="M11" s="178" t="n">
        <v>0.151556894929306</v>
      </c>
      <c r="N11" s="178" t="n">
        <v>0.00344843543545194</v>
      </c>
      <c r="O11" s="178" t="n">
        <v>1.89583271318953</v>
      </c>
    </row>
    <row r="12" customFormat="false" ht="15.75" hidden="false" customHeight="false" outlineLevel="0" collapsed="false">
      <c r="B12" s="0" t="n">
        <v>1</v>
      </c>
      <c r="C12" s="0" t="n">
        <v>330</v>
      </c>
      <c r="D12" s="0" t="n">
        <v>15850</v>
      </c>
      <c r="E12" s="0" t="n">
        <v>0.4469</v>
      </c>
      <c r="F12" s="0" t="n">
        <v>0.3936</v>
      </c>
      <c r="G12" s="0" t="n">
        <v>0.19</v>
      </c>
      <c r="H12" s="0" t="n">
        <f aca="false">M12+(L12-M12)/(1+(N12*B12)^O12)^(1-1/O12)</f>
        <v>0.44689700435531</v>
      </c>
      <c r="I12" s="0" t="n">
        <f aca="false">M12+(L12-M12)/(1+(N12*C12)^O12)^(1-1/O12)</f>
        <v>0.351727879270845</v>
      </c>
      <c r="J12" s="0" t="n">
        <f aca="false">M12+(L12-M12)/(1+(N12*D12)^O12)^(1-1/O12)</f>
        <v>0.159752437567366</v>
      </c>
      <c r="K12" s="0" t="n">
        <f aca="false">(E12-H12)^2+(F12-I12)^2+(G12-J12)^2</f>
        <v>0.00266818953644688</v>
      </c>
      <c r="L12" s="178" t="n">
        <f aca="false">E12</f>
        <v>0.4469</v>
      </c>
      <c r="M12" s="178" t="n">
        <v>0.151556894929306</v>
      </c>
      <c r="N12" s="178" t="n">
        <v>0.00344843543545194</v>
      </c>
      <c r="O12" s="178" t="n">
        <v>1.89583271318953</v>
      </c>
    </row>
    <row r="13" customFormat="false" ht="15.75" hidden="false" customHeight="false" outlineLevel="0" collapsed="false">
      <c r="B13" s="0" t="n">
        <v>1</v>
      </c>
      <c r="C13" s="0" t="n">
        <v>330</v>
      </c>
      <c r="D13" s="0" t="n">
        <v>15850</v>
      </c>
      <c r="E13" s="0" t="n">
        <v>0.4551</v>
      </c>
      <c r="F13" s="0" t="n">
        <v>0.3894</v>
      </c>
      <c r="G13" s="0" t="n">
        <v>0.2225</v>
      </c>
      <c r="H13" s="0" t="n">
        <f aca="false">M13+(L13-M13)/(1+(N13*B13)^O13)^(1-1/O13)</f>
        <v>0.455096921183277</v>
      </c>
      <c r="I13" s="0" t="n">
        <f aca="false">M13+(L13-M13)/(1+(N13*C13)^O13)^(1-1/O13)</f>
        <v>0.357285490210189</v>
      </c>
      <c r="J13" s="0" t="n">
        <f aca="false">M13+(L13-M13)/(1+(N13*D13)^O13)^(1-1/O13)</f>
        <v>0.159979981222451</v>
      </c>
      <c r="K13" s="0" t="n">
        <f aca="false">(E13-H13)^2+(F13-I13)^2+(G13-J13)^2</f>
        <v>0.004940094496464</v>
      </c>
      <c r="L13" s="178" t="n">
        <f aca="false">E13</f>
        <v>0.4551</v>
      </c>
      <c r="M13" s="178" t="n">
        <v>0.151556894929306</v>
      </c>
      <c r="N13" s="178" t="n">
        <v>0.00344843543545194</v>
      </c>
      <c r="O13" s="178" t="n">
        <v>1.89583271318953</v>
      </c>
    </row>
    <row r="14" customFormat="false" ht="15.75" hidden="false" customHeight="false" outlineLevel="0" collapsed="false">
      <c r="B14" s="0" t="n">
        <v>1</v>
      </c>
      <c r="C14" s="0" t="n">
        <v>330</v>
      </c>
      <c r="D14" s="0" t="n">
        <v>15850</v>
      </c>
      <c r="E14" s="0" t="n">
        <v>0.436</v>
      </c>
      <c r="F14" s="0" t="n">
        <v>0.3822</v>
      </c>
      <c r="G14" s="0" t="n">
        <v>0.1726</v>
      </c>
      <c r="H14" s="0" t="n">
        <f aca="false">M14+(L14-M14)/(1+(N14*B14)^O14)^(1-1/O14)</f>
        <v>0.435997114913257</v>
      </c>
      <c r="I14" s="0" t="n">
        <f aca="false">M14+(L14-M14)/(1+(N14*C14)^O14)^(1-1/O14)</f>
        <v>0.344340323266108</v>
      </c>
      <c r="J14" s="0" t="n">
        <f aca="false">M14+(L14-M14)/(1+(N14*D14)^O14)^(1-1/O14)</f>
        <v>0.15944997100146</v>
      </c>
      <c r="K14" s="0" t="n">
        <f aca="false">(E14-H14)^2+(F14-I14)^2+(G14-J14)^2</f>
        <v>0.00160627839338098</v>
      </c>
      <c r="L14" s="178" t="n">
        <f aca="false">E14</f>
        <v>0.436</v>
      </c>
      <c r="M14" s="178" t="n">
        <v>0.151556894929306</v>
      </c>
      <c r="N14" s="178" t="n">
        <v>0.00344843543545194</v>
      </c>
      <c r="O14" s="178" t="n">
        <v>1.89583271318953</v>
      </c>
    </row>
    <row r="15" customFormat="false" ht="15.75" hidden="false" customHeight="false" outlineLevel="0" collapsed="false">
      <c r="B15" s="0" t="n">
        <v>1</v>
      </c>
      <c r="C15" s="0" t="n">
        <v>330</v>
      </c>
      <c r="D15" s="0" t="n">
        <v>15850</v>
      </c>
      <c r="E15" s="0" t="n">
        <v>0.4564</v>
      </c>
      <c r="F15" s="0" t="n">
        <v>0.3858</v>
      </c>
      <c r="G15" s="0" t="n">
        <v>0.1887</v>
      </c>
      <c r="H15" s="0" t="n">
        <f aca="false">M15+(L15-M15)/(1+(N15*B15)^O15)^(1-1/O15)</f>
        <v>0.456396907997467</v>
      </c>
      <c r="I15" s="0" t="n">
        <f aca="false">M15+(L15-M15)/(1+(N15*C15)^O15)^(1-1/O15)</f>
        <v>0.358166574871305</v>
      </c>
      <c r="J15" s="0" t="n">
        <f aca="false">M15+(L15-M15)/(1+(N15*D15)^O15)^(1-1/O15)</f>
        <v>0.16001605521655</v>
      </c>
      <c r="K15" s="0" t="n">
        <f aca="false">(E15-H15)^2+(F15-I15)^2+(G15-J15)^2</f>
        <v>0.00158637488224368</v>
      </c>
      <c r="L15" s="178" t="n">
        <f aca="false">E15</f>
        <v>0.4564</v>
      </c>
      <c r="M15" s="178" t="n">
        <v>0.151556894929306</v>
      </c>
      <c r="N15" s="178" t="n">
        <v>0.00344843543545194</v>
      </c>
      <c r="O15" s="178" t="n">
        <v>1.89583271318953</v>
      </c>
    </row>
    <row r="16" customFormat="false" ht="15.75" hidden="false" customHeight="false" outlineLevel="0" collapsed="false">
      <c r="B16" s="0" t="n">
        <v>1</v>
      </c>
      <c r="C16" s="0" t="n">
        <v>330</v>
      </c>
      <c r="D16" s="0" t="n">
        <v>15850</v>
      </c>
      <c r="E16" s="0" t="n">
        <v>0.4556</v>
      </c>
      <c r="F16" s="0" t="n">
        <v>0.3859</v>
      </c>
      <c r="G16" s="0" t="n">
        <v>0.188</v>
      </c>
      <c r="H16" s="0" t="n">
        <f aca="false">M16+(L16-M16)/(1+(N16*B16)^O16)^(1-1/O16)</f>
        <v>0.455596916111812</v>
      </c>
      <c r="I16" s="0" t="n">
        <f aca="false">M16+(L16-M16)/(1+(N16*C16)^O16)^(1-1/O16)</f>
        <v>0.357624368926003</v>
      </c>
      <c r="J16" s="0" t="n">
        <f aca="false">M16+(L16-M16)/(1+(N16*D16)^O16)^(1-1/O16)</f>
        <v>0.159993855835566</v>
      </c>
      <c r="K16" s="0" t="n">
        <f aca="false">(E16-H16)^2+(F16-I16)^2+(G16-J16)^2</f>
        <v>0.0015838554331022</v>
      </c>
      <c r="L16" s="178" t="n">
        <f aca="false">E16</f>
        <v>0.4556</v>
      </c>
      <c r="M16" s="178" t="n">
        <v>0.151556894929306</v>
      </c>
      <c r="N16" s="178" t="n">
        <v>0.00344843543545194</v>
      </c>
      <c r="O16" s="178" t="n">
        <v>1.89583271318953</v>
      </c>
    </row>
    <row r="17" customFormat="false" ht="15.75" hidden="false" customHeight="false" outlineLevel="0" collapsed="false">
      <c r="B17" s="0" t="n">
        <v>1</v>
      </c>
      <c r="C17" s="0" t="n">
        <v>330</v>
      </c>
      <c r="D17" s="0" t="n">
        <v>15850</v>
      </c>
      <c r="E17" s="0" t="n">
        <v>0.4575</v>
      </c>
      <c r="F17" s="0" t="n">
        <v>0.3858</v>
      </c>
      <c r="G17" s="0" t="n">
        <v>0.1897</v>
      </c>
      <c r="H17" s="0" t="n">
        <f aca="false">M17+(L17-M17)/(1+(N17*B17)^O17)^(1-1/O17)</f>
        <v>0.457496896840243</v>
      </c>
      <c r="I17" s="0" t="n">
        <f aca="false">M17+(L17-M17)/(1+(N17*C17)^O17)^(1-1/O17)</f>
        <v>0.358912108046095</v>
      </c>
      <c r="J17" s="0" t="n">
        <f aca="false">M17+(L17-M17)/(1+(N17*D17)^O17)^(1-1/O17)</f>
        <v>0.160046579365403</v>
      </c>
      <c r="K17" s="0" t="n">
        <f aca="false">(E17-H17)^2+(F17-I17)^2+(G17-J17)^2</f>
        <v>0.00160228409868681</v>
      </c>
      <c r="L17" s="178" t="n">
        <f aca="false">E17</f>
        <v>0.4575</v>
      </c>
      <c r="M17" s="178" t="n">
        <v>0.151556894929306</v>
      </c>
      <c r="N17" s="178" t="n">
        <v>0.00344843543545194</v>
      </c>
      <c r="O17" s="178" t="n">
        <v>1.89583271318953</v>
      </c>
    </row>
    <row r="18" customFormat="false" ht="15.75" hidden="false" customHeight="false" outlineLevel="0" collapsed="false">
      <c r="B18" s="0" t="n">
        <v>1</v>
      </c>
      <c r="C18" s="0" t="n">
        <v>330</v>
      </c>
      <c r="D18" s="0" t="n">
        <v>15850</v>
      </c>
      <c r="E18" s="0" t="n">
        <v>0.4507</v>
      </c>
      <c r="F18" s="0" t="n">
        <v>0.4011</v>
      </c>
      <c r="G18" s="0" t="n">
        <v>0.2013</v>
      </c>
      <c r="H18" s="0" t="n">
        <f aca="false">M18+(L18-M18)/(1+(N18*B18)^O18)^(1-1/O18)</f>
        <v>0.450696965812173</v>
      </c>
      <c r="I18" s="0" t="n">
        <f aca="false">M18+(L18-M18)/(1+(N18*C18)^O18)^(1-1/O18)</f>
        <v>0.354303357511029</v>
      </c>
      <c r="J18" s="0" t="n">
        <f aca="false">M18+(L18-M18)/(1+(N18*D18)^O18)^(1-1/O18)</f>
        <v>0.15985788462704</v>
      </c>
      <c r="K18" s="0" t="n">
        <f aca="false">(E18-H18)^2+(F18-I18)^2+(G18-J18)^2</f>
        <v>0.00390737468403261</v>
      </c>
      <c r="L18" s="178" t="n">
        <f aca="false">E18</f>
        <v>0.4507</v>
      </c>
      <c r="M18" s="178" t="n">
        <v>0.151556894929306</v>
      </c>
      <c r="N18" s="178" t="n">
        <v>0.00344843543545194</v>
      </c>
      <c r="O18" s="178" t="n">
        <v>1.89583271318953</v>
      </c>
    </row>
    <row r="19" customFormat="false" ht="15.75" hidden="false" customHeight="false" outlineLevel="0" collapsed="false">
      <c r="B19" s="0" t="n">
        <v>1</v>
      </c>
      <c r="C19" s="0" t="n">
        <v>330</v>
      </c>
      <c r="D19" s="0" t="n">
        <v>15850</v>
      </c>
      <c r="E19" s="0" t="n">
        <v>0.416</v>
      </c>
      <c r="F19" s="0" t="n">
        <v>0.3692</v>
      </c>
      <c r="G19" s="0" t="n">
        <v>0.1495</v>
      </c>
      <c r="H19" s="0" t="n">
        <f aca="false">M19+(L19-M19)/(1+(N19*B19)^O19)^(1-1/O19)</f>
        <v>0.415997317771873</v>
      </c>
      <c r="I19" s="0" t="n">
        <f aca="false">M19+(L19-M19)/(1+(N19*C19)^O19)^(1-1/O19)</f>
        <v>0.330785174633562</v>
      </c>
      <c r="J19" s="0" t="n">
        <f aca="false">M19+(L19-M19)/(1+(N19*D19)^O19)^(1-1/O19)</f>
        <v>0.158894986476861</v>
      </c>
      <c r="K19" s="0" t="n">
        <f aca="false">(E19-H19)^2+(F19-I19)^2+(G19-J19)^2</f>
        <v>0.00156396458602864</v>
      </c>
      <c r="L19" s="178" t="n">
        <f aca="false">E19</f>
        <v>0.416</v>
      </c>
      <c r="M19" s="178" t="n">
        <v>0.151556894929306</v>
      </c>
      <c r="N19" s="178" t="n">
        <v>0.00344843543545194</v>
      </c>
      <c r="O19" s="178" t="n">
        <v>1.89583271318953</v>
      </c>
    </row>
    <row r="20" customFormat="false" ht="15.75" hidden="false" customHeight="false" outlineLevel="0" collapsed="false">
      <c r="B20" s="0" t="n">
        <v>1</v>
      </c>
      <c r="C20" s="0" t="n">
        <v>330</v>
      </c>
      <c r="D20" s="0" t="n">
        <v>15850</v>
      </c>
      <c r="E20" s="0" t="n">
        <v>0.4127</v>
      </c>
      <c r="F20" s="0" t="n">
        <v>0.3624</v>
      </c>
      <c r="G20" s="0" t="n">
        <v>0.1463</v>
      </c>
      <c r="H20" s="0" t="n">
        <f aca="false">M20+(L20-M20)/(1+(N20*B20)^O20)^(1-1/O20)</f>
        <v>0.412697351243545</v>
      </c>
      <c r="I20" s="0" t="n">
        <f aca="false">M20+(L20-M20)/(1+(N20*C20)^O20)^(1-1/O20)</f>
        <v>0.328548575109192</v>
      </c>
      <c r="J20" s="0" t="n">
        <f aca="false">M20+(L20-M20)/(1+(N20*D20)^O20)^(1-1/O20)</f>
        <v>0.158803414030302</v>
      </c>
      <c r="K20" s="0" t="n">
        <f aca="false">(E20-H20)^2+(F20-I20)^2+(G20-J20)^2</f>
        <v>0.00130225433656705</v>
      </c>
      <c r="L20" s="178" t="n">
        <f aca="false">E20</f>
        <v>0.4127</v>
      </c>
      <c r="M20" s="178" t="n">
        <v>0.151556894929306</v>
      </c>
      <c r="N20" s="178" t="n">
        <v>0.00344843543545194</v>
      </c>
      <c r="O20" s="178" t="n">
        <v>1.89583271318953</v>
      </c>
    </row>
    <row r="24" customFormat="false" ht="18.75" hidden="false" customHeight="false" outlineLevel="0" collapsed="false">
      <c r="K24" s="62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Y500"/>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X4" activeCellId="0" sqref="CX4"/>
    </sheetView>
  </sheetViews>
  <sheetFormatPr defaultColWidth="10.5" defaultRowHeight="15.75" zeroHeight="false" outlineLevelRow="0" outlineLevelCol="0"/>
  <cols>
    <col collapsed="false" customWidth="true" hidden="false" outlineLevel="0" max="1" min="1" style="0" width="15"/>
    <col collapsed="false" customWidth="true" hidden="false" outlineLevel="0" max="26" min="26" style="0" width="12.5"/>
    <col collapsed="false" customWidth="true" hidden="false" outlineLevel="0" max="40" min="35" style="0" width="11"/>
    <col collapsed="false" customWidth="true" hidden="false" outlineLevel="0" max="44" min="44" style="0" width="11.83"/>
    <col collapsed="false" customWidth="true" hidden="false" outlineLevel="0" max="45" min="45" style="0" width="11.16"/>
    <col collapsed="false" customWidth="true" hidden="false" outlineLevel="0" max="47" min="47" style="0" width="13"/>
    <col collapsed="false" customWidth="true" hidden="false" outlineLevel="0" max="49" min="48" style="0" width="11"/>
    <col collapsed="false" customWidth="true" hidden="false" outlineLevel="0" max="52" min="52" style="0" width="12.16"/>
    <col collapsed="false" customWidth="true" hidden="false" outlineLevel="0" max="118" min="118" style="0" width="29.84"/>
    <col collapsed="false" customWidth="true" hidden="false" outlineLevel="0" max="119" min="119" style="0" width="16.84"/>
    <col collapsed="false" customWidth="true" hidden="false" outlineLevel="0" max="122" min="122" style="0" width="34.33"/>
  </cols>
  <sheetData>
    <row r="1" customFormat="false" ht="15.75" hidden="false" customHeight="false" outlineLevel="0" collapsed="false">
      <c r="A1" s="420" t="s">
        <v>2243</v>
      </c>
      <c r="B1" s="0" t="s">
        <v>1758</v>
      </c>
      <c r="C1" s="0" t="s">
        <v>2244</v>
      </c>
      <c r="E1" s="0" t="s">
        <v>1758</v>
      </c>
      <c r="F1" s="0" t="s">
        <v>2245</v>
      </c>
      <c r="G1" s="0" t="s">
        <v>2246</v>
      </c>
      <c r="H1" s="0" t="s">
        <v>2247</v>
      </c>
      <c r="I1" s="0" t="s">
        <v>2248</v>
      </c>
      <c r="K1" s="0" t="s">
        <v>2249</v>
      </c>
      <c r="L1" s="0" t="s">
        <v>2245</v>
      </c>
      <c r="M1" s="0" t="s">
        <v>2246</v>
      </c>
      <c r="N1" s="0" t="s">
        <v>2247</v>
      </c>
      <c r="O1" s="0" t="s">
        <v>2248</v>
      </c>
      <c r="T1" s="0" t="s">
        <v>2250</v>
      </c>
      <c r="Y1" s="95" t="s">
        <v>2251</v>
      </c>
      <c r="Z1" s="627" t="n">
        <v>0.000122783</v>
      </c>
      <c r="AH1" s="420" t="s">
        <v>358</v>
      </c>
      <c r="AI1" s="0" t="s">
        <v>1793</v>
      </c>
      <c r="AK1" s="0" t="s">
        <v>2252</v>
      </c>
      <c r="AL1" s="0" t="n">
        <f aca="false">MAX(AK3:AK303)</f>
        <v>1</v>
      </c>
      <c r="AM1" s="142" t="n">
        <f aca="false">1/MAX(AM3:AM630)</f>
        <v>5455082343693.91</v>
      </c>
      <c r="AN1" s="0" t="n">
        <f aca="false">MAX(AN3:AN303)</f>
        <v>29.9999999999983</v>
      </c>
      <c r="AQ1" s="0" t="s">
        <v>2253</v>
      </c>
      <c r="AR1" s="142" t="n">
        <f aca="false">AM1</f>
        <v>5455082343693.91</v>
      </c>
      <c r="AS1" s="0" t="n">
        <v>5360000000000</v>
      </c>
      <c r="AU1" s="0" t="s">
        <v>2253</v>
      </c>
      <c r="AV1" s="0" t="s">
        <v>2254</v>
      </c>
      <c r="AW1" s="0" t="s">
        <v>1802</v>
      </c>
      <c r="AY1" s="0" t="s">
        <v>2255</v>
      </c>
      <c r="AZ1" s="0" t="s">
        <v>2256</v>
      </c>
      <c r="BC1" s="179" t="s">
        <v>2257</v>
      </c>
      <c r="BD1" s="72" t="n">
        <v>9.74692914783117</v>
      </c>
      <c r="BE1" s="178" t="s">
        <v>2258</v>
      </c>
      <c r="BF1" s="0" t="s">
        <v>2259</v>
      </c>
      <c r="BG1" s="0" t="s">
        <v>2260</v>
      </c>
      <c r="BQ1" s="106" t="s">
        <v>2261</v>
      </c>
      <c r="CI1" s="0" t="s">
        <v>2262</v>
      </c>
      <c r="DN1" s="628" t="s">
        <v>2263</v>
      </c>
      <c r="DV1" s="0" t="s">
        <v>2264</v>
      </c>
      <c r="DW1" s="629" t="s">
        <v>147</v>
      </c>
      <c r="DX1" s="71" t="n">
        <v>5</v>
      </c>
    </row>
    <row r="2" customFormat="false" ht="18" hidden="false" customHeight="false" outlineLevel="0" collapsed="false">
      <c r="A2" s="420" t="s">
        <v>2265</v>
      </c>
      <c r="B2" s="0" t="n">
        <v>1755</v>
      </c>
      <c r="C2" s="0" t="n">
        <v>276.7</v>
      </c>
      <c r="E2" s="0" t="n">
        <v>1950</v>
      </c>
      <c r="F2" s="0" t="n">
        <v>311.2</v>
      </c>
      <c r="G2" s="0" t="n">
        <v>311.2</v>
      </c>
      <c r="H2" s="0" t="n">
        <v>311.2</v>
      </c>
      <c r="I2" s="0" t="n">
        <v>311.2</v>
      </c>
      <c r="M2" s="0" t="n">
        <f aca="false">255.1911 + 282.7456/(1+EXP(-(E2-2058.0442)/11.39))^0.1781</f>
        <v>307.391929534606</v>
      </c>
      <c r="O2" s="0" t="n">
        <f aca="false">282.8391 + 902.2988/(1+EXP(-(E2-2104.6814)/17.3348))^0.391</f>
        <v>310.38719589684</v>
      </c>
      <c r="W2" s="630"/>
      <c r="X2" s="630"/>
      <c r="Y2" s="95" t="s">
        <v>2266</v>
      </c>
      <c r="Z2" s="627" t="n">
        <v>0.0191158</v>
      </c>
      <c r="AA2" s="631"/>
      <c r="AB2" s="631"/>
      <c r="AC2" s="631"/>
      <c r="AD2" s="631"/>
      <c r="AE2" s="631"/>
      <c r="AF2" s="631"/>
      <c r="AG2" s="631"/>
      <c r="AQ2" s="0" t="s">
        <v>2254</v>
      </c>
      <c r="AR2" s="0" t="n">
        <v>1090</v>
      </c>
      <c r="AS2" s="0" t="n">
        <v>1090</v>
      </c>
      <c r="AU2" s="142" t="n">
        <f aca="false">AR1</f>
        <v>5455082343693.91</v>
      </c>
      <c r="AV2" s="0" t="n">
        <f aca="false">AR2</f>
        <v>1090</v>
      </c>
      <c r="AW2" s="0" t="n">
        <f aca="false">AN1</f>
        <v>29.9999999999983</v>
      </c>
      <c r="AX2" s="0" t="n">
        <f aca="false">LOG(AU2)</f>
        <v>12.7368013105874</v>
      </c>
      <c r="AY2" s="0" t="n">
        <f aca="false">0.01190448*AW2*AW2-4.343334*AW2+1209.74</f>
        <v>1090.15401200001</v>
      </c>
      <c r="AZ2" s="0" t="n">
        <f aca="false">10^(0.000167997*AW2*AW2-0.06134963*AW2+14.42771)</f>
        <v>5475432128855.14</v>
      </c>
      <c r="BC2" s="179" t="s">
        <v>2267</v>
      </c>
      <c r="BD2" s="72" t="n">
        <f aca="false">$BD$1*$BD$4^((BD3-20)/10)</f>
        <v>11.8465718423347</v>
      </c>
      <c r="BE2" s="628" t="n">
        <v>10</v>
      </c>
      <c r="BF2" s="0" t="n">
        <f aca="false">IF(BE2&lt;$BD$3,$BD$1*$BD$4^((BE2-20)/10),$BD$2*$BD$5^((BE2-$BD$3)/10))</f>
        <v>8.83759596768754</v>
      </c>
      <c r="BG2" s="0" t="n">
        <f aca="false">LOG10(BF2)*10</f>
        <v>9.46334142845787</v>
      </c>
      <c r="BQ2" s="106" t="s">
        <v>2268</v>
      </c>
      <c r="CI2" s="0" t="s">
        <v>2269</v>
      </c>
      <c r="DN2" s="632" t="s">
        <v>2270</v>
      </c>
      <c r="DO2" s="632" t="s">
        <v>2271</v>
      </c>
      <c r="DQ2" s="633"/>
      <c r="DR2" s="0" t="s">
        <v>2272</v>
      </c>
      <c r="DS2" s="0" t="n">
        <f aca="false">DP3/DP9</f>
        <v>5.7169677571808</v>
      </c>
      <c r="DW2" s="629" t="s">
        <v>598</v>
      </c>
      <c r="DX2" s="71" t="n">
        <f aca="false">DY2</f>
        <v>0.460517018598809</v>
      </c>
      <c r="DY2" s="31" t="n">
        <f aca="false">-LN(DY3)/DX1</f>
        <v>0.460517018598809</v>
      </c>
    </row>
    <row r="3" customFormat="false" ht="18" hidden="false" customHeight="false" outlineLevel="0" collapsed="false">
      <c r="B3" s="0" t="n">
        <v>1760</v>
      </c>
      <c r="C3" s="0" t="n">
        <v>276.5</v>
      </c>
      <c r="E3" s="0" t="n">
        <v>1980</v>
      </c>
      <c r="F3" s="0" t="n">
        <v>338</v>
      </c>
      <c r="G3" s="0" t="n">
        <v>338</v>
      </c>
      <c r="H3" s="0" t="n">
        <v>338</v>
      </c>
      <c r="I3" s="0" t="n">
        <v>338</v>
      </c>
      <c r="L3" s="0" t="n">
        <f aca="false">-0.00000001516648304*E3^5 + 0.0001586265578*E3^4 - 0.663190082*E3^3 + 1385.434635*E3^2 - 1446186.605*E3 + 603458228.5</f>
        <v>339.884738922119</v>
      </c>
      <c r="M3" s="0" t="n">
        <f aca="false">255.1911 + 282.7456/(1+EXP(-(E3-2058.0442)/11.39))^0.1781</f>
        <v>338.622053905573</v>
      </c>
      <c r="O3" s="0" t="n">
        <f aca="false">282.8391 + 902.2988/(1+EXP(-(E3-2104.6814)/17.3348))^0.391</f>
        <v>337.021982982583</v>
      </c>
      <c r="T3" s="0" t="s">
        <v>2273</v>
      </c>
      <c r="U3" s="420" t="s">
        <v>2274</v>
      </c>
      <c r="V3" s="0" t="s">
        <v>2275</v>
      </c>
      <c r="W3" s="0" t="s">
        <v>2276</v>
      </c>
      <c r="X3" s="0" t="s">
        <v>2277</v>
      </c>
      <c r="Y3" s="95" t="s">
        <v>2278</v>
      </c>
      <c r="Z3" s="627" t="n">
        <v>0.564601</v>
      </c>
      <c r="AA3" s="634"/>
      <c r="AB3" s="634"/>
      <c r="AC3" s="634"/>
      <c r="AD3" s="634"/>
      <c r="AE3" s="634"/>
      <c r="AF3" s="634"/>
      <c r="AG3" s="634"/>
      <c r="AI3" s="0" t="n">
        <v>273.16</v>
      </c>
      <c r="AJ3" s="0" t="n">
        <f aca="false">AI3-273.16</f>
        <v>0</v>
      </c>
      <c r="AK3" s="0" t="n">
        <f aca="false">AI3*$AR$1*EXP(-$AR$6/8.31/AI3)/(1+EXP($AR$2/8.31*(1-$AR$5/$AR$2/AI3)))</f>
        <v>0.0270703786996473</v>
      </c>
      <c r="AL3" s="0" t="n">
        <v>0.0265985407164096</v>
      </c>
      <c r="AM3" s="142" t="n">
        <f aca="false">AI3*EXP(-$AR$6/8.31/AI3)/(1+EXP($AR$2/8.31*(1-$AR$5/$AR$2/AI3)))</f>
        <v>4.96241431276299E-015</v>
      </c>
      <c r="AN3" s="0" t="n">
        <f aca="false">IF(AK3=$AL$1,1*AJ3,0)</f>
        <v>0</v>
      </c>
      <c r="AU3" s="0" t="n">
        <v>657218471465.887</v>
      </c>
      <c r="AV3" s="0" t="n">
        <v>1025</v>
      </c>
      <c r="AW3" s="0" t="n">
        <v>49.1999999999972</v>
      </c>
      <c r="AX3" s="0" t="n">
        <f aca="false">LOG(AU3)</f>
        <v>11.8177097610061</v>
      </c>
      <c r="AY3" s="0" t="n">
        <f aca="false">0.01190448*AW3*AW3-4.343334*AW3+1209.74</f>
        <v>1024.86442766721</v>
      </c>
      <c r="AZ3" s="0" t="n">
        <f aca="false">10^(0.000167997*AW3*AW3-0.06134963*AW3+14.42771)</f>
        <v>654588636936.492</v>
      </c>
      <c r="BC3" s="179" t="s">
        <v>2279</v>
      </c>
      <c r="BD3" s="72" t="n">
        <v>39.9194875109256</v>
      </c>
      <c r="BE3" s="628" t="n">
        <f aca="false">BE2+1</f>
        <v>11</v>
      </c>
      <c r="BF3" s="0" t="n">
        <f aca="false">IF(BE3&lt;$BD$3,$BD$1*$BD$4^((BE3-20)/10),$BD$2*$BD$5^((BE3-$BD$3)/10))</f>
        <v>8.92457429864655</v>
      </c>
      <c r="BG3" s="0" t="n">
        <f aca="false">LOG10(BF3)*10</f>
        <v>9.50587509472405</v>
      </c>
      <c r="BN3" s="113" t="s">
        <v>2258</v>
      </c>
      <c r="BO3" s="113" t="s">
        <v>2259</v>
      </c>
      <c r="BP3" s="72" t="s">
        <v>2260</v>
      </c>
      <c r="BQ3" s="179" t="s">
        <v>2280</v>
      </c>
      <c r="BR3" s="462" t="n">
        <v>4</v>
      </c>
      <c r="BS3" s="72" t="s">
        <v>2281</v>
      </c>
      <c r="BT3" s="72" t="s">
        <v>2282</v>
      </c>
      <c r="CI3" s="0" t="s">
        <v>2283</v>
      </c>
      <c r="CJ3" s="0" t="n">
        <v>0.97</v>
      </c>
      <c r="CK3" s="0" t="n">
        <v>0.95</v>
      </c>
      <c r="CL3" s="0" t="n">
        <v>0.9</v>
      </c>
      <c r="CW3" s="0" t="s">
        <v>2283</v>
      </c>
      <c r="CX3" s="0" t="s">
        <v>2284</v>
      </c>
      <c r="CY3" s="0" t="s">
        <v>2285</v>
      </c>
      <c r="CZ3" s="0" t="s">
        <v>2286</v>
      </c>
      <c r="DN3" s="0" t="s">
        <v>2287</v>
      </c>
      <c r="DO3" s="635" t="n">
        <v>0.00424</v>
      </c>
      <c r="DP3" s="420" t="n">
        <f aca="false">1/DO3</f>
        <v>235.849056603774</v>
      </c>
      <c r="DR3" s="0" t="s">
        <v>2288</v>
      </c>
      <c r="DS3" s="0" t="n">
        <f aca="false">DS2/1000</f>
        <v>0.00571696775718079</v>
      </c>
      <c r="DW3" s="629" t="s">
        <v>2289</v>
      </c>
      <c r="DX3" s="31" t="n">
        <f aca="false">DY10/DY6</f>
        <v>0.1</v>
      </c>
      <c r="DY3" s="71" t="n">
        <v>0.1</v>
      </c>
    </row>
    <row r="4" customFormat="false" ht="18" hidden="false" customHeight="false" outlineLevel="0" collapsed="false">
      <c r="B4" s="0" t="n">
        <v>1765</v>
      </c>
      <c r="C4" s="0" t="n">
        <v>276.6</v>
      </c>
      <c r="E4" s="0" t="n">
        <v>1990</v>
      </c>
      <c r="F4" s="0" t="n">
        <v>353.6</v>
      </c>
      <c r="G4" s="0" t="n">
        <v>353.6</v>
      </c>
      <c r="H4" s="0" t="n">
        <v>353.6</v>
      </c>
      <c r="I4" s="0" t="n">
        <v>353.6</v>
      </c>
      <c r="L4" s="0" t="n">
        <f aca="false">-0.00000001516648304*E4^5 + 0.0001586265578*E4^4 - 0.663190082*E4^3 + 1385.434635*E4^2 - 1446186.605*E4 + 603458228.5</f>
        <v>350.642776489258</v>
      </c>
      <c r="M4" s="0" t="n">
        <f aca="false">255.1911 + 282.7456/(1+EXP(-(E4-2058.0442)/11.39))^0.1781</f>
        <v>352.717228964339</v>
      </c>
      <c r="O4" s="0" t="n">
        <f aca="false">282.8391 + 902.2988/(1+EXP(-(E4-2104.6814)/17.3348))^0.391</f>
        <v>350.715852023054</v>
      </c>
      <c r="T4" s="181" t="n">
        <v>-33.89</v>
      </c>
      <c r="U4" s="0" t="n">
        <v>0.0730593607305936</v>
      </c>
      <c r="V4" s="0" t="n">
        <v>13.6875</v>
      </c>
      <c r="W4" s="0" t="n">
        <f aca="false">0.000122783*T4^2 + 0.0191158*T4+ 0.564601</f>
        <v>0.0577867548342999</v>
      </c>
      <c r="X4" s="0" t="n">
        <f aca="false">U4-W4</f>
        <v>0.0152726058962938</v>
      </c>
      <c r="Y4" s="634"/>
      <c r="Z4" s="634"/>
      <c r="AA4" s="634"/>
      <c r="AB4" s="634"/>
      <c r="AC4" s="634"/>
      <c r="AD4" s="634"/>
      <c r="AE4" s="634"/>
      <c r="AF4" s="634"/>
      <c r="AG4" s="634"/>
      <c r="AI4" s="0" t="n">
        <f aca="false">AI3+0.2</f>
        <v>273.36</v>
      </c>
      <c r="AJ4" s="0" t="n">
        <f aca="false">AI4-273.16</f>
        <v>0.199999999999989</v>
      </c>
      <c r="AK4" s="0" t="n">
        <f aca="false">AI4*$AR$1*EXP(-$AR$6/8.31/AI4)/(1+EXP($AR$2/8.31*(1-$AR$5/$AR$2/AI4)))</f>
        <v>0.0278650803410726</v>
      </c>
      <c r="AL4" s="0" t="n">
        <v>0.0307260419299691</v>
      </c>
      <c r="AM4" s="142" t="n">
        <f aca="false">AI4*EXP(-$AR$6/8.31/AI4)/(1+EXP($AR$2/8.31*(1-$AR$5/$AR$2/AI4)))</f>
        <v>5.10809527436092E-015</v>
      </c>
      <c r="AN4" s="0" t="n">
        <f aca="false">IF(AK4=$AL$1,1*AJ4,0)</f>
        <v>0</v>
      </c>
      <c r="AU4" s="0" t="n">
        <v>773464343139.7</v>
      </c>
      <c r="AV4" s="0" t="n">
        <v>1030</v>
      </c>
      <c r="AW4" s="0" t="n">
        <v>47.5999999999973</v>
      </c>
      <c r="AX4" s="0" t="n">
        <f aca="false">LOG(AU4)</f>
        <v>11.8884402974347</v>
      </c>
      <c r="AY4" s="0" t="n">
        <f aca="false">0.01190448*AW4*AW4-4.343334*AW4+1209.74</f>
        <v>1029.96999620481</v>
      </c>
      <c r="AZ4" s="0" t="n">
        <f aca="false">10^(0.000167997*AW4*AW4-0.06134963*AW4+14.42771)</f>
        <v>772873638978.596</v>
      </c>
      <c r="BC4" s="179" t="s">
        <v>2290</v>
      </c>
      <c r="BD4" s="72" t="n">
        <v>1.10289372624279</v>
      </c>
      <c r="BE4" s="628" t="n">
        <f aca="false">BE3+1</f>
        <v>12</v>
      </c>
      <c r="BF4" s="0" t="n">
        <f aca="false">IF(BE4&lt;$BD$3,$BD$1*$BD$4^((BE4-20)/10),$BD$2*$BD$5^((BE4-$BD$3)/10))</f>
        <v>9.01240865765708</v>
      </c>
      <c r="BG4" s="0" t="n">
        <f aca="false">LOG10(BF4)*10</f>
        <v>9.54840876099022</v>
      </c>
      <c r="BN4" s="636" t="n">
        <v>25</v>
      </c>
      <c r="BO4" s="637" t="n">
        <v>10.2361028810461</v>
      </c>
      <c r="BP4" s="0" t="n">
        <f aca="false">LOG10(BO4)*10</f>
        <v>10.1013464224505</v>
      </c>
      <c r="BQ4" s="179" t="s">
        <v>2290</v>
      </c>
      <c r="BR4" s="75" t="n">
        <f aca="false">10^BS4</f>
        <v>1.10289372624279</v>
      </c>
      <c r="BS4" s="628" t="n">
        <f aca="false">IF(BR3=2,SLOPE(BP4:BP5,BN4:BN5),IF(BR3=3,SLOPE(BP4:BP6,BN4:BN6),IF(BR3=4,SLOPE(BP4:BP7,BN4:BN7),IF(BR3=5,SLOPE(BP4:BP8,BN4:BN8)))))</f>
        <v>0.0425336662661758</v>
      </c>
      <c r="BT4" s="628" t="n">
        <f aca="false">IF(BR3=2,INTERCEPT(BP4:BP5,BN4:BN5),IF(BR3=3,INTERCEPT(BP4:BP6,BN4:BN6),IF(BR3=4,INTERCEPT(BP4:BP7,BN4:BN7),IF(BR3=5,INTERCEPT(BP4:BP8,BN4:BN8)))))</f>
        <v>9.02323495263701</v>
      </c>
      <c r="CI4" s="0" t="s">
        <v>2291</v>
      </c>
      <c r="CW4" s="0" t="n">
        <v>0.999</v>
      </c>
      <c r="CX4" s="120" t="n">
        <f aca="false">1-CW4^33.3333333333</f>
        <v>0.0328000304067012</v>
      </c>
      <c r="CY4" s="120" t="n">
        <f aca="false">(1-CW4^66.66666666)-CX4</f>
        <v>0.0317241884058436</v>
      </c>
      <c r="CZ4" s="120" t="n">
        <f aca="false">1-CX4-CY4</f>
        <v>0.935475781187455</v>
      </c>
      <c r="DN4" s="0" t="s">
        <v>2292</v>
      </c>
      <c r="DP4" s="420" t="n">
        <v>20</v>
      </c>
      <c r="DR4" s="633" t="s">
        <v>2293</v>
      </c>
      <c r="DS4" s="0" t="n">
        <f aca="false">1000/DP3</f>
        <v>4.24</v>
      </c>
    </row>
    <row r="5" customFormat="false" ht="18" hidden="false" customHeight="false" outlineLevel="0" collapsed="false">
      <c r="B5" s="0" t="n">
        <v>1770</v>
      </c>
      <c r="C5" s="0" t="n">
        <v>277.3</v>
      </c>
      <c r="E5" s="0" t="n">
        <v>2000</v>
      </c>
      <c r="F5" s="0" t="n">
        <v>368.9</v>
      </c>
      <c r="G5" s="0" t="n">
        <v>368.9</v>
      </c>
      <c r="H5" s="0" t="n">
        <v>368.9</v>
      </c>
      <c r="I5" s="0" t="n">
        <v>368.9</v>
      </c>
      <c r="L5" s="0" t="n">
        <f aca="false">-0.00000001516648304*E5^5 + 0.0001586265578*E5^4 - 0.663190082*E5^3 + 1385.434635*E5^2 - 1446186.605*E5 + 603458228.5</f>
        <v>370.019999504089</v>
      </c>
      <c r="M5" s="0" t="n">
        <f aca="false">255.1911 + 282.7456/(1+EXP(-(E5-2058.0442)/11.39))^0.1781</f>
        <v>369.151529949219</v>
      </c>
      <c r="O5" s="0" t="n">
        <f aca="false">282.8391 + 902.2988/(1+EXP(-(E5-2104.6814)/17.3348))^0.391</f>
        <v>367.855443251302</v>
      </c>
      <c r="T5" s="181" t="n">
        <v>-33.73</v>
      </c>
      <c r="U5" s="0" t="n">
        <v>0.0720980533525595</v>
      </c>
      <c r="V5" s="0" t="n">
        <v>13.87</v>
      </c>
      <c r="W5" s="0" t="n">
        <f aca="false">0.000122783*T5^2 + 0.0191158*T5+ 0.564601</f>
        <v>0.0595168690006999</v>
      </c>
      <c r="X5" s="0" t="n">
        <f aca="false">U5-W5</f>
        <v>0.0125811843518596</v>
      </c>
      <c r="Y5" s="634"/>
      <c r="Z5" s="634"/>
      <c r="AA5" s="634"/>
      <c r="AB5" s="634"/>
      <c r="AC5" s="634"/>
      <c r="AD5" s="634"/>
      <c r="AE5" s="634"/>
      <c r="AF5" s="634"/>
      <c r="AG5" s="634"/>
      <c r="AI5" s="0" t="n">
        <f aca="false">AI4+0.2</f>
        <v>273.56</v>
      </c>
      <c r="AJ5" s="0" t="n">
        <f aca="false">AI5-273.16</f>
        <v>0.399999999999977</v>
      </c>
      <c r="AK5" s="0" t="n">
        <f aca="false">AI5*$AR$1*EXP(-$AR$6/8.31/AI5)/(1+EXP($AR$2/8.31*(1-$AR$5/$AR$2/AI5)))</f>
        <v>0.0286819137229457</v>
      </c>
      <c r="AL5" s="0" t="n">
        <v>0.0354573098797822</v>
      </c>
      <c r="AM5" s="142" t="n">
        <f aca="false">AI5*EXP(-$AR$6/8.31/AI5)/(1+EXP($AR$2/8.31*(1-$AR$5/$AR$2/AI5)))</f>
        <v>5.25783332236994E-015</v>
      </c>
      <c r="AN5" s="0" t="n">
        <f aca="false">IF(AK5=$AL$1,1*AJ5,0)</f>
        <v>0</v>
      </c>
      <c r="AQ5" s="0" t="s">
        <v>2294</v>
      </c>
      <c r="AR5" s="0" t="n">
        <v>333000</v>
      </c>
      <c r="AS5" s="0" t="n">
        <v>333000</v>
      </c>
      <c r="AU5" s="0" t="n">
        <v>910323706267.811</v>
      </c>
      <c r="AV5" s="0" t="n">
        <v>1035</v>
      </c>
      <c r="AW5" s="0" t="n">
        <v>45.9999999999974</v>
      </c>
      <c r="AX5" s="0" t="n">
        <f aca="false">LOG(AU5)</f>
        <v>11.959195852593</v>
      </c>
      <c r="AY5" s="0" t="n">
        <f aca="false">0.01190448*AW5*AW5-4.343334*AW5+1209.74</f>
        <v>1035.13651568001</v>
      </c>
      <c r="AZ5" s="0" t="n">
        <f aca="false">10^(0.000167997*AW5*AW5-0.06134963*AW5+14.42771)</f>
        <v>914342005472.622</v>
      </c>
      <c r="BC5" s="179" t="s">
        <v>2295</v>
      </c>
      <c r="BD5" s="72" t="n">
        <v>1.71690614432262</v>
      </c>
      <c r="BE5" s="628" t="n">
        <f aca="false">BE4+1</f>
        <v>13</v>
      </c>
      <c r="BF5" s="0" t="n">
        <f aca="false">IF(BE5&lt;$BD$3,$BD$1*$BD$4^((BE5-20)/10),$BD$2*$BD$5^((BE5-$BD$3)/10))</f>
        <v>9.10110746962241</v>
      </c>
      <c r="BG5" s="0" t="n">
        <f aca="false">LOG10(BF5)*10</f>
        <v>9.5909424272564</v>
      </c>
      <c r="BM5" s="0" t="n">
        <v>2</v>
      </c>
      <c r="BN5" s="636" t="n">
        <v>30</v>
      </c>
      <c r="BO5" s="637" t="n">
        <v>10.6699746583511</v>
      </c>
      <c r="BP5" s="0" t="n">
        <f aca="false">LOG10(BO5)*10</f>
        <v>10.2816338795761</v>
      </c>
      <c r="BQ5" s="179" t="s">
        <v>2295</v>
      </c>
      <c r="BR5" s="75" t="n">
        <f aca="false">10^BS5</f>
        <v>1.71690614432262</v>
      </c>
      <c r="BS5" s="170" t="n">
        <f aca="false">IF(BR3=2,SLOPE(BP5:BP9,BN5:BN9),IF(BR3=3,SLOPE(BP6:BP9,BN6:BN9),IF(BR3=4,SLOPE(BP7:BP9,BN7:BN9),IF(BR3=5,SLOPE(BP8:BP9,BN8:BN9)))))</f>
        <v>0.234746554848236</v>
      </c>
      <c r="BT5" s="170" t="n">
        <f aca="false">IF(BR3=2,INTERCEPT(BP5:BP9,BN5:BN9),IF(BR3=3,INTERCEPT(BP6:BP9,BN6:BN9),IF(BR3=4,INTERCEPT(BP7:BP9,BN7:BN9),IF(BR3=5,INTERCEPT(BP8:BP9,BN8:BN9)))))</f>
        <v>1.35019494744651</v>
      </c>
      <c r="CH5" s="0" t="n">
        <f aca="false">-CI5/100</f>
        <v>-0</v>
      </c>
      <c r="CI5" s="0" t="n">
        <v>0</v>
      </c>
      <c r="CJ5" s="0" t="n">
        <f aca="false">1-$CJ$3^CI5</f>
        <v>0</v>
      </c>
      <c r="CK5" s="0" t="n">
        <f aca="false">1-$CK$3^CI5</f>
        <v>0</v>
      </c>
      <c r="CL5" s="0" t="n">
        <f aca="false">1-$CL$3^CI5</f>
        <v>0</v>
      </c>
      <c r="CW5" s="0" t="n">
        <f aca="false">CW4-0.001</f>
        <v>0.998</v>
      </c>
      <c r="CX5" s="120" t="n">
        <f aca="false">1-CW5^33.3333333333</f>
        <v>0.0645554632973522</v>
      </c>
      <c r="CY5" s="120" t="n">
        <f aca="false">(1-CW5^66.66666666)-CX5</f>
        <v>0.0603880554442541</v>
      </c>
      <c r="CZ5" s="120" t="n">
        <f aca="false">1-CX5-CY5</f>
        <v>0.875056481258394</v>
      </c>
      <c r="DN5" s="0" t="s">
        <v>2296</v>
      </c>
      <c r="DP5" s="420" t="n">
        <v>60</v>
      </c>
      <c r="DR5" s="562" t="s">
        <v>2297</v>
      </c>
      <c r="DS5" s="562" t="n">
        <f aca="false">1/DS3</f>
        <v>174.917900970134</v>
      </c>
      <c r="DW5" s="0" t="s">
        <v>2298</v>
      </c>
      <c r="DX5" s="0" t="s">
        <v>147</v>
      </c>
      <c r="DY5" s="0" t="s">
        <v>148</v>
      </c>
    </row>
    <row r="6" customFormat="false" ht="18" hidden="false" customHeight="false" outlineLevel="0" collapsed="false">
      <c r="B6" s="0" t="n">
        <v>1775</v>
      </c>
      <c r="C6" s="0" t="n">
        <v>278</v>
      </c>
      <c r="E6" s="0" t="n">
        <v>2005</v>
      </c>
      <c r="F6" s="0" t="n">
        <v>378.8</v>
      </c>
      <c r="G6" s="0" t="n">
        <v>378.8</v>
      </c>
      <c r="H6" s="0" t="n">
        <v>378.8</v>
      </c>
      <c r="I6" s="0" t="n">
        <v>378.8</v>
      </c>
      <c r="L6" s="0" t="n">
        <f aca="false">-0.00000001516648304*E6^5 + 0.0001586265578*E6^4 - 0.663190082*E6^3 + 1385.434635*E6^2 - 1446186.605*E6 + 603458228.5</f>
        <v>381.028861522675</v>
      </c>
      <c r="M6" s="0" t="n">
        <f aca="false">255.1911 + 282.7456/(1+EXP(-(E6-2058.0442)/11.39))^0.1781</f>
        <v>378.345365902386</v>
      </c>
      <c r="O6" s="0" t="n">
        <f aca="false">282.8391 + 902.2988/(1+EXP(-(E6-2104.6814)/17.3348))^0.391</f>
        <v>377.975493913566</v>
      </c>
      <c r="T6" s="181" t="n">
        <v>-32.83</v>
      </c>
      <c r="U6" s="0" t="n">
        <v>0.0830840810900631</v>
      </c>
      <c r="V6" s="0" t="n">
        <v>12.036</v>
      </c>
      <c r="W6" s="0" t="n">
        <f aca="false">0.000122783*T6^2 + 0.0191158*T6+ 0.564601</f>
        <v>0.0693658961686999</v>
      </c>
      <c r="X6" s="0" t="n">
        <f aca="false">U6-W6</f>
        <v>0.0137181849213632</v>
      </c>
      <c r="Y6" s="634"/>
      <c r="Z6" s="634"/>
      <c r="AA6" s="634"/>
      <c r="AB6" s="634"/>
      <c r="AC6" s="634"/>
      <c r="AD6" s="634"/>
      <c r="AE6" s="634"/>
      <c r="AF6" s="634"/>
      <c r="AG6" s="634"/>
      <c r="AI6" s="0" t="n">
        <f aca="false">AI5+0.2</f>
        <v>273.76</v>
      </c>
      <c r="AJ6" s="0" t="n">
        <f aca="false">AI6-273.16</f>
        <v>0.599999999999966</v>
      </c>
      <c r="AK6" s="0" t="n">
        <f aca="false">AI6*$AR$1*EXP(-$AR$6/8.31/AI6)/(1+EXP($AR$2/8.31*(1-$AR$5/$AR$2/AI6)))</f>
        <v>0.0295214610507661</v>
      </c>
      <c r="AL6" s="0" t="n">
        <v>0.0408752234765796</v>
      </c>
      <c r="AM6" s="142" t="n">
        <f aca="false">AI6*EXP(-$AR$6/8.31/AI6)/(1+EXP($AR$2/8.31*(1-$AR$5/$AR$2/AI6)))</f>
        <v>5.41173518395977E-015</v>
      </c>
      <c r="AN6" s="0" t="n">
        <f aca="false">IF(AK6=$AL$1,1*AJ6,0)</f>
        <v>0</v>
      </c>
      <c r="AQ6" s="0" t="s">
        <v>2299</v>
      </c>
      <c r="AR6" s="0" t="n">
        <v>87500</v>
      </c>
      <c r="AS6" s="0" t="n">
        <v>87500</v>
      </c>
      <c r="AU6" s="0" t="n">
        <v>1071448918038.65</v>
      </c>
      <c r="AV6" s="0" t="n">
        <v>1040</v>
      </c>
      <c r="AW6" s="0" t="n">
        <v>44.5999999999975</v>
      </c>
      <c r="AX6" s="0" t="n">
        <f aca="false">LOG(AU6)</f>
        <v>12.0299714706249</v>
      </c>
      <c r="AY6" s="0" t="n">
        <f aca="false">0.01190448*AW6*AW6-4.343334*AW6+1209.74</f>
        <v>1039.70721903681</v>
      </c>
      <c r="AZ6" s="0" t="n">
        <f aca="false">10^(0.000167997*AW6*AW6-0.06134963*AW6+14.42771)</f>
        <v>1060936557587.45</v>
      </c>
      <c r="BE6" s="628" t="n">
        <f aca="false">BE5+1</f>
        <v>14</v>
      </c>
      <c r="BF6" s="0" t="n">
        <f aca="false">IF(BE6&lt;$BD$3,$BD$1*$BD$4^((BE6-20)/10),$BD$2*$BD$5^((BE6-$BD$3)/10))</f>
        <v>9.19067924236248</v>
      </c>
      <c r="BG6" s="0" t="n">
        <f aca="false">LOG10(BF6)*10</f>
        <v>9.63347609352258</v>
      </c>
      <c r="BM6" s="0" t="n">
        <v>3</v>
      </c>
      <c r="BN6" s="636" t="n">
        <v>35</v>
      </c>
      <c r="BO6" s="637" t="n">
        <v>11.2274878939569</v>
      </c>
      <c r="BP6" s="0" t="n">
        <f aca="false">LOG10(BO6)*10</f>
        <v>10.5028259545681</v>
      </c>
      <c r="BQ6" s="179" t="s">
        <v>2257</v>
      </c>
      <c r="BR6" s="75" t="n">
        <f aca="false">10^((BS4*20+BT4)/10)</f>
        <v>9.71383736101246</v>
      </c>
      <c r="CH6" s="0" t="n">
        <f aca="false">-CI6/100</f>
        <v>-0.05</v>
      </c>
      <c r="CI6" s="0" t="n">
        <f aca="false">CI5+5</f>
        <v>5</v>
      </c>
      <c r="CJ6" s="0" t="n">
        <f aca="false">1-$CJ$3^CI6</f>
        <v>0.1412659743</v>
      </c>
      <c r="CK6" s="0" t="n">
        <f aca="false">1-$CK$3^CI6</f>
        <v>0.2262190625</v>
      </c>
      <c r="CL6" s="0" t="n">
        <f aca="false">1-$CL$3^CI6</f>
        <v>0.40951</v>
      </c>
      <c r="CW6" s="0" t="n">
        <f aca="false">CW5-0.001</f>
        <v>0.997</v>
      </c>
      <c r="CX6" s="120" t="n">
        <f aca="false">1-CW6^33.3333333333</f>
        <v>0.0952985694203561</v>
      </c>
      <c r="CY6" s="120" t="n">
        <f aca="false">(1-CW6^66.66666666)-CX6</f>
        <v>0.0862167520705594</v>
      </c>
      <c r="CZ6" s="120" t="n">
        <f aca="false">1-CX6-CY6</f>
        <v>0.818484678509085</v>
      </c>
      <c r="DR6" s="633" t="s">
        <v>2300</v>
      </c>
      <c r="DS6" s="0" t="n">
        <f aca="false">DS5/1000</f>
        <v>0.174917900970134</v>
      </c>
      <c r="DV6" s="0" t="s">
        <v>2301</v>
      </c>
      <c r="DW6" s="0" t="n">
        <v>0</v>
      </c>
      <c r="DX6" s="0" t="n">
        <v>0</v>
      </c>
      <c r="DY6" s="0" t="n">
        <v>1500</v>
      </c>
    </row>
    <row r="7" customFormat="false" ht="18" hidden="false" customHeight="false" outlineLevel="0" collapsed="false">
      <c r="B7" s="0" t="n">
        <v>1780</v>
      </c>
      <c r="C7" s="0" t="n">
        <v>278.2</v>
      </c>
      <c r="E7" s="0" t="n">
        <v>2010</v>
      </c>
      <c r="F7" s="0" t="n">
        <v>389.3</v>
      </c>
      <c r="G7" s="0" t="n">
        <v>389.1</v>
      </c>
      <c r="H7" s="0" t="n">
        <v>389.1</v>
      </c>
      <c r="I7" s="0" t="n">
        <v>389.3</v>
      </c>
      <c r="L7" s="0" t="n">
        <f aca="false">-0.00000001516648304*E7^5 + 0.0001586265578*E7^4 - 0.663190082*E7^3 + 1385.434635*E7^2 - 1446186.605*E7 + 603458228.5</f>
        <v>392.113859653473</v>
      </c>
      <c r="M7" s="0" t="n">
        <f aca="false">255.1911 + 282.7456/(1+EXP(-(E7-2058.0442)/11.39))^0.1781</f>
        <v>388.237724830169</v>
      </c>
      <c r="O7" s="0" t="n">
        <f aca="false">282.8391 + 902.2988/(1+EXP(-(E7-2104.6814)/17.3348))^0.391</f>
        <v>389.289177592271</v>
      </c>
      <c r="T7" s="181" t="n">
        <v>-32.69</v>
      </c>
      <c r="U7" s="0" t="n">
        <v>0.0787490156373045</v>
      </c>
      <c r="V7" s="0" t="n">
        <v>12.6985714285714</v>
      </c>
      <c r="W7" s="0" t="n">
        <f aca="false">0.000122783*T7^2 + 0.0191158*T7+ 0.564601</f>
        <v>0.0709158442662998</v>
      </c>
      <c r="X7" s="0" t="n">
        <f aca="false">U7-W7</f>
        <v>0.00783317137100471</v>
      </c>
      <c r="Y7" s="634"/>
      <c r="Z7" s="634"/>
      <c r="AA7" s="634"/>
      <c r="AB7" s="634"/>
      <c r="AC7" s="634"/>
      <c r="AD7" s="634"/>
      <c r="AE7" s="634"/>
      <c r="AF7" s="634"/>
      <c r="AG7" s="634"/>
      <c r="AI7" s="0" t="n">
        <f aca="false">AI6+0.2</f>
        <v>273.96</v>
      </c>
      <c r="AJ7" s="0" t="n">
        <f aca="false">AI7-273.16</f>
        <v>0.799999999999955</v>
      </c>
      <c r="AK7" s="0" t="n">
        <f aca="false">AI7*$AR$1*EXP(-$AR$6/8.31/AI7)/(1+EXP($AR$2/8.31*(1-$AR$5/$AR$2/AI7)))</f>
        <v>0.0303843189225931</v>
      </c>
      <c r="AL7" s="0" t="n">
        <v>0.0470732778818408</v>
      </c>
      <c r="AM7" s="142" t="n">
        <f aca="false">AI7*EXP(-$AR$6/8.31/AI7)/(1+EXP($AR$2/8.31*(1-$AR$5/$AR$2/AI7)))</f>
        <v>5.56991022467652E-015</v>
      </c>
      <c r="AN7" s="0" t="n">
        <f aca="false">IF(AK7=$AL$1,1*AJ7,0)</f>
        <v>0</v>
      </c>
      <c r="AU7" s="0" t="n">
        <v>1260820571864.25</v>
      </c>
      <c r="AV7" s="0" t="n">
        <v>1045</v>
      </c>
      <c r="AW7" s="0" t="n">
        <v>42.9999999999976</v>
      </c>
      <c r="AX7" s="0" t="n">
        <f aca="false">LOG(AU7)</f>
        <v>12.1006532862608</v>
      </c>
      <c r="AY7" s="0" t="n">
        <f aca="false">0.01190448*AW7*AW7-4.343334*AW7+1209.74</f>
        <v>1044.98802152001</v>
      </c>
      <c r="AZ7" s="0" t="n">
        <f aca="false">10^(0.000167997*AW7*AW7-0.06134963*AW7+14.42771)</f>
        <v>1259802201666.76</v>
      </c>
      <c r="BE7" s="628" t="n">
        <f aca="false">BE6+1</f>
        <v>15</v>
      </c>
      <c r="BF7" s="0" t="n">
        <f aca="false">IF(BE7&lt;$BD$3,$BD$1*$BD$4^((BE7-20)/10),$BD$2*$BD$5^((BE7-$BD$3)/10))</f>
        <v>9.28113256742995</v>
      </c>
      <c r="BG7" s="0" t="n">
        <f aca="false">LOG10(BF7)*10</f>
        <v>9.67600975978875</v>
      </c>
      <c r="BM7" s="0" t="n">
        <v>4</v>
      </c>
      <c r="BN7" s="636" t="n">
        <v>40</v>
      </c>
      <c r="BO7" s="637" t="n">
        <v>11.8481629054818</v>
      </c>
      <c r="BP7" s="0" t="n">
        <f aca="false">LOG10(BO7)*10</f>
        <v>10.7365101685561</v>
      </c>
      <c r="BQ7" s="179" t="s">
        <v>2302</v>
      </c>
      <c r="BR7" s="75" t="n">
        <f aca="false">(BT4-BT5)/(BS5-BS4)</f>
        <v>39.9194875109256</v>
      </c>
      <c r="CH7" s="0" t="n">
        <f aca="false">-CI7/100</f>
        <v>-0.1</v>
      </c>
      <c r="CI7" s="0" t="n">
        <f aca="false">CI6+5</f>
        <v>10</v>
      </c>
      <c r="CJ7" s="0" t="n">
        <f aca="false">1-$CJ$3^CI7</f>
        <v>0.262575873105072</v>
      </c>
      <c r="CK7" s="0" t="n">
        <f aca="false">1-$CK$3^CI7</f>
        <v>0.401263060761621</v>
      </c>
      <c r="CL7" s="0" t="n">
        <f aca="false">1-$CL$3^CI7</f>
        <v>0.6513215599</v>
      </c>
      <c r="CW7" s="0" t="n">
        <f aca="false">CW6-0.001</f>
        <v>0.996</v>
      </c>
      <c r="CX7" s="120" t="n">
        <f aca="false">1-CW7^33.3333333333</f>
        <v>0.125060653446016</v>
      </c>
      <c r="CY7" s="120" t="n">
        <f aca="false">(1-CW7^66.66666666)-CX7</f>
        <v>0.109420486385422</v>
      </c>
      <c r="CZ7" s="120" t="n">
        <f aca="false">1-CX7-CY7</f>
        <v>0.765518860168562</v>
      </c>
      <c r="DN7" s="632" t="s">
        <v>2303</v>
      </c>
      <c r="DO7" s="632"/>
      <c r="DV7" s="0" t="s">
        <v>2304</v>
      </c>
      <c r="DW7" s="0" t="n">
        <f aca="false">1/3</f>
        <v>0.333333333333333</v>
      </c>
      <c r="DX7" s="0" t="n">
        <f aca="false">DW7*DX1</f>
        <v>1.66666666666667</v>
      </c>
      <c r="DY7" s="0" t="n">
        <f aca="false">$DY$6*EXP(-$DX$2*DX7)</f>
        <v>696.238325041917</v>
      </c>
    </row>
    <row r="8" customFormat="false" ht="18" hidden="false" customHeight="false" outlineLevel="0" collapsed="false">
      <c r="B8" s="0" t="n">
        <v>1785</v>
      </c>
      <c r="C8" s="0" t="n">
        <v>278.6</v>
      </c>
      <c r="E8" s="0" t="n">
        <v>2020</v>
      </c>
      <c r="F8" s="0" t="n">
        <v>412.1</v>
      </c>
      <c r="G8" s="0" t="n">
        <v>411.1</v>
      </c>
      <c r="H8" s="0" t="n">
        <v>409.4</v>
      </c>
      <c r="I8" s="0" t="n">
        <v>415.8</v>
      </c>
      <c r="L8" s="0" t="n">
        <f aca="false">-0.00000001516648304*E8^5 + 0.0001586265578*E8^4 - 0.663190082*E8^3 + 1385.434635*E8^2 - 1446186.605*E8 + 603458228.5</f>
        <v>412.692615032196</v>
      </c>
      <c r="M8" s="0" t="n">
        <f aca="false">255.1911 + 282.7456/(1+EXP(-(E8-2058.0442)/11.39))^0.1781</f>
        <v>410.197641992423</v>
      </c>
      <c r="O8" s="0" t="n">
        <f aca="false">282.8391 + 902.2988/(1+EXP(-(E8-2104.6814)/17.3348))^0.391</f>
        <v>416.051658134755</v>
      </c>
      <c r="T8" s="181" t="n">
        <v>-31.78</v>
      </c>
      <c r="U8" s="0" t="n">
        <v>0.0925069380203515</v>
      </c>
      <c r="V8" s="0" t="n">
        <v>10.81</v>
      </c>
      <c r="W8" s="0" t="n">
        <f aca="false">0.000122783*T8^2 + 0.0191158*T8+ 0.564601</f>
        <v>0.0811078260571997</v>
      </c>
      <c r="X8" s="0" t="n">
        <f aca="false">U8-W8</f>
        <v>0.0113991119631518</v>
      </c>
      <c r="Y8" s="634"/>
      <c r="Z8" s="634"/>
      <c r="AA8" s="634"/>
      <c r="AB8" s="634"/>
      <c r="AC8" s="634"/>
      <c r="AD8" s="634"/>
      <c r="AE8" s="634"/>
      <c r="AF8" s="634"/>
      <c r="AG8" s="634"/>
      <c r="AI8" s="0" t="n">
        <f aca="false">AI7+0.2</f>
        <v>274.16</v>
      </c>
      <c r="AJ8" s="0" t="n">
        <f aca="false">AI8-273.16</f>
        <v>0.999999999999943</v>
      </c>
      <c r="AK8" s="0" t="n">
        <f aca="false">AI8*$AR$1*EXP(-$AR$6/8.31/AI8)/(1+EXP($AR$2/8.31*(1-$AR$5/$AR$2/AI8)))</f>
        <v>0.0312710986611515</v>
      </c>
      <c r="AL8" s="0" t="n">
        <v>0.0541568428776223</v>
      </c>
      <c r="AM8" s="142" t="n">
        <f aca="false">AI8*EXP(-$AR$6/8.31/AI8)/(1+EXP($AR$2/8.31*(1-$AR$5/$AR$2/AI8)))</f>
        <v>5.73247050932254E-015</v>
      </c>
      <c r="AN8" s="0" t="n">
        <f aca="false">IF(AK8=$AL$1,1*AJ8,0)</f>
        <v>0</v>
      </c>
      <c r="AU8" s="0" t="n">
        <v>1483967612161.19</v>
      </c>
      <c r="AV8" s="0" t="n">
        <v>1050</v>
      </c>
      <c r="AW8" s="0" t="n">
        <v>41.5999999999976</v>
      </c>
      <c r="AX8" s="0" t="n">
        <f aca="false">LOG(AU8)</f>
        <v>12.1714244224975</v>
      </c>
      <c r="AY8" s="0" t="n">
        <f aca="false">0.01190448*AW8*AW8-4.343334*AW8+1209.74</f>
        <v>1049.65872250881</v>
      </c>
      <c r="AZ8" s="0" t="n">
        <f aca="false">10^(0.000167997*AW8*AW8-0.06134963*AW8+14.42771)</f>
        <v>1466541240730.13</v>
      </c>
      <c r="BE8" s="628" t="n">
        <f aca="false">BE7+1</f>
        <v>16</v>
      </c>
      <c r="BF8" s="0" t="n">
        <f aca="false">IF(BE8&lt;$BD$3,$BD$1*$BD$4^((BE8-20)/10),$BD$2*$BD$5^((BE8-$BD$3)/10))</f>
        <v>9.37247612093431</v>
      </c>
      <c r="BG8" s="0" t="n">
        <f aca="false">LOG10(BF8)*10</f>
        <v>9.71854342605493</v>
      </c>
      <c r="BM8" s="0" t="n">
        <v>5</v>
      </c>
      <c r="BN8" s="638" t="n">
        <v>45</v>
      </c>
      <c r="BO8" s="639" t="n">
        <v>15.5628232862737</v>
      </c>
      <c r="BP8" s="0" t="n">
        <f aca="false">LOG10(BO8)*10</f>
        <v>11.9208838612569</v>
      </c>
      <c r="CH8" s="0" t="n">
        <f aca="false">-CI8/100</f>
        <v>-0.15</v>
      </c>
      <c r="CI8" s="0" t="n">
        <f aca="false">CI7+5</f>
        <v>15</v>
      </c>
      <c r="CJ8" s="0" t="n">
        <f aca="false">1-$CJ$3^CI8</f>
        <v>0.366748810863211</v>
      </c>
      <c r="CK8" s="0" t="n">
        <f aca="false">1-$CK$3^CI8</f>
        <v>0.536708769840247</v>
      </c>
      <c r="CL8" s="0" t="n">
        <f aca="false">1-$CL$3^CI8</f>
        <v>0.794108867905351</v>
      </c>
      <c r="CW8" s="0" t="n">
        <f aca="false">CW7-0.001</f>
        <v>0.995</v>
      </c>
      <c r="CX8" s="120" t="n">
        <f aca="false">1-CW8^33.3333333333</f>
        <v>0.153872081961941</v>
      </c>
      <c r="CY8" s="120" t="n">
        <f aca="false">(1-CW8^66.66666666)-CX8</f>
        <v>0.130195464330954</v>
      </c>
      <c r="CZ8" s="120" t="n">
        <f aca="false">1-CX8-CY8</f>
        <v>0.715932453707105</v>
      </c>
      <c r="DN8" s="0" t="s">
        <v>2305</v>
      </c>
      <c r="DP8" s="640" t="n">
        <f aca="false">101.3 *EXP(-DP5/8200)</f>
        <v>100.561485664495</v>
      </c>
      <c r="DQ8" s="640"/>
      <c r="DV8" s="0" t="s">
        <v>2306</v>
      </c>
      <c r="DW8" s="0" t="n">
        <f aca="false">1/3</f>
        <v>0.333333333333333</v>
      </c>
      <c r="DX8" s="0" t="n">
        <f aca="false">DX7+DW8*DX1</f>
        <v>3.33333333333333</v>
      </c>
      <c r="DY8" s="0" t="n">
        <f aca="false">$DY$6*EXP(-$DX$2*DX8)</f>
        <v>323.165203504783</v>
      </c>
    </row>
    <row r="9" customFormat="false" ht="18" hidden="false" customHeight="false" outlineLevel="0" collapsed="false">
      <c r="B9" s="0" t="n">
        <v>1790</v>
      </c>
      <c r="C9" s="0" t="n">
        <v>280</v>
      </c>
      <c r="E9" s="0" t="n">
        <v>2030</v>
      </c>
      <c r="F9" s="0" t="n">
        <v>430.8</v>
      </c>
      <c r="G9" s="0" t="n">
        <v>435</v>
      </c>
      <c r="H9" s="0" t="n">
        <v>428.9</v>
      </c>
      <c r="I9" s="0" t="n">
        <v>448.8</v>
      </c>
      <c r="L9" s="0" t="n">
        <f aca="false">-0.00000001516648304*E9^5 + 0.0001586265578*E9^4 - 0.663190082*E9^3 + 1385.434635*E9^2 - 1446186.605*E9 + 603458228.5</f>
        <v>429.013341426849</v>
      </c>
      <c r="M9" s="0" t="n">
        <f aca="false">255.1911 + 282.7456/(1+EXP(-(E9-2058.0442)/11.39))^0.1781</f>
        <v>434.922494272163</v>
      </c>
      <c r="O9" s="0" t="n">
        <f aca="false">282.8391 + 902.2988/(1+EXP(-(E9-2104.6814)/17.3348))^0.391</f>
        <v>449.376717947695</v>
      </c>
      <c r="T9" s="181" t="n">
        <v>-31.74</v>
      </c>
      <c r="U9" s="0" t="n">
        <v>0.0872219799389446</v>
      </c>
      <c r="V9" s="0" t="n">
        <v>11.465</v>
      </c>
      <c r="W9" s="0" t="n">
        <f aca="false">0.000122783*T9^2 + 0.0191158*T9+ 0.564601</f>
        <v>0.0815604910107997</v>
      </c>
      <c r="X9" s="0" t="n">
        <f aca="false">U9-W9</f>
        <v>0.00566148892814496</v>
      </c>
      <c r="Y9" s="634"/>
      <c r="Z9" s="634"/>
      <c r="AA9" s="634"/>
      <c r="AB9" s="634"/>
      <c r="AC9" s="634"/>
      <c r="AD9" s="634"/>
      <c r="AE9" s="634"/>
      <c r="AF9" s="634"/>
      <c r="AG9" s="634"/>
      <c r="AI9" s="0" t="n">
        <f aca="false">AI8+0.2</f>
        <v>274.36</v>
      </c>
      <c r="AJ9" s="0" t="n">
        <f aca="false">AI9-273.16</f>
        <v>1.19999999999993</v>
      </c>
      <c r="AK9" s="0" t="n">
        <f aca="false">AI9*$AR$1*EXP(-$AR$6/8.31/AI9)/(1+EXP($AR$2/8.31*(1-$AR$5/$AR$2/AI9)))</f>
        <v>0.0321824266530118</v>
      </c>
      <c r="AL9" s="0" t="n">
        <v>0.0622445561113419</v>
      </c>
      <c r="AM9" s="142" t="n">
        <f aca="false">AI9*EXP(-$AR$6/8.31/AI9)/(1+EXP($AR$2/8.31*(1-$AR$5/$AR$2/AI9)))</f>
        <v>5.89953086413348E-015</v>
      </c>
      <c r="AN9" s="0" t="n">
        <f aca="false">IF(AK9=$AL$1,1*AJ9,0)</f>
        <v>0</v>
      </c>
      <c r="AU9" s="0" t="n">
        <v>1746179844559.96</v>
      </c>
      <c r="AV9" s="0" t="n">
        <v>1055</v>
      </c>
      <c r="AW9" s="0" t="n">
        <v>39.9999999999977</v>
      </c>
      <c r="AX9" s="0" t="n">
        <f aca="false">LOG(AU9)</f>
        <v>12.2420889710292</v>
      </c>
      <c r="AY9" s="0" t="n">
        <f aca="false">0.01190448*AW9*AW9-4.343334*AW9+1209.74</f>
        <v>1055.05380800001</v>
      </c>
      <c r="AZ9" s="0" t="n">
        <f aca="false">10^(0.000167997*AW9*AW9-0.06134963*AW9+14.42771)</f>
        <v>1747913754968.35</v>
      </c>
      <c r="BE9" s="628" t="n">
        <f aca="false">BE8+1</f>
        <v>17</v>
      </c>
      <c r="BF9" s="0" t="n">
        <f aca="false">IF(BE9&lt;$BD$3,$BD$1*$BD$4^((BE9-20)/10),$BD$2*$BD$5^((BE9-$BD$3)/10))</f>
        <v>9.46471866437401</v>
      </c>
      <c r="BG9" s="0" t="n">
        <f aca="false">LOG10(BF9)*10</f>
        <v>9.7610770923211</v>
      </c>
      <c r="BN9" s="638" t="n">
        <v>50</v>
      </c>
      <c r="BO9" s="639" t="n">
        <v>20.3421836913571</v>
      </c>
      <c r="BP9" s="0" t="n">
        <f aca="false">LOG10(BO9)*10</f>
        <v>13.0839757170385</v>
      </c>
      <c r="CH9" s="0" t="n">
        <f aca="false">-CI9/100</f>
        <v>-0.2</v>
      </c>
      <c r="CI9" s="0" t="n">
        <f aca="false">CI8+5</f>
        <v>20</v>
      </c>
      <c r="CJ9" s="0" t="n">
        <f aca="false">1-$CJ$3^CI9</f>
        <v>0.456205657073253</v>
      </c>
      <c r="CK9" s="0" t="n">
        <f aca="false">1-$CK$3^CI9</f>
        <v>0.641514077591458</v>
      </c>
      <c r="CL9" s="0" t="n">
        <f aca="false">1-$CL$3^CI9</f>
        <v>0.878423345409431</v>
      </c>
      <c r="CW9" s="0" t="n">
        <f aca="false">CW8-0.001</f>
        <v>0.994</v>
      </c>
      <c r="CX9" s="120" t="n">
        <f aca="false">1-CW9^33.3333333333</f>
        <v>0.181762310684065</v>
      </c>
      <c r="CY9" s="120" t="n">
        <f aca="false">(1-CW9^66.66666666)-CX9</f>
        <v>0.148724773072262</v>
      </c>
      <c r="CZ9" s="120" t="n">
        <f aca="false">1-CX9-CY9</f>
        <v>0.669512916243673</v>
      </c>
      <c r="DN9" s="0" t="s">
        <v>2307</v>
      </c>
      <c r="DP9" s="640" t="n">
        <f aca="false">44.6*(DP8/101.3)*(273.15/(273.15+DP4))</f>
        <v>41.2542219269184</v>
      </c>
      <c r="DQ9" s="640"/>
      <c r="DV9" s="0" t="s">
        <v>2308</v>
      </c>
      <c r="DW9" s="0" t="n">
        <f aca="false">1/3</f>
        <v>0.333333333333333</v>
      </c>
      <c r="DX9" s="0" t="n">
        <f aca="false">DX8+DW9*DX1</f>
        <v>5</v>
      </c>
      <c r="DY9" s="0" t="n">
        <f aca="false">$DY$6*EXP(-$DX$2*DX9)</f>
        <v>150</v>
      </c>
    </row>
    <row r="10" customFormat="false" ht="18" hidden="false" customHeight="false" outlineLevel="0" collapsed="false">
      <c r="B10" s="0" t="n">
        <v>1795</v>
      </c>
      <c r="C10" s="0" t="n">
        <v>281.4</v>
      </c>
      <c r="E10" s="0" t="n">
        <v>2040</v>
      </c>
      <c r="F10" s="0" t="n">
        <v>440.2</v>
      </c>
      <c r="G10" s="0" t="n">
        <v>460.8</v>
      </c>
      <c r="H10" s="0" t="n">
        <v>450.7</v>
      </c>
      <c r="I10" s="0" t="n">
        <v>489.4</v>
      </c>
      <c r="L10" s="0" t="n">
        <f aca="false">-0.00000001516648304*E10^5 + 0.0001586265578*E10^4 - 0.663190082*E10^3 + 1385.434635*E10^2 - 1446186.605*E10 + 603458228.5</f>
        <v>439.639938354492</v>
      </c>
      <c r="M10" s="0" t="n">
        <f aca="false">255.1911 + 282.7456/(1+EXP(-(E10-2058.0442)/11.39))^0.1781</f>
        <v>461.457986272957</v>
      </c>
      <c r="O10" s="0" t="n">
        <f aca="false">282.8391 + 902.2988/(1+EXP(-(E10-2104.6814)/17.3348))^0.391</f>
        <v>490.674738235023</v>
      </c>
      <c r="T10" s="181" t="n">
        <v>-31.3</v>
      </c>
      <c r="U10" s="0" t="n">
        <v>0.0995470608730277</v>
      </c>
      <c r="V10" s="0" t="n">
        <v>10.0455</v>
      </c>
      <c r="W10" s="0" t="n">
        <f aca="false">0.000122783*T10^2 + 0.0191158*T10+ 0.564601</f>
        <v>0.08656573727</v>
      </c>
      <c r="X10" s="0" t="n">
        <f aca="false">U10-W10</f>
        <v>0.0129813236030277</v>
      </c>
      <c r="Y10" s="634"/>
      <c r="Z10" s="634"/>
      <c r="AA10" s="634"/>
      <c r="AB10" s="634"/>
      <c r="AC10" s="634"/>
      <c r="AD10" s="634"/>
      <c r="AE10" s="634"/>
      <c r="AF10" s="634"/>
      <c r="AG10" s="634"/>
      <c r="AI10" s="0" t="n">
        <f aca="false">AI9+0.2</f>
        <v>274.56</v>
      </c>
      <c r="AJ10" s="0" t="n">
        <f aca="false">AI10-273.16</f>
        <v>1.39999999999992</v>
      </c>
      <c r="AK10" s="0" t="n">
        <f aca="false">AI10*$AR$1*EXP(-$AR$6/8.31/AI10)/(1+EXP($AR$2/8.31*(1-$AR$5/$AR$2/AI10)))</f>
        <v>0.0331189446949766</v>
      </c>
      <c r="AL10" s="0" t="n">
        <v>0.0714698623660532</v>
      </c>
      <c r="AM10" s="142" t="n">
        <f aca="false">AI10*EXP(-$AR$6/8.31/AI10)/(1+EXP($AR$2/8.31*(1-$AR$5/$AR$2/AI10)))</f>
        <v>6.07120894027606E-015</v>
      </c>
      <c r="AN10" s="0" t="n">
        <f aca="false">IF(AK10=$AL$1,1*AJ10,0)</f>
        <v>0</v>
      </c>
      <c r="AU10" s="0" t="n">
        <v>2054890192456.36</v>
      </c>
      <c r="AV10" s="0" t="n">
        <v>1060</v>
      </c>
      <c r="AW10" s="0" t="n">
        <v>38.5999999999978</v>
      </c>
      <c r="AX10" s="0" t="n">
        <f aca="false">LOG(AU10)</f>
        <v>12.3127886193584</v>
      </c>
      <c r="AY10" s="0" t="n">
        <f aca="false">0.01190448*AW10*AW10-4.343334*AW10+1209.74</f>
        <v>1059.82450662081</v>
      </c>
      <c r="AZ10" s="0" t="n">
        <f aca="false">10^(0.000167997*AW10*AW10-0.06134963*AW10+14.42771)</f>
        <v>2041376411561.5</v>
      </c>
      <c r="BE10" s="628" t="n">
        <f aca="false">BE9+1</f>
        <v>18</v>
      </c>
      <c r="BF10" s="0" t="n">
        <f aca="false">IF(BE10&lt;$BD$3,$BD$1*$BD$4^((BE10-20)/10),$BD$2*$BD$5^((BE10-$BD$3)/10))</f>
        <v>9.55786904547694</v>
      </c>
      <c r="BG10" s="0" t="n">
        <f aca="false">LOG10(BF10)*10</f>
        <v>9.80361075858728</v>
      </c>
      <c r="CH10" s="0" t="n">
        <f aca="false">-CI10/100</f>
        <v>-0.25</v>
      </c>
      <c r="CI10" s="0" t="n">
        <f aca="false">CI9+5</f>
        <v>25</v>
      </c>
      <c r="CJ10" s="0" t="n">
        <f aca="false">1-$CJ$3^CI10</f>
        <v>0.533025294745628</v>
      </c>
      <c r="CK10" s="0" t="n">
        <f aca="false">1-$CK$3^CI10</f>
        <v>0.722610426878166</v>
      </c>
      <c r="CL10" s="0" t="n">
        <f aca="false">1-$CL$3^CI10</f>
        <v>0.928210201230815</v>
      </c>
      <c r="CW10" s="0" t="n">
        <f aca="false">CW9-0.001</f>
        <v>0.993</v>
      </c>
      <c r="CX10" s="120" t="n">
        <f aca="false">1-CW10^33.3333333333</f>
        <v>0.208759910904514</v>
      </c>
      <c r="CY10" s="120" t="n">
        <f aca="false">(1-CW10^66.66666666)-CX10</f>
        <v>0.165179210474628</v>
      </c>
      <c r="CZ10" s="120" t="n">
        <f aca="false">1-CX10-CY10</f>
        <v>0.626060878620859</v>
      </c>
      <c r="DV10" s="0" t="s">
        <v>182</v>
      </c>
      <c r="DW10" s="0" t="n">
        <v>0</v>
      </c>
      <c r="DX10" s="0" t="n">
        <f aca="false">DX9+DW10*DX1</f>
        <v>5</v>
      </c>
      <c r="DY10" s="0" t="n">
        <f aca="false">$DY$6*EXP(-$DX$2*DX10)</f>
        <v>150</v>
      </c>
    </row>
    <row r="11" customFormat="false" ht="18" hidden="false" customHeight="false" outlineLevel="0" collapsed="false">
      <c r="B11" s="0" t="n">
        <v>1800</v>
      </c>
      <c r="C11" s="0" t="n">
        <v>282.6</v>
      </c>
      <c r="E11" s="0" t="n">
        <v>2050</v>
      </c>
      <c r="F11" s="0" t="n">
        <v>442.7</v>
      </c>
      <c r="G11" s="0" t="n">
        <v>486.5</v>
      </c>
      <c r="H11" s="0" t="n">
        <v>477.7</v>
      </c>
      <c r="I11" s="0" t="n">
        <v>540.5</v>
      </c>
      <c r="L11" s="0" t="n">
        <f aca="false">-0.00000001516648304*E11^5 + 0.0001586265578*E11^4 - 0.663190082*E11^3 + 1385.434635*E11^2 - 1446186.605*E11 + 603458228.5</f>
        <v>444.261121273041</v>
      </c>
      <c r="M11" s="0" t="n">
        <f aca="false">255.1911 + 282.7456/(1+EXP(-(E11-2058.0442)/11.39))^0.1781</f>
        <v>487.32757198667</v>
      </c>
      <c r="O11" s="0" t="n">
        <f aca="false">282.8391 + 902.2988/(1+EXP(-(E11-2104.6814)/17.3348))^0.391</f>
        <v>541.425218925446</v>
      </c>
      <c r="T11" s="181" t="n">
        <v>-30.72</v>
      </c>
      <c r="U11" s="0" t="n">
        <v>0.101243267322723</v>
      </c>
      <c r="V11" s="0" t="n">
        <v>9.8772</v>
      </c>
      <c r="W11" s="0" t="n">
        <f aca="false">0.000122783*T11^2 + 0.0191158*T11+ 0.564601</f>
        <v>0.0932362003071998</v>
      </c>
      <c r="X11" s="0" t="n">
        <f aca="false">U11-W11</f>
        <v>0.00800706701552328</v>
      </c>
      <c r="Y11" s="634"/>
      <c r="Z11" s="634"/>
      <c r="AA11" s="634"/>
      <c r="AB11" s="634"/>
      <c r="AC11" s="634"/>
      <c r="AD11" s="634"/>
      <c r="AE11" s="634"/>
      <c r="AF11" s="634"/>
      <c r="AG11" s="634"/>
      <c r="AI11" s="0" t="n">
        <f aca="false">AI10+0.2</f>
        <v>274.76</v>
      </c>
      <c r="AJ11" s="0" t="n">
        <f aca="false">AI11-273.16</f>
        <v>1.59999999999991</v>
      </c>
      <c r="AK11" s="0" t="n">
        <f aca="false">AI11*$AR$1*EXP(-$AR$6/8.31/AI11)/(1+EXP($AR$2/8.31*(1-$AR$5/$AR$2/AI11)))</f>
        <v>0.0340813103478131</v>
      </c>
      <c r="AL11" s="0" t="n">
        <v>0.08198270908904</v>
      </c>
      <c r="AM11" s="142" t="n">
        <f aca="false">AI11*EXP(-$AR$6/8.31/AI11)/(1+EXP($AR$2/8.31*(1-$AR$5/$AR$2/AI11)))</f>
        <v>6.24762527869285E-015</v>
      </c>
      <c r="AN11" s="0" t="n">
        <f aca="false">IF(AK11=$AL$1,1*AJ11,0)</f>
        <v>0</v>
      </c>
      <c r="AU11" s="0" t="n">
        <v>2418385833709.99</v>
      </c>
      <c r="AV11" s="0" t="n">
        <v>1065</v>
      </c>
      <c r="AW11" s="0" t="n">
        <v>37.1999999999979</v>
      </c>
      <c r="AX11" s="0" t="n">
        <f aca="false">LOG(AU11)</f>
        <v>12.3835255901904</v>
      </c>
      <c r="AY11" s="0" t="n">
        <f aca="false">0.01190448*AW11*AW11-4.343334*AW11+1209.74</f>
        <v>1064.64187080321</v>
      </c>
      <c r="AZ11" s="0" t="n">
        <f aca="false">10^(0.000167997*AW11*AW11-0.06134963*AW11+14.42771)</f>
        <v>2387727341447.19</v>
      </c>
      <c r="BE11" s="628" t="n">
        <f aca="false">BE10+1</f>
        <v>19</v>
      </c>
      <c r="BF11" s="0" t="n">
        <f aca="false">IF(BE11&lt;$BD$3,$BD$1*$BD$4^((BE11-20)/10),$BD$2*$BD$5^((BE11-$BD$3)/10))</f>
        <v>9.651936199049</v>
      </c>
      <c r="BG11" s="0" t="n">
        <f aca="false">LOG10(BF11)*10</f>
        <v>9.84614442485346</v>
      </c>
      <c r="BN11" s="641" t="n">
        <v>20</v>
      </c>
      <c r="BO11" s="283" t="n">
        <f aca="false">BR6</f>
        <v>9.71383736101246</v>
      </c>
      <c r="BP11" s="0" t="n">
        <f aca="false">LOG10(BO11)*10</f>
        <v>9.87390827796052</v>
      </c>
      <c r="CH11" s="0" t="n">
        <f aca="false">-CI11/100</f>
        <v>-0.333333</v>
      </c>
      <c r="CI11" s="0" t="n">
        <v>33.3333</v>
      </c>
      <c r="CJ11" s="0" t="n">
        <f aca="false">1-$CJ$3^CI11</f>
        <v>0.637708412424616</v>
      </c>
      <c r="CK11" s="0" t="n">
        <f aca="false">1-$CK$3^CI11</f>
        <v>0.819093466357896</v>
      </c>
      <c r="CL11" s="0" t="n">
        <f aca="false">1-$CL$3^CI11</f>
        <v>0.970163227705666</v>
      </c>
      <c r="CM11" s="0" t="n">
        <f aca="false">CJ11</f>
        <v>0.637708412424616</v>
      </c>
      <c r="CN11" s="0" t="n">
        <f aca="false">CK11</f>
        <v>0.819093466357896</v>
      </c>
      <c r="CO11" s="0" t="n">
        <f aca="false">CL11</f>
        <v>0.970163227705666</v>
      </c>
      <c r="CW11" s="0" t="n">
        <f aca="false">CW10-0.001</f>
        <v>0.992</v>
      </c>
      <c r="CX11" s="120" t="n">
        <f aca="false">1-CW11^33.3333333333</f>
        <v>0.234892595196971</v>
      </c>
      <c r="CY11" s="120" t="n">
        <f aca="false">(1-CW11^66.66666666)-CX11</f>
        <v>0.17971806388757</v>
      </c>
      <c r="CZ11" s="120" t="n">
        <f aca="false">1-CX11-CY11</f>
        <v>0.585389340915458</v>
      </c>
    </row>
    <row r="12" customFormat="false" ht="18" hidden="false" customHeight="false" outlineLevel="0" collapsed="false">
      <c r="B12" s="0" t="n">
        <v>1805</v>
      </c>
      <c r="C12" s="0" t="n">
        <v>283.6</v>
      </c>
      <c r="E12" s="0" t="n">
        <v>2060</v>
      </c>
      <c r="F12" s="0" t="n">
        <v>441.7</v>
      </c>
      <c r="G12" s="0" t="n">
        <v>508.9</v>
      </c>
      <c r="H12" s="0" t="n">
        <v>510.6</v>
      </c>
      <c r="I12" s="0" t="n">
        <v>603.5</v>
      </c>
      <c r="L12" s="0" t="n">
        <f aca="false">-0.00000001516648304*E12^5 + 0.0001586265578*E12^4 - 0.663190082*E12^3 + 1385.434635*E12^2 - 1446186.605*E12 + 603458228.5</f>
        <v>443.508430957794</v>
      </c>
      <c r="M12" s="0" t="n">
        <f aca="false">255.1911 + 282.7456/(1+EXP(-(E12-2058.0442)/11.39))^0.1781</f>
        <v>508.784802855816</v>
      </c>
      <c r="O12" s="0" t="n">
        <f aca="false">282.8391 + 902.2988/(1+EXP(-(E12-2104.6814)/17.3348))^0.391</f>
        <v>602.894952672514</v>
      </c>
      <c r="T12" s="181" t="n">
        <v>-30.7</v>
      </c>
      <c r="U12" s="0" t="n">
        <v>0.0974025974025974</v>
      </c>
      <c r="V12" s="0" t="n">
        <v>10.2666666666667</v>
      </c>
      <c r="W12" s="0" t="n">
        <f aca="false">0.000122783*T12^2 + 0.0191158*T12+ 0.564601</f>
        <v>0.0934676896699999</v>
      </c>
      <c r="X12" s="0" t="n">
        <f aca="false">U12-W12</f>
        <v>0.00393490773259755</v>
      </c>
      <c r="Y12" s="634"/>
      <c r="Z12" s="634"/>
      <c r="AA12" s="634"/>
      <c r="AB12" s="634"/>
      <c r="AC12" s="634"/>
      <c r="AD12" s="634"/>
      <c r="AE12" s="634"/>
      <c r="AF12" s="634"/>
      <c r="AG12" s="634"/>
      <c r="AI12" s="0" t="n">
        <f aca="false">AI11+0.2</f>
        <v>274.96</v>
      </c>
      <c r="AJ12" s="0" t="n">
        <f aca="false">AI12-273.16</f>
        <v>1.7999999999999</v>
      </c>
      <c r="AK12" s="0" t="n">
        <f aca="false">AI12*$AR$1*EXP(-$AR$6/8.31/AI12)/(1+EXP($AR$2/8.31*(1-$AR$5/$AR$2/AI12)))</f>
        <v>0.0350701972974665</v>
      </c>
      <c r="AL12" s="0" t="n">
        <v>0.0939514058344541</v>
      </c>
      <c r="AM12" s="142" t="n">
        <f aca="false">AI12*EXP(-$AR$6/8.31/AI12)/(1+EXP($AR$2/8.31*(1-$AR$5/$AR$2/AI12)))</f>
        <v>6.428903376318E-015</v>
      </c>
      <c r="AN12" s="0" t="n">
        <f aca="false">IF(AK12=$AL$1,1*AJ12,0)</f>
        <v>0</v>
      </c>
      <c r="AU12" s="0" t="n">
        <v>2845731021919.96</v>
      </c>
      <c r="AV12" s="0" t="n">
        <v>1070</v>
      </c>
      <c r="AW12" s="0" t="n">
        <v>35.599999999998</v>
      </c>
      <c r="AX12" s="0" t="n">
        <f aca="false">LOG(AU12)</f>
        <v>12.4541938482372</v>
      </c>
      <c r="AY12" s="0" t="n">
        <f aca="false">0.01190448*AW12*AW12-4.343334*AW12+1209.74</f>
        <v>1070.20457137281</v>
      </c>
      <c r="AZ12" s="0" t="n">
        <f aca="false">10^(0.000167997*AW12*AW12-0.06134963*AW12+14.42771)</f>
        <v>2861382059928.11</v>
      </c>
      <c r="BE12" s="628" t="n">
        <f aca="false">BE11+1</f>
        <v>20</v>
      </c>
      <c r="BF12" s="0" t="n">
        <f aca="false">IF(BE12&lt;$BD$3,$BD$1*$BD$4^((BE12-20)/10),$BD$2*$BD$5^((BE12-$BD$3)/10))</f>
        <v>9.74692914783117</v>
      </c>
      <c r="BG12" s="0" t="n">
        <f aca="false">LOG10(BF12)*10</f>
        <v>9.88867809111963</v>
      </c>
      <c r="CH12" s="0" t="n">
        <f aca="false">-CI12/100</f>
        <v>-0.383333</v>
      </c>
      <c r="CI12" s="0" t="n">
        <f aca="false">CI11+5</f>
        <v>38.3333</v>
      </c>
      <c r="CJ12" s="0" t="n">
        <f aca="false">1-$CJ$3^CI12</f>
        <v>0.688887886524146</v>
      </c>
      <c r="CK12" s="0" t="n">
        <f aca="false">1-$CK$3^CI12</f>
        <v>0.860017972798537</v>
      </c>
      <c r="CL12" s="0" t="n">
        <f aca="false">1-$CL$3^CI12</f>
        <v>0.982381684327919</v>
      </c>
      <c r="CW12" s="0" t="n">
        <f aca="false">CW11-0.001</f>
        <v>0.991</v>
      </c>
      <c r="CX12" s="120" t="n">
        <f aca="false">1-CW12^33.3333333333</f>
        <v>0.260187242399691</v>
      </c>
      <c r="CY12" s="120" t="n">
        <f aca="false">(1-CW12^66.66666666)-CX12</f>
        <v>0.192489841259477</v>
      </c>
      <c r="CZ12" s="120" t="n">
        <f aca="false">1-CX12-CY12</f>
        <v>0.547322916340832</v>
      </c>
    </row>
    <row r="13" customFormat="false" ht="18" hidden="false" customHeight="false" outlineLevel="0" collapsed="false">
      <c r="B13" s="0" t="n">
        <v>1810</v>
      </c>
      <c r="C13" s="0" t="n">
        <v>284.2</v>
      </c>
      <c r="E13" s="0" t="n">
        <v>2070</v>
      </c>
      <c r="F13" s="0" t="n">
        <v>437.5</v>
      </c>
      <c r="G13" s="0" t="n">
        <v>524.3</v>
      </c>
      <c r="H13" s="0" t="n">
        <v>549.8</v>
      </c>
      <c r="I13" s="0" t="n">
        <v>677.1</v>
      </c>
      <c r="L13" s="0" t="n">
        <f aca="false">-0.00000001516648304*E13^5 + 0.0001586265578*E13^4 - 0.663190082*E13^3 + 1385.434635*E13^2 - 1446186.605*E13 + 603458228.5</f>
        <v>438.774235248566</v>
      </c>
      <c r="M13" s="0" t="n">
        <f aca="false">255.1911 + 282.7456/(1+EXP(-(E13-2058.0442)/11.39))^0.1781</f>
        <v>523.219283929386</v>
      </c>
      <c r="O13" s="0" t="n">
        <f aca="false">282.8391 + 902.2988/(1+EXP(-(E13-2104.6814)/17.3348))^0.391</f>
        <v>675.553423697774</v>
      </c>
      <c r="T13" s="181" t="n">
        <v>-30.34</v>
      </c>
      <c r="U13" s="0" t="n">
        <v>0.106113930990574</v>
      </c>
      <c r="V13" s="0" t="n">
        <v>9.42383333333333</v>
      </c>
      <c r="W13" s="0" t="n">
        <f aca="false">0.000122783*T13^2 + 0.0191158*T13+ 0.564601</f>
        <v>0.0976512949147997</v>
      </c>
      <c r="X13" s="0" t="n">
        <f aca="false">U13-W13</f>
        <v>0.0084626360757738</v>
      </c>
      <c r="Y13" s="634"/>
      <c r="Z13" s="634"/>
      <c r="AA13" s="634"/>
      <c r="AB13" s="634"/>
      <c r="AC13" s="634"/>
      <c r="AD13" s="634"/>
      <c r="AE13" s="634"/>
      <c r="AF13" s="634"/>
      <c r="AG13" s="634"/>
      <c r="AI13" s="0" t="n">
        <f aca="false">AI12+0.2</f>
        <v>275.16</v>
      </c>
      <c r="AJ13" s="0" t="n">
        <f aca="false">AI13-273.16</f>
        <v>1.99999999999989</v>
      </c>
      <c r="AK13" s="0" t="n">
        <f aca="false">AI13*$AR$1*EXP(-$AR$6/8.31/AI13)/(1+EXP($AR$2/8.31*(1-$AR$5/$AR$2/AI13)))</f>
        <v>0.0360862957238957</v>
      </c>
      <c r="AL13" s="0" t="n">
        <v>0.107564649637406</v>
      </c>
      <c r="AM13" s="142" t="n">
        <f aca="false">AI13*EXP(-$AR$6/8.31/AI13)/(1+EXP($AR$2/8.31*(1-$AR$5/$AR$2/AI13)))</f>
        <v>6.61516975369061E-015</v>
      </c>
      <c r="AN13" s="0" t="n">
        <f aca="false">IF(AK13=$AL$1,1*AJ13,0)</f>
        <v>0</v>
      </c>
      <c r="AU13" s="0" t="n">
        <v>3348430731947.44</v>
      </c>
      <c r="AV13" s="0" t="n">
        <v>1075</v>
      </c>
      <c r="AW13" s="0" t="n">
        <v>34.1999999999981</v>
      </c>
      <c r="AX13" s="0" t="n">
        <f aca="false">LOG(AU13)</f>
        <v>12.5248413192363</v>
      </c>
      <c r="AY13" s="0" t="n">
        <f aca="false">0.01190448*AW13*AW13-4.343334*AW13+1209.74</f>
        <v>1075.12193318721</v>
      </c>
      <c r="AZ13" s="0" t="n">
        <f aca="false">10^(0.000167997*AW13*AW13-0.06134963*AW13+14.42771)</f>
        <v>3357752375930.64</v>
      </c>
      <c r="BE13" s="628" t="n">
        <f aca="false">BE12+1</f>
        <v>21</v>
      </c>
      <c r="BF13" s="0" t="n">
        <f aca="false">IF(BE13&lt;$BD$3,$BD$1*$BD$4^((BE13-20)/10),$BD$2*$BD$5^((BE13-$BD$3)/10))</f>
        <v>9.84285700336492</v>
      </c>
      <c r="BG13" s="0" t="n">
        <f aca="false">LOG10(BF13)*10</f>
        <v>9.93121175738581</v>
      </c>
      <c r="CH13" s="0" t="n">
        <f aca="false">-CI13/100</f>
        <v>-0.433333</v>
      </c>
      <c r="CI13" s="0" t="n">
        <f aca="false">CI12+5</f>
        <v>43.3333</v>
      </c>
      <c r="CJ13" s="0" t="n">
        <f aca="false">1-$CJ$3^CI13</f>
        <v>0.732837442350845</v>
      </c>
      <c r="CK13" s="0" t="n">
        <f aca="false">1-$CK$3^CI13</f>
        <v>0.891684575758902</v>
      </c>
      <c r="CL13" s="0" t="n">
        <f aca="false">1-$CL$3^CI13</f>
        <v>0.989596560778793</v>
      </c>
      <c r="CW13" s="0" t="n">
        <f aca="false">CW12-0.001</f>
        <v>0.99</v>
      </c>
      <c r="CX13" s="120" t="n">
        <f aca="false">1-CW13^33.3333333333</f>
        <v>0.284669921895741</v>
      </c>
      <c r="CY13" s="120" t="n">
        <f aca="false">(1-CW13^66.66666666)-CX13</f>
        <v>0.203632957429672</v>
      </c>
      <c r="CZ13" s="120" t="n">
        <f aca="false">1-CX13-CY13</f>
        <v>0.511697120674587</v>
      </c>
    </row>
    <row r="14" customFormat="false" ht="18" hidden="false" customHeight="false" outlineLevel="0" collapsed="false">
      <c r="B14" s="0" t="n">
        <v>1815</v>
      </c>
      <c r="C14" s="0" t="n">
        <v>284</v>
      </c>
      <c r="E14" s="0" t="n">
        <v>2080</v>
      </c>
      <c r="F14" s="0" t="n">
        <v>431.6</v>
      </c>
      <c r="G14" s="0" t="n">
        <v>531.1</v>
      </c>
      <c r="H14" s="0" t="n">
        <v>594.3</v>
      </c>
      <c r="I14" s="0" t="n">
        <v>758.2</v>
      </c>
      <c r="L14" s="0" t="n">
        <f aca="false">-0.00000001516648304*E14^5 + 0.0001586265578*E14^4 - 0.663190082*E14^3 + 1385.434635*E14^2 - 1446186.605*E14 + 603458228.5</f>
        <v>432.029728889465</v>
      </c>
      <c r="M14" s="0" t="n">
        <f aca="false">255.1911 + 282.7456/(1+EXP(-(E14-2058.0442)/11.39))^0.1781</f>
        <v>531.178598183521</v>
      </c>
      <c r="O14" s="0" t="n">
        <f aca="false">282.8391 + 902.2988/(1+EXP(-(E14-2104.6814)/17.3348))^0.391</f>
        <v>758.106711933981</v>
      </c>
      <c r="T14" s="181" t="n">
        <v>-29.75</v>
      </c>
      <c r="U14" s="0" t="n">
        <v>0.105733393248923</v>
      </c>
      <c r="V14" s="0" t="n">
        <v>9.45775</v>
      </c>
      <c r="W14" s="0" t="n">
        <f aca="false">0.000122783*T14^2 + 0.0191158*T14+ 0.564601</f>
        <v>0.1045765789375</v>
      </c>
      <c r="X14" s="0" t="n">
        <f aca="false">U14-W14</f>
        <v>0.00115681431142313</v>
      </c>
      <c r="Y14" s="634"/>
      <c r="Z14" s="634"/>
      <c r="AA14" s="634"/>
      <c r="AB14" s="634"/>
      <c r="AC14" s="634"/>
      <c r="AD14" s="634"/>
      <c r="AE14" s="634"/>
      <c r="AF14" s="634"/>
      <c r="AG14" s="634"/>
      <c r="AI14" s="0" t="n">
        <f aca="false">AI13+0.2</f>
        <v>275.36</v>
      </c>
      <c r="AJ14" s="0" t="n">
        <f aca="false">AI14-273.16</f>
        <v>2.19999999999987</v>
      </c>
      <c r="AK14" s="0" t="n">
        <f aca="false">AI14*$AR$1*EXP(-$AR$6/8.31/AI14)/(1+EXP($AR$2/8.31*(1-$AR$5/$AR$2/AI14)))</f>
        <v>0.0371303126776707</v>
      </c>
      <c r="AL14" s="0" t="n">
        <v>0.123033707132568</v>
      </c>
      <c r="AM14" s="142" t="n">
        <f aca="false">AI14*EXP(-$AR$6/8.31/AI14)/(1+EXP($AR$2/8.31*(1-$AR$5/$AR$2/AI14)))</f>
        <v>6.80655402399075E-015</v>
      </c>
      <c r="AN14" s="0" t="n">
        <f aca="false">IF(AK14=$AL$1,1*AJ14,0)</f>
        <v>0</v>
      </c>
      <c r="AU14" s="0" t="n">
        <v>3939990660390.01</v>
      </c>
      <c r="AV14" s="0" t="n">
        <v>1080</v>
      </c>
      <c r="AW14" s="0" t="n">
        <v>32.7999999999981</v>
      </c>
      <c r="AX14" s="0" t="n">
        <f aca="false">LOG(AU14)</f>
        <v>12.5954951923469</v>
      </c>
      <c r="AY14" s="0" t="n">
        <f aca="false">0.01190448*AW14*AW14-4.343334*AW14+1209.74</f>
        <v>1080.08596056321</v>
      </c>
      <c r="AZ14" s="0" t="n">
        <f aca="false">10^(0.000167997*AW14*AW14-0.06134963*AW14+14.42771)</f>
        <v>3946208507092.19</v>
      </c>
      <c r="BE14" s="628" t="n">
        <f aca="false">BE13+1</f>
        <v>22</v>
      </c>
      <c r="BF14" s="0" t="n">
        <f aca="false">IF(BE14&lt;$BD$3,$BD$1*$BD$4^((BE14-20)/10),$BD$2*$BD$5^((BE14-$BD$3)/10))</f>
        <v>9.9397289668662</v>
      </c>
      <c r="BG14" s="0" t="n">
        <f aca="false">LOG10(BF14)*10</f>
        <v>9.97374542365198</v>
      </c>
      <c r="CH14" s="0" t="n">
        <f aca="false">-CI14/100</f>
        <v>-0.483333</v>
      </c>
      <c r="CI14" s="0" t="n">
        <f aca="false">CI13+5</f>
        <v>48.3333</v>
      </c>
      <c r="CJ14" s="0" t="n">
        <f aca="false">1-$CJ$3^CI14</f>
        <v>0.770578421353633</v>
      </c>
      <c r="CK14" s="0" t="n">
        <f aca="false">1-$CK$3^CI14</f>
        <v>0.916187589485013</v>
      </c>
      <c r="CL14" s="0" t="n">
        <f aca="false">1-$CL$3^CI14</f>
        <v>0.993856873174269</v>
      </c>
      <c r="CW14" s="0" t="n">
        <f aca="false">CW13-0.005</f>
        <v>0.985</v>
      </c>
      <c r="CX14" s="120" t="n">
        <f aca="false">1-CW14^33.3333333333</f>
        <v>0.395762488269794</v>
      </c>
      <c r="CY14" s="120" t="n">
        <f aca="false">(1-CW14^66.66666666)-CX14</f>
        <v>0.239134541111876</v>
      </c>
      <c r="CZ14" s="120" t="n">
        <f aca="false">1-CX14-CY14</f>
        <v>0.36510297061833</v>
      </c>
    </row>
    <row r="15" customFormat="false" ht="18" hidden="false" customHeight="false" outlineLevel="0" collapsed="false">
      <c r="B15" s="0" t="n">
        <v>1820</v>
      </c>
      <c r="C15" s="0" t="n">
        <v>283.3</v>
      </c>
      <c r="E15" s="0" t="n">
        <v>2090</v>
      </c>
      <c r="F15" s="0" t="n">
        <v>426</v>
      </c>
      <c r="G15" s="0" t="n">
        <v>533.7</v>
      </c>
      <c r="H15" s="0" t="n">
        <v>635.6</v>
      </c>
      <c r="I15" s="0" t="n">
        <v>844.8</v>
      </c>
      <c r="L15" s="0" t="n">
        <f aca="false">-0.00000001516648304*E15^5 + 0.0001586265578*E15^4 - 0.663190082*E15^3 + 1385.434635*E15^2 - 1446186.605*E15 + 603458228.5</f>
        <v>425.642934799194</v>
      </c>
      <c r="M15" s="0" t="n">
        <f aca="false">255.1911 + 282.7456/(1+EXP(-(E15-2058.0442)/11.39))^0.1781</f>
        <v>534.995515636945</v>
      </c>
      <c r="O15" s="0" t="n">
        <f aca="false">282.8391 + 902.2988/(1+EXP(-(E15-2104.6814)/17.3348))^0.391</f>
        <v>846.409603668201</v>
      </c>
      <c r="T15" s="181" t="n">
        <v>-29.66</v>
      </c>
      <c r="U15" s="0" t="n">
        <v>0.111088893332445</v>
      </c>
      <c r="V15" s="0" t="n">
        <v>9.0018</v>
      </c>
      <c r="W15" s="0" t="n">
        <f aca="false">0.000122783*T15^2 + 0.0191158*T15+ 0.564601</f>
        <v>0.1056404925148</v>
      </c>
      <c r="X15" s="0" t="n">
        <f aca="false">U15-W15</f>
        <v>0.00544840081764485</v>
      </c>
      <c r="Y15" s="634"/>
      <c r="Z15" s="634"/>
      <c r="AA15" s="634"/>
      <c r="AB15" s="634"/>
      <c r="AC15" s="634"/>
      <c r="AD15" s="634"/>
      <c r="AE15" s="634"/>
      <c r="AF15" s="634"/>
      <c r="AG15" s="634"/>
      <c r="AI15" s="0" t="n">
        <f aca="false">AI14+0.2</f>
        <v>275.56</v>
      </c>
      <c r="AJ15" s="0" t="n">
        <f aca="false">AI15-273.16</f>
        <v>2.39999999999986</v>
      </c>
      <c r="AK15" s="0" t="n">
        <f aca="false">AI15*$AR$1*EXP(-$AR$6/8.31/AI15)/(1+EXP($AR$2/8.31*(1-$AR$5/$AR$2/AI15)))</f>
        <v>0.038202972464477</v>
      </c>
      <c r="AL15" s="0" t="n">
        <v>0.140594723010304</v>
      </c>
      <c r="AM15" s="142" t="n">
        <f aca="false">AI15*EXP(-$AR$6/8.31/AI15)/(1+EXP($AR$2/8.31*(1-$AR$5/$AR$2/AI15)))</f>
        <v>7.00318896352494E-015</v>
      </c>
      <c r="AN15" s="0" t="n">
        <f aca="false">IF(AK15=$AL$1,1*AJ15,0)</f>
        <v>0</v>
      </c>
      <c r="AU15" s="0" t="n">
        <v>4636052665225.39</v>
      </c>
      <c r="AV15" s="0" t="n">
        <v>1085</v>
      </c>
      <c r="AW15" s="0" t="n">
        <v>31.3999999999982</v>
      </c>
      <c r="AX15" s="0" t="n">
        <f aca="false">LOG(AU15)</f>
        <v>12.6661483608737</v>
      </c>
      <c r="AY15" s="0" t="n">
        <f aca="false">0.01190448*AW15*AW15-4.343334*AW15+1209.74</f>
        <v>1085.09665350081</v>
      </c>
      <c r="AZ15" s="0" t="n">
        <f aca="false">10^(0.000167997*AW15*AW15-0.06134963*AW15+14.42771)</f>
        <v>4644831247102.62</v>
      </c>
      <c r="BE15" s="628" t="n">
        <f aca="false">BE14+1</f>
        <v>23</v>
      </c>
      <c r="BF15" s="0" t="n">
        <f aca="false">IF(BE15&lt;$BD$3,$BD$1*$BD$4^((BE15-20)/10),$BD$2*$BD$5^((BE15-$BD$3)/10))</f>
        <v>10.0375543301079</v>
      </c>
      <c r="BG15" s="0" t="n">
        <f aca="false">LOG10(BF15)*10</f>
        <v>10.0162790899182</v>
      </c>
      <c r="CH15" s="0" t="n">
        <f aca="false">-CI15/100</f>
        <v>-0.533333</v>
      </c>
      <c r="CI15" s="0" t="n">
        <f aca="false">CI14+5</f>
        <v>53.3333</v>
      </c>
      <c r="CJ15" s="0" t="n">
        <f aca="false">1-$CJ$3^CI15</f>
        <v>0.802987884186556</v>
      </c>
      <c r="CK15" s="0" t="n">
        <f aca="false">1-$CK$3^CI15</f>
        <v>0.935147554417578</v>
      </c>
      <c r="CL15" s="0" t="n">
        <f aca="false">1-$CL$3^CI15</f>
        <v>0.996372545040674</v>
      </c>
      <c r="CW15" s="0" t="n">
        <f aca="false">CW14-0.005</f>
        <v>0.98</v>
      </c>
      <c r="CX15" s="120" t="n">
        <f aca="false">1-CW15^33.3333333333</f>
        <v>0.490040300640587</v>
      </c>
      <c r="CY15" s="120" t="n">
        <f aca="false">(1-CW15^66.66666666)-CX15</f>
        <v>0.249900804353995</v>
      </c>
      <c r="CZ15" s="120" t="n">
        <f aca="false">1-CX15-CY15</f>
        <v>0.260058895005418</v>
      </c>
    </row>
    <row r="16" customFormat="false" ht="18" hidden="false" customHeight="false" outlineLevel="0" collapsed="false">
      <c r="B16" s="0" t="n">
        <v>1825</v>
      </c>
      <c r="C16" s="0" t="n">
        <v>283.1</v>
      </c>
      <c r="E16" s="0" t="n">
        <v>2100</v>
      </c>
      <c r="F16" s="0" t="n">
        <v>420.9</v>
      </c>
      <c r="G16" s="0" t="n">
        <v>538.4</v>
      </c>
      <c r="H16" s="0" t="n">
        <v>669.7</v>
      </c>
      <c r="I16" s="0" t="n">
        <v>935.9</v>
      </c>
      <c r="L16" s="0" t="n">
        <f aca="false">-0.00000001516648304*E16^5 + 0.0001586265578*E16^4 - 0.663190082*E16^3 + 1385.434635*E16^2 - 1446186.605*E16 + 603458228.5</f>
        <v>422.196710586548</v>
      </c>
      <c r="M16" s="0" t="n">
        <f aca="false">255.1911 + 282.7456/(1+EXP(-(E16-2058.0442)/11.39))^0.1781</f>
        <v>536.689468451481</v>
      </c>
      <c r="O16" s="0" t="n">
        <f aca="false">282.8391 + 902.2988/(1+EXP(-(E16-2104.6814)/17.3348))^0.391</f>
        <v>933.231011316687</v>
      </c>
      <c r="T16" s="181" t="n">
        <v>-29.38</v>
      </c>
      <c r="U16" s="0" t="n">
        <v>0.115247205255273</v>
      </c>
      <c r="V16" s="0" t="n">
        <v>8.677</v>
      </c>
      <c r="W16" s="0" t="n">
        <f aca="false">0.000122783*T16^2 + 0.0191158*T16+ 0.564601</f>
        <v>0.1089631661852</v>
      </c>
      <c r="X16" s="0" t="n">
        <f aca="false">U16-W16</f>
        <v>0.00628403907007274</v>
      </c>
      <c r="Y16" s="634"/>
      <c r="Z16" s="634"/>
      <c r="AA16" s="634"/>
      <c r="AB16" s="634"/>
      <c r="AC16" s="634"/>
      <c r="AD16" s="634"/>
      <c r="AE16" s="634"/>
      <c r="AF16" s="634"/>
      <c r="AG16" s="634"/>
      <c r="AI16" s="0" t="n">
        <f aca="false">AI15+0.2</f>
        <v>275.76</v>
      </c>
      <c r="AJ16" s="0" t="n">
        <f aca="false">AI16-273.16</f>
        <v>2.59999999999985</v>
      </c>
      <c r="AK16" s="0" t="n">
        <f aca="false">AI16*$AR$1*EXP(-$AR$6/8.31/AI16)/(1+EXP($AR$2/8.31*(1-$AR$5/$AR$2/AI16)))</f>
        <v>0.039305017037667</v>
      </c>
      <c r="AL16" s="0" t="n">
        <v>0.160511085308462</v>
      </c>
      <c r="AM16" s="142" t="n">
        <f aca="false">AI16*EXP(-$AR$6/8.31/AI16)/(1+EXP($AR$2/8.31*(1-$AR$5/$AR$2/AI16)))</f>
        <v>7.20521058368692E-015</v>
      </c>
      <c r="AN16" s="0" t="n">
        <f aca="false">IF(AK16=$AL$1,1*AJ16,0)</f>
        <v>0</v>
      </c>
      <c r="AU16" s="0" t="n">
        <v>5360000000000</v>
      </c>
      <c r="AV16" s="0" t="n">
        <v>1090</v>
      </c>
      <c r="AW16" s="0" t="n">
        <v>29.9999999999983</v>
      </c>
      <c r="AX16" s="0" t="n">
        <f aca="false">LOG(AU16)</f>
        <v>12.7291647896928</v>
      </c>
      <c r="AY16" s="0" t="n">
        <f aca="false">0.01190448*AW16*AW16-4.343334*AW16+1209.74</f>
        <v>1090.15401200001</v>
      </c>
      <c r="AZ16" s="0" t="n">
        <f aca="false">10^(0.000167997*AW16*AW16-0.06134963*AW16+14.42771)</f>
        <v>5475432128855.14</v>
      </c>
      <c r="BE16" s="628" t="n">
        <f aca="false">BE15+1</f>
        <v>24</v>
      </c>
      <c r="BF16" s="0" t="n">
        <f aca="false">IF(BE16&lt;$BD$3,$BD$1*$BD$4^((BE16-20)/10),$BD$2*$BD$5^((BE16-$BD$3)/10))</f>
        <v>10.1363424763114</v>
      </c>
      <c r="BG16" s="0" t="n">
        <f aca="false">LOG10(BF16)*10</f>
        <v>10.0588127561843</v>
      </c>
      <c r="CH16" s="0" t="n">
        <f aca="false">-CI16/100</f>
        <v>-0.583333</v>
      </c>
      <c r="CI16" s="0" t="n">
        <f aca="false">CI15+5</f>
        <v>58.3333</v>
      </c>
      <c r="CJ16" s="0" t="n">
        <f aca="false">1-$CJ$3^CI16</f>
        <v>0.830818992675847</v>
      </c>
      <c r="CK16" s="0" t="n">
        <f aca="false">1-$CK$3^CI16</f>
        <v>0.949818413858066</v>
      </c>
      <c r="CL16" s="0" t="n">
        <f aca="false">1-$CL$3^CI16</f>
        <v>0.997858024121068</v>
      </c>
      <c r="CW16" s="0" t="n">
        <f aca="false">CW15-0.005</f>
        <v>0.975</v>
      </c>
      <c r="CX16" s="120" t="n">
        <f aca="false">1-CW16^33.3333333333</f>
        <v>0.569981450481058</v>
      </c>
      <c r="CY16" s="120" t="n">
        <f aca="false">(1-CW16^66.66666666)-CX16</f>
        <v>0.245102596557668</v>
      </c>
      <c r="CZ16" s="120" t="n">
        <f aca="false">1-CX16-CY16</f>
        <v>0.184915952961274</v>
      </c>
    </row>
    <row r="17" customFormat="false" ht="18" hidden="false" customHeight="false" outlineLevel="0" collapsed="false">
      <c r="B17" s="0" t="n">
        <v>1830</v>
      </c>
      <c r="C17" s="0" t="n">
        <v>283.8</v>
      </c>
      <c r="T17" s="181" t="n">
        <v>-28.76</v>
      </c>
      <c r="U17" s="0" t="n">
        <v>0.118091639111951</v>
      </c>
      <c r="V17" s="0" t="n">
        <v>8.468</v>
      </c>
      <c r="W17" s="0" t="n">
        <f aca="false">0.000122783*T17^2 + 0.0191158*T17+ 0.564601</f>
        <v>0.1163890279408</v>
      </c>
      <c r="X17" s="0" t="n">
        <f aca="false">U17-W17</f>
        <v>0.00170261117115102</v>
      </c>
      <c r="Y17" s="634"/>
      <c r="Z17" s="634"/>
      <c r="AA17" s="634"/>
      <c r="AB17" s="634"/>
      <c r="AC17" s="634"/>
      <c r="AD17" s="634"/>
      <c r="AE17" s="634"/>
      <c r="AF17" s="634"/>
      <c r="AG17" s="634"/>
      <c r="AI17" s="0" t="n">
        <f aca="false">AI16+0.2</f>
        <v>275.96</v>
      </c>
      <c r="AJ17" s="0" t="n">
        <f aca="false">AI17-273.16</f>
        <v>2.79999999999984</v>
      </c>
      <c r="AK17" s="0" t="n">
        <f aca="false">AI17*$AR$1*EXP(-$AR$6/8.31/AI17)/(1+EXP($AR$2/8.31*(1-$AR$5/$AR$2/AI17)))</f>
        <v>0.0404372063990073</v>
      </c>
      <c r="AL17" s="0" t="n">
        <v>0.183075707275909</v>
      </c>
      <c r="AM17" s="142" t="n">
        <f aca="false">AI17*EXP(-$AR$6/8.31/AI17)/(1+EXP($AR$2/8.31*(1-$AR$5/$AR$2/AI17)))</f>
        <v>7.41275820442065E-015</v>
      </c>
      <c r="AN17" s="0" t="n">
        <f aca="false">IF(AK17=$AL$1,1*AJ17,0)</f>
        <v>0</v>
      </c>
      <c r="AU17" s="0" t="n">
        <v>6418927469489.8</v>
      </c>
      <c r="AV17" s="0" t="n">
        <v>1095</v>
      </c>
      <c r="AW17" s="0" t="n">
        <v>28.5999999999984</v>
      </c>
      <c r="AX17" s="0" t="n">
        <f aca="false">LOG(AU17)</f>
        <v>12.8074624684124</v>
      </c>
      <c r="AY17" s="0" t="n">
        <f aca="false">0.01190448*AW17*AW17-4.343334*AW17+1209.74</f>
        <v>1095.25803606081</v>
      </c>
      <c r="AZ17" s="0" t="n">
        <f aca="false">10^(0.000167997*AW17*AW17-0.06134963*AW17+14.42771)</f>
        <v>6464358122057.92</v>
      </c>
      <c r="BE17" s="628" t="n">
        <f aca="false">BE16+1</f>
        <v>25</v>
      </c>
      <c r="BF17" s="0" t="n">
        <f aca="false">IF(BE17&lt;$BD$3,$BD$1*$BD$4^((BE17-20)/10),$BD$2*$BD$5^((BE17-$BD$3)/10))</f>
        <v>10.2361028810461</v>
      </c>
      <c r="BG17" s="0" t="n">
        <f aca="false">LOG10(BF17)*10</f>
        <v>10.1013464224505</v>
      </c>
      <c r="CH17" s="0" t="n">
        <f aca="false">-CI17/100</f>
        <v>-0.666666</v>
      </c>
      <c r="CI17" s="0" t="n">
        <v>66.6666</v>
      </c>
      <c r="CJ17" s="0" t="n">
        <f aca="false">1-$CJ$3^CI17</f>
        <v>0.868744805572108</v>
      </c>
      <c r="CK17" s="0" t="n">
        <f aca="false">1-$CK$3^CI17</f>
        <v>0.967272826085598</v>
      </c>
      <c r="CL17" s="0" t="n">
        <f aca="false">1-$CL$3^CI17</f>
        <v>0.999109767019056</v>
      </c>
      <c r="CM17" s="0" t="n">
        <f aca="false">CJ17-CJ11</f>
        <v>0.231036393147492</v>
      </c>
      <c r="CN17" s="0" t="n">
        <f aca="false">CK17-CK11</f>
        <v>0.148179359727702</v>
      </c>
      <c r="CO17" s="0" t="n">
        <f aca="false">CL17-CL11</f>
        <v>0.02894653931339</v>
      </c>
      <c r="CW17" s="0" t="n">
        <f aca="false">CW16-0.005</f>
        <v>0.97</v>
      </c>
      <c r="CX17" s="120" t="n">
        <f aca="false">1-CW17^33.3333333333</f>
        <v>0.637708780261216</v>
      </c>
      <c r="CY17" s="120" t="n">
        <f aca="false">(1-CW17^66.66666666)-CX17</f>
        <v>0.231036291812582</v>
      </c>
      <c r="CZ17" s="120" t="n">
        <f aca="false">1-CX17-CY17</f>
        <v>0.131254927926202</v>
      </c>
    </row>
    <row r="18" customFormat="false" ht="18" hidden="false" customHeight="false" outlineLevel="0" collapsed="false">
      <c r="B18" s="0" t="n">
        <v>1835</v>
      </c>
      <c r="C18" s="0" t="n">
        <v>283.9</v>
      </c>
      <c r="T18" s="181" t="n">
        <v>-28.71</v>
      </c>
      <c r="U18" s="0" t="n">
        <v>0.133821782840702</v>
      </c>
      <c r="V18" s="0" t="n">
        <v>7.472625</v>
      </c>
      <c r="W18" s="0" t="n">
        <f aca="false">0.000122783*T18^2 + 0.0191158*T18+ 0.564601</f>
        <v>0.1169920009903</v>
      </c>
      <c r="X18" s="0" t="n">
        <f aca="false">U18-W18</f>
        <v>0.0168297818504022</v>
      </c>
      <c r="Y18" s="634"/>
      <c r="Z18" s="634"/>
      <c r="AA18" s="634"/>
      <c r="AB18" s="634"/>
      <c r="AC18" s="634"/>
      <c r="AD18" s="634"/>
      <c r="AE18" s="634"/>
      <c r="AF18" s="634"/>
      <c r="AG18" s="634"/>
      <c r="AI18" s="0" t="n">
        <f aca="false">AI17+0.2</f>
        <v>276.16</v>
      </c>
      <c r="AJ18" s="0" t="n">
        <f aca="false">AI18-273.16</f>
        <v>2.99999999999983</v>
      </c>
      <c r="AK18" s="0" t="n">
        <f aca="false">AI18*$AR$1*EXP(-$AR$6/8.31/AI18)/(1+EXP($AR$2/8.31*(1-$AR$5/$AR$2/AI18)))</f>
        <v>0.041600319007766</v>
      </c>
      <c r="AL18" s="0" t="n">
        <v>0.208612959084417</v>
      </c>
      <c r="AM18" s="142" t="n">
        <f aca="false">AI18*EXP(-$AR$6/8.31/AI18)/(1+EXP($AR$2/8.31*(1-$AR$5/$AR$2/AI18)))</f>
        <v>7.62597452921239E-015</v>
      </c>
      <c r="AN18" s="0" t="n">
        <f aca="false">IF(AK18=$AL$1,1*AJ18,0)</f>
        <v>0</v>
      </c>
      <c r="AU18" s="0" t="n">
        <v>7552786411346.31</v>
      </c>
      <c r="AV18" s="0" t="n">
        <v>1100</v>
      </c>
      <c r="AW18" s="0" t="n">
        <v>27.3999999999984</v>
      </c>
      <c r="AX18" s="0" t="n">
        <f aca="false">LOG(AU18)</f>
        <v>12.8781072032613</v>
      </c>
      <c r="AY18" s="0" t="n">
        <f aca="false">0.01190448*AW18*AW18-4.343334*AW18+1209.74</f>
        <v>1099.67005580481</v>
      </c>
      <c r="AZ18" s="0" t="n">
        <f aca="false">10^(0.000167997*AW18*AW18-0.06134963*AW18+14.42771)</f>
        <v>7462005515651.08</v>
      </c>
      <c r="BE18" s="628" t="n">
        <f aca="false">BE17+1</f>
        <v>26</v>
      </c>
      <c r="BF18" s="0" t="n">
        <f aca="false">IF(BE18&lt;$BD$3,$BD$1*$BD$4^((BE18-20)/10),$BD$2*$BD$5^((BE18-$BD$3)/10))</f>
        <v>10.3368451131388</v>
      </c>
      <c r="BG18" s="0" t="n">
        <f aca="false">LOG10(BF18)*10</f>
        <v>10.1438800887167</v>
      </c>
      <c r="CH18" s="0" t="n">
        <f aca="false">-CI18/100</f>
        <v>-0.716666</v>
      </c>
      <c r="CI18" s="0" t="n">
        <f aca="false">CI17+5</f>
        <v>71.6666</v>
      </c>
      <c r="CJ18" s="0" t="n">
        <f aca="false">1-$CJ$3^CI18</f>
        <v>0.8872866984949</v>
      </c>
      <c r="CK18" s="0" t="n">
        <f aca="false">1-$CK$3^CI18</f>
        <v>0.974676336686789</v>
      </c>
      <c r="CL18" s="0" t="n">
        <f aca="false">1-$CL$3^CI18</f>
        <v>0.999474326327082</v>
      </c>
      <c r="CW18" s="0" t="n">
        <f aca="false">CW17-0.005</f>
        <v>0.965</v>
      </c>
      <c r="CX18" s="120" t="n">
        <f aca="false">1-CW18^33.3333333333</f>
        <v>0.695039368606366</v>
      </c>
      <c r="CY18" s="120" t="n">
        <f aca="false">(1-CW18^66.66666666)-CX18</f>
        <v>0.211959644671762</v>
      </c>
      <c r="CZ18" s="120" t="n">
        <f aca="false">1-CX18-CY18</f>
        <v>0.0930009867218721</v>
      </c>
    </row>
    <row r="19" customFormat="false" ht="18" hidden="false" customHeight="false" outlineLevel="0" collapsed="false">
      <c r="B19" s="0" t="n">
        <v>1840</v>
      </c>
      <c r="C19" s="0" t="n">
        <v>284.1</v>
      </c>
      <c r="T19" s="181" t="n">
        <v>-28.61</v>
      </c>
      <c r="U19" s="0" t="n">
        <v>0.122880314573605</v>
      </c>
      <c r="V19" s="0" t="n">
        <v>8.138</v>
      </c>
      <c r="W19" s="0" t="n">
        <f aca="false">0.000122783*T19^2 + 0.0191158*T19+ 0.564601</f>
        <v>0.1181997888343</v>
      </c>
      <c r="X19" s="0" t="n">
        <f aca="false">U19-W19</f>
        <v>0.00468052573930537</v>
      </c>
      <c r="Y19" s="634"/>
      <c r="Z19" s="634"/>
      <c r="AA19" s="634"/>
      <c r="AB19" s="634"/>
      <c r="AC19" s="634"/>
      <c r="AD19" s="634"/>
      <c r="AE19" s="634"/>
      <c r="AF19" s="634"/>
      <c r="AG19" s="634"/>
      <c r="AI19" s="0" t="n">
        <f aca="false">AI18+0.2</f>
        <v>276.36</v>
      </c>
      <c r="AJ19" s="0" t="n">
        <f aca="false">AI19-273.16</f>
        <v>3.19999999999982</v>
      </c>
      <c r="AK19" s="0" t="n">
        <f aca="false">AI19*$AR$1*EXP(-$AR$6/8.31/AI19)/(1+EXP($AR$2/8.31*(1-$AR$5/$AR$2/AI19)))</f>
        <v>0.0427951521982898</v>
      </c>
      <c r="AL19" s="0" t="n">
        <v>0.237479759021002</v>
      </c>
      <c r="AM19" s="142" t="n">
        <f aca="false">AI19*EXP(-$AR$6/8.31/AI19)/(1+EXP($AR$2/8.31*(1-$AR$5/$AR$2/AI19)))</f>
        <v>7.84500572163885E-015</v>
      </c>
      <c r="AN19" s="0" t="n">
        <f aca="false">IF(AK19=$AL$1,1*AJ19,0)</f>
        <v>0</v>
      </c>
      <c r="AU19" s="0" t="n">
        <v>8885286338405.22</v>
      </c>
      <c r="AV19" s="0" t="n">
        <v>1105</v>
      </c>
      <c r="AW19" s="0" t="n">
        <v>25.9999999999985</v>
      </c>
      <c r="AX19" s="0" t="n">
        <f aca="false">LOG(AU19)</f>
        <v>12.9486714279979</v>
      </c>
      <c r="AY19" s="0" t="n">
        <f aca="false">0.01190448*AW19*AW19-4.343334*AW19+1209.74</f>
        <v>1104.86074448001</v>
      </c>
      <c r="AZ19" s="0" t="n">
        <f aca="false">10^(0.000167997*AW19*AW19-0.06134963*AW19+14.42771)</f>
        <v>8834573576412.61</v>
      </c>
      <c r="BE19" s="628" t="n">
        <f aca="false">BE18+1</f>
        <v>27</v>
      </c>
      <c r="BF19" s="0" t="n">
        <f aca="false">IF(BE19&lt;$BD$3,$BD$1*$BD$4^((BE19-20)/10),$BD$2*$BD$5^((BE19-$BD$3)/10))</f>
        <v>10.4385788355911</v>
      </c>
      <c r="BG19" s="0" t="n">
        <f aca="false">LOG10(BF19)*10</f>
        <v>10.1864137549829</v>
      </c>
      <c r="CH19" s="0" t="n">
        <f aca="false">-CI19/100</f>
        <v>-0.766666</v>
      </c>
      <c r="CI19" s="0" t="n">
        <f aca="false">CI18+5</f>
        <v>76.6666</v>
      </c>
      <c r="CJ19" s="0" t="n">
        <f aca="false">1-$CJ$3^CI19</f>
        <v>0.903209252848587</v>
      </c>
      <c r="CK19" s="0" t="n">
        <f aca="false">1-$CK$3^CI19</f>
        <v>0.980405032060569</v>
      </c>
      <c r="CL19" s="0" t="n">
        <f aca="false">1-$CL$3^CI19</f>
        <v>0.999689594952879</v>
      </c>
      <c r="CW19" s="0" t="n">
        <f aca="false">CW18-0.005</f>
        <v>0.96</v>
      </c>
      <c r="CX19" s="120" t="n">
        <f aca="false">1-CW19^33.3333333333</f>
        <v>0.743527325106007</v>
      </c>
      <c r="CY19" s="120" t="n">
        <f aca="false">(1-CW19^66.66666666)-CX19</f>
        <v>0.190694441908991</v>
      </c>
      <c r="CZ19" s="120" t="n">
        <f aca="false">1-CX19-CY19</f>
        <v>0.0657782329850021</v>
      </c>
    </row>
    <row r="20" customFormat="false" ht="18" hidden="false" customHeight="false" outlineLevel="0" collapsed="false">
      <c r="B20" s="0" t="n">
        <v>1845</v>
      </c>
      <c r="C20" s="0" t="n">
        <v>285.8</v>
      </c>
      <c r="T20" s="181" t="n">
        <v>-28.42</v>
      </c>
      <c r="U20" s="0" t="n">
        <v>0.121859577147267</v>
      </c>
      <c r="V20" s="0" t="n">
        <v>8.20616666666667</v>
      </c>
      <c r="W20" s="0" t="n">
        <f aca="false">0.000122783*T20^2 + 0.0191158*T20+ 0.564601</f>
        <v>0.1205013510812</v>
      </c>
      <c r="X20" s="0" t="n">
        <f aca="false">U20-W20</f>
        <v>0.00135822606606745</v>
      </c>
      <c r="Y20" s="634"/>
      <c r="Z20" s="634"/>
      <c r="AA20" s="634"/>
      <c r="AB20" s="634"/>
      <c r="AC20" s="634"/>
      <c r="AD20" s="634"/>
      <c r="AE20" s="634"/>
      <c r="AF20" s="634"/>
      <c r="AG20" s="634"/>
      <c r="AI20" s="0" t="n">
        <f aca="false">AI19+0.2</f>
        <v>276.56</v>
      </c>
      <c r="AJ20" s="0" t="n">
        <f aca="false">AI20-273.16</f>
        <v>3.39999999999981</v>
      </c>
      <c r="AK20" s="0" t="n">
        <f aca="false">AI20*$AR$1*EXP(-$AR$6/8.31/AI20)/(1+EXP($AR$2/8.31*(1-$AR$5/$AR$2/AI20)))</f>
        <v>0.0440225226062127</v>
      </c>
      <c r="AL20" s="0" t="n">
        <v>0.270064942196463</v>
      </c>
      <c r="AM20" s="142" t="n">
        <f aca="false">AI20*EXP(-$AR$6/8.31/AI20)/(1+EXP($AR$2/8.31*(1-$AR$5/$AR$2/AI20)))</f>
        <v>8.07000148349784E-015</v>
      </c>
      <c r="AN20" s="0" t="n">
        <f aca="false">IF(AK20=$AL$1,1*AJ20,0)</f>
        <v>0</v>
      </c>
      <c r="AU20" s="0" t="n">
        <v>10453773642405.9</v>
      </c>
      <c r="AV20" s="0" t="n">
        <v>1110</v>
      </c>
      <c r="AW20" s="0" t="n">
        <v>24.5999999999986</v>
      </c>
      <c r="AX20" s="0" t="n">
        <f aca="false">LOG(AU20)</f>
        <v>13.0192730920007</v>
      </c>
      <c r="AY20" s="0" t="n">
        <f aca="false">0.01190448*AW20*AW20-4.343334*AW20+1209.74</f>
        <v>1110.09809871681</v>
      </c>
      <c r="AZ20" s="0" t="n">
        <f aca="false">10^(0.000167997*AW20*AW20-0.06134963*AW20+14.42771)</f>
        <v>10475485656125.7</v>
      </c>
      <c r="BE20" s="628" t="n">
        <f aca="false">BE19+1</f>
        <v>28</v>
      </c>
      <c r="BF20" s="0" t="n">
        <f aca="false">IF(BE20&lt;$BD$3,$BD$1*$BD$4^((BE20-20)/10),$BD$2*$BD$5^((BE20-$BD$3)/10))</f>
        <v>10.5413138065067</v>
      </c>
      <c r="BG20" s="0" t="n">
        <f aca="false">LOG10(BF20)*10</f>
        <v>10.228947421249</v>
      </c>
      <c r="CH20" s="0" t="n">
        <f aca="false">-CI20/100</f>
        <v>-0.816666</v>
      </c>
      <c r="CI20" s="0" t="n">
        <f aca="false">CI19+5</f>
        <v>81.6666</v>
      </c>
      <c r="CJ20" s="0" t="n">
        <f aca="false">1-$CJ$3^CI20</f>
        <v>0.916882492048157</v>
      </c>
      <c r="CK20" s="0" t="n">
        <f aca="false">1-$CK$3^CI20</f>
        <v>0.984837787337545</v>
      </c>
      <c r="CL20" s="0" t="n">
        <f aca="false">1-$CL$3^CI20</f>
        <v>0.999816708923725</v>
      </c>
      <c r="CW20" s="0" t="n">
        <f aca="false">CW19-0.005</f>
        <v>0.955</v>
      </c>
      <c r="CX20" s="120" t="n">
        <f aca="false">1-CW20^33.3333333333</f>
        <v>0.784500771619433</v>
      </c>
      <c r="CY20" s="120" t="n">
        <f aca="false">(1-CW20^66.66666666)-CX20</f>
        <v>0.169059310933835</v>
      </c>
      <c r="CZ20" s="120" t="n">
        <f aca="false">1-CX20-CY20</f>
        <v>0.0464399174467326</v>
      </c>
    </row>
    <row r="21" customFormat="false" ht="18" hidden="false" customHeight="false" outlineLevel="0" collapsed="false">
      <c r="B21" s="0" t="n">
        <v>1850</v>
      </c>
      <c r="C21" s="0" t="n">
        <v>286.8</v>
      </c>
      <c r="T21" s="181" t="n">
        <v>-27.76</v>
      </c>
      <c r="U21" s="0" t="n">
        <v>0.124340149434252</v>
      </c>
      <c r="V21" s="0" t="n">
        <v>8.04245454545455</v>
      </c>
      <c r="W21" s="0" t="n">
        <f aca="false">0.000122783*T21^2 + 0.0191158*T21+ 0.564601</f>
        <v>0.1285651327808</v>
      </c>
      <c r="X21" s="0" t="n">
        <f aca="false">U21-W21</f>
        <v>-0.00422498334654751</v>
      </c>
      <c r="Y21" s="634"/>
      <c r="Z21" s="634"/>
      <c r="AA21" s="634"/>
      <c r="AB21" s="634"/>
      <c r="AC21" s="634"/>
      <c r="AD21" s="634"/>
      <c r="AE21" s="634"/>
      <c r="AF21" s="634"/>
      <c r="AG21" s="634"/>
      <c r="AI21" s="0" t="n">
        <f aca="false">AI20+0.2</f>
        <v>276.76</v>
      </c>
      <c r="AJ21" s="0" t="n">
        <f aca="false">AI21-273.16</f>
        <v>3.5999999999998</v>
      </c>
      <c r="AK21" s="0" t="n">
        <f aca="false">AI21*$AR$1*EXP(-$AR$6/8.31/AI21)/(1+EXP($AR$2/8.31*(1-$AR$5/$AR$2/AI21)))</f>
        <v>0.0452832666034544</v>
      </c>
      <c r="AL21" s="0" t="n">
        <v>0.306785346620406</v>
      </c>
      <c r="AM21" s="142" t="n">
        <f aca="false">AI21*EXP(-$AR$6/8.31/AI21)/(1+EXP($AR$2/8.31*(1-$AR$5/$AR$2/AI21)))</f>
        <v>8.30111513455006E-015</v>
      </c>
      <c r="AN21" s="0" t="n">
        <f aca="false">IF(AK21=$AL$1,1*AJ21,0)</f>
        <v>0</v>
      </c>
      <c r="AU21" s="0" t="n">
        <v>12301380009214.2</v>
      </c>
      <c r="AV21" s="0" t="n">
        <v>1115</v>
      </c>
      <c r="AW21" s="0" t="n">
        <v>23.1999999999987</v>
      </c>
      <c r="AX21" s="0" t="n">
        <f aca="false">LOG(AU21)</f>
        <v>13.0899538347539</v>
      </c>
      <c r="AY21" s="0" t="n">
        <f aca="false">0.01190448*AW21*AW21-4.343334*AW21+1209.74</f>
        <v>1115.38211851521</v>
      </c>
      <c r="AZ21" s="0" t="n">
        <f aca="false">10^(0.000167997*AW21*AW21-0.06134963*AW21+14.42771)</f>
        <v>12440026035426.8</v>
      </c>
      <c r="BE21" s="628" t="n">
        <f aca="false">BE20+1</f>
        <v>29</v>
      </c>
      <c r="BF21" s="0" t="n">
        <f aca="false">IF(BE21&lt;$BD$3,$BD$1*$BD$4^((BE21-20)/10),$BD$2*$BD$5^((BE21-$BD$3)/10))</f>
        <v>10.6450598800268</v>
      </c>
      <c r="BG21" s="0" t="n">
        <f aca="false">LOG10(BF21)*10</f>
        <v>10.2714810875152</v>
      </c>
      <c r="CH21" s="0" t="n">
        <f aca="false">-CI21/100</f>
        <v>-0.866666</v>
      </c>
      <c r="CI21" s="0" t="n">
        <f aca="false">CI20+5</f>
        <v>86.6666</v>
      </c>
      <c r="CJ21" s="0" t="n">
        <f aca="false">1-$CJ$3^CI21</f>
        <v>0.928624167790362</v>
      </c>
      <c r="CK21" s="0" t="n">
        <f aca="false">1-$CK$3^CI21</f>
        <v>0.988267768871471</v>
      </c>
      <c r="CL21" s="0" t="n">
        <f aca="false">1-$CL$3^CI21</f>
        <v>0.999891768452371</v>
      </c>
      <c r="CW21" s="0" t="n">
        <f aca="false">CW20-0.005</f>
        <v>0.95</v>
      </c>
      <c r="CX21" s="120" t="n">
        <f aca="false">1-CW21^33.3333333333</f>
        <v>0.819093775667058</v>
      </c>
      <c r="CY21" s="120" t="n">
        <f aca="false">(1-CW21^66.66666666)-CX21</f>
        <v>0.148179162319462</v>
      </c>
      <c r="CZ21" s="120" t="n">
        <f aca="false">1-CX21-CY21</f>
        <v>0.0327270620134799</v>
      </c>
    </row>
    <row r="22" customFormat="false" ht="18" hidden="false" customHeight="false" outlineLevel="0" collapsed="false">
      <c r="B22" s="0" t="n">
        <v>1855</v>
      </c>
      <c r="C22" s="0" t="n">
        <v>286.4</v>
      </c>
      <c r="T22" s="181" t="n">
        <v>-27.76</v>
      </c>
      <c r="U22" s="0" t="n">
        <v>0.129087779690189</v>
      </c>
      <c r="V22" s="0" t="n">
        <v>7.74666666666667</v>
      </c>
      <c r="W22" s="0" t="n">
        <f aca="false">0.000122783*T22^2 + 0.0191158*T22+ 0.564601</f>
        <v>0.1285651327808</v>
      </c>
      <c r="X22" s="0" t="n">
        <f aca="false">U22-W22</f>
        <v>0.000522646909389496</v>
      </c>
      <c r="Y22" s="634"/>
      <c r="Z22" s="634"/>
      <c r="AA22" s="634"/>
      <c r="AB22" s="634"/>
      <c r="AC22" s="634"/>
      <c r="AD22" s="634"/>
      <c r="AE22" s="634"/>
      <c r="AF22" s="634"/>
      <c r="AG22" s="634"/>
      <c r="AI22" s="0" t="n">
        <f aca="false">AI21+0.2</f>
        <v>276.96</v>
      </c>
      <c r="AJ22" s="0" t="n">
        <f aca="false">AI22-273.16</f>
        <v>3.79999999999978</v>
      </c>
      <c r="AK22" s="0" t="n">
        <f aca="false">AI22*$AR$1*EXP(-$AR$6/8.31/AI22)/(1+EXP($AR$2/8.31*(1-$AR$5/$AR$2/AI22)))</f>
        <v>0.0465782407421487</v>
      </c>
      <c r="AL22" s="0" t="n">
        <v>0.348075898019276</v>
      </c>
      <c r="AM22" s="142" t="n">
        <f aca="false">AI22*EXP(-$AR$6/8.31/AI22)/(1+EXP($AR$2/8.31*(1-$AR$5/$AR$2/AI22)))</f>
        <v>8.53850369389808E-015</v>
      </c>
      <c r="AN22" s="0" t="n">
        <f aca="false">IF(AK22=$AL$1,1*AJ22,0)</f>
        <v>0</v>
      </c>
      <c r="AU22" s="0" t="n">
        <v>14469730310363.7</v>
      </c>
      <c r="AV22" s="0" t="n">
        <v>1120</v>
      </c>
      <c r="AW22" s="0" t="n">
        <v>21.9999999999987</v>
      </c>
      <c r="AX22" s="0" t="n">
        <f aca="false">LOG(AU22)</f>
        <v>13.1604604367298</v>
      </c>
      <c r="AY22" s="0" t="n">
        <f aca="false">0.01190448*AW22*AW22-4.343334*AW22+1209.74</f>
        <v>1119.94842032</v>
      </c>
      <c r="AZ22" s="0" t="n">
        <f aca="false">10^(0.000167997*AW22*AW22-0.06134963*AW22+14.42771)</f>
        <v>14432072038215.4</v>
      </c>
      <c r="BE22" s="628" t="n">
        <f aca="false">BE21+1</f>
        <v>30</v>
      </c>
      <c r="BF22" s="0" t="n">
        <f aca="false">IF(BE22&lt;$BD$3,$BD$1*$BD$4^((BE22-20)/10),$BD$2*$BD$5^((BE22-$BD$3)/10))</f>
        <v>10.749827007276</v>
      </c>
      <c r="BG22" s="0" t="n">
        <f aca="false">LOG10(BF22)*10</f>
        <v>10.3140147537814</v>
      </c>
      <c r="CH22" s="0" t="n">
        <f aca="false">-CI22/100</f>
        <v>-0.916666</v>
      </c>
      <c r="CI22" s="0" t="n">
        <f aca="false">CI21+5</f>
        <v>91.6666</v>
      </c>
      <c r="CJ22" s="0" t="n">
        <f aca="false">1-$CJ$3^CI22</f>
        <v>0.93870714426893</v>
      </c>
      <c r="CK22" s="0" t="n">
        <f aca="false">1-$CK$3^CI22</f>
        <v>0.9909218231984</v>
      </c>
      <c r="CL22" s="0" t="n">
        <f aca="false">1-$CL$3^CI22</f>
        <v>0.99993609035344</v>
      </c>
      <c r="CW22" s="0" t="n">
        <f aca="false">CW21-0.005</f>
        <v>0.945</v>
      </c>
      <c r="CX22" s="120" t="n">
        <f aca="false">1-CW22^33.3333333333</f>
        <v>0.848273903886752</v>
      </c>
      <c r="CY22" s="120" t="n">
        <f aca="false">(1-CW22^66.66666666)-CX22</f>
        <v>0.128705287862886</v>
      </c>
      <c r="CZ22" s="120" t="n">
        <f aca="false">1-CX22-CY22</f>
        <v>0.0230208082503616</v>
      </c>
    </row>
    <row r="23" customFormat="false" ht="18" hidden="false" customHeight="false" outlineLevel="0" collapsed="false">
      <c r="B23" s="0" t="n">
        <v>1860</v>
      </c>
      <c r="C23" s="0" t="n">
        <v>286.1</v>
      </c>
      <c r="T23" s="181" t="n">
        <v>-27.55</v>
      </c>
      <c r="U23" s="0" t="n">
        <v>0.133547008547009</v>
      </c>
      <c r="V23" s="0" t="n">
        <v>7.488</v>
      </c>
      <c r="W23" s="0" t="n">
        <f aca="false">0.000122783*T23^2 + 0.0191158*T23+ 0.564601</f>
        <v>0.1311533139575</v>
      </c>
      <c r="X23" s="0" t="n">
        <f aca="false">U23-W23</f>
        <v>0.00239369458950869</v>
      </c>
      <c r="Y23" s="634"/>
      <c r="Z23" s="634"/>
      <c r="AA23" s="634"/>
      <c r="AB23" s="634"/>
      <c r="AC23" s="634"/>
      <c r="AD23" s="634"/>
      <c r="AE23" s="634"/>
      <c r="AF23" s="634"/>
      <c r="AG23" s="634"/>
      <c r="AI23" s="0" t="n">
        <f aca="false">AI22+0.2</f>
        <v>277.16</v>
      </c>
      <c r="AJ23" s="0" t="n">
        <f aca="false">AI23-273.16</f>
        <v>3.99999999999977</v>
      </c>
      <c r="AK23" s="0" t="n">
        <f aca="false">AI23*$AR$1*EXP(-$AR$6/8.31/AI23)/(1+EXP($AR$2/8.31*(1-$AR$5/$AR$2/AI23)))</f>
        <v>0.0479083222076528</v>
      </c>
      <c r="AL23" s="0" t="n">
        <v>0.394369033195156</v>
      </c>
      <c r="AM23" s="142" t="n">
        <f aca="false">AI23*EXP(-$AR$6/8.31/AI23)/(1+EXP($AR$2/8.31*(1-$AR$5/$AR$2/AI23)))</f>
        <v>8.78232796302974E-015</v>
      </c>
      <c r="AN23" s="0" t="n">
        <f aca="false">IF(AK23=$AL$1,1*AJ23,0)</f>
        <v>0</v>
      </c>
      <c r="AU23" s="0" t="n">
        <v>17025613601525.5</v>
      </c>
      <c r="AV23" s="0" t="n">
        <v>1125</v>
      </c>
      <c r="AW23" s="0" t="n">
        <v>20.5999999999988</v>
      </c>
      <c r="AX23" s="0" t="n">
        <f aca="false">LOG(AU23)</f>
        <v>13.2311027727995</v>
      </c>
      <c r="AY23" s="0" t="n">
        <f aca="false">0.01190448*AW23*AW23-4.343334*AW23+1209.74</f>
        <v>1125.3191047328</v>
      </c>
      <c r="AZ23" s="0" t="n">
        <f aca="false">10^(0.000167997*AW23*AW23-0.06134963*AW23+14.42771)</f>
        <v>17186950609110</v>
      </c>
      <c r="BE23" s="628" t="n">
        <f aca="false">BE22+1</f>
        <v>31</v>
      </c>
      <c r="BF23" s="0" t="n">
        <f aca="false">IF(BE23&lt;$BD$3,$BD$1*$BD$4^((BE23-20)/10),$BD$2*$BD$5^((BE23-$BD$3)/10))</f>
        <v>10.8556252373161</v>
      </c>
      <c r="BG23" s="0" t="n">
        <f aca="false">LOG10(BF23)*10</f>
        <v>10.3565484200476</v>
      </c>
      <c r="CH23" s="0" t="n">
        <f aca="false">-CI23/100</f>
        <v>-0.966666</v>
      </c>
      <c r="CI23" s="0" t="n">
        <f aca="false">CI22+5</f>
        <v>96.6666</v>
      </c>
      <c r="CJ23" s="0" t="n">
        <f aca="false">1-$CJ$3^CI23</f>
        <v>0.947365739251409</v>
      </c>
      <c r="CK23" s="0" t="n">
        <f aca="false">1-$CK$3^CI23</f>
        <v>0.992975479843667</v>
      </c>
      <c r="CL23" s="0" t="n">
        <f aca="false">1-$CL$3^CI23</f>
        <v>0.999962261992803</v>
      </c>
      <c r="CW23" s="0" t="n">
        <f aca="false">CW22-0.005</f>
        <v>0.94</v>
      </c>
      <c r="CX23" s="120" t="n">
        <f aca="false">1-CW23^33.3333333333</f>
        <v>0.872865977956022</v>
      </c>
      <c r="CY23" s="120" t="n">
        <f aca="false">(1-CW23^66.66666666)-CX23</f>
        <v>0.110970962476299</v>
      </c>
      <c r="CZ23" s="120" t="n">
        <f aca="false">1-CX23-CY23</f>
        <v>0.0161630595676793</v>
      </c>
    </row>
    <row r="24" customFormat="false" ht="18" hidden="false" customHeight="false" outlineLevel="0" collapsed="false">
      <c r="B24" s="0" t="n">
        <v>1865</v>
      </c>
      <c r="C24" s="0" t="n">
        <v>286.3</v>
      </c>
      <c r="T24" s="181" t="n">
        <v>-27.36</v>
      </c>
      <c r="U24" s="0" t="n">
        <v>0.135269185679502</v>
      </c>
      <c r="V24" s="0" t="n">
        <v>7.39266666666667</v>
      </c>
      <c r="W24" s="0" t="n">
        <f aca="false">0.000122783*T24^2 + 0.0191158*T24+ 0.564601</f>
        <v>0.1335043331968</v>
      </c>
      <c r="X24" s="0" t="n">
        <f aca="false">U24-W24</f>
        <v>0.00176485248270233</v>
      </c>
      <c r="Y24" s="634"/>
      <c r="Z24" s="634"/>
      <c r="AA24" s="634"/>
      <c r="AB24" s="634"/>
      <c r="AC24" s="634"/>
      <c r="AD24" s="634"/>
      <c r="AE24" s="634"/>
      <c r="AF24" s="634"/>
      <c r="AG24" s="634"/>
      <c r="AI24" s="0" t="n">
        <f aca="false">AI23+0.2</f>
        <v>277.36</v>
      </c>
      <c r="AJ24" s="0" t="n">
        <f aca="false">AI24-273.16</f>
        <v>4.19999999999976</v>
      </c>
      <c r="AK24" s="0" t="n">
        <f aca="false">AI24*$AR$1*EXP(-$AR$6/8.31/AI24)/(1+EXP($AR$2/8.31*(1-$AR$5/$AR$2/AI24)))</f>
        <v>0.0492744092807899</v>
      </c>
      <c r="AL24" s="0" t="n">
        <v>0.404263751566885</v>
      </c>
      <c r="AM24" s="142" t="n">
        <f aca="false">AI24*EXP(-$AR$6/8.31/AI24)/(1+EXP($AR$2/8.31*(1-$AR$5/$AR$2/AI24)))</f>
        <v>9.03275261055431E-015</v>
      </c>
      <c r="AN24" s="0" t="n">
        <f aca="false">IF(AK24=$AL$1,1*AJ24,0)</f>
        <v>0</v>
      </c>
      <c r="AU24" s="0" t="n">
        <v>20026984440525.9</v>
      </c>
      <c r="AV24" s="0" t="n">
        <v>1130</v>
      </c>
      <c r="AW24" s="0" t="n">
        <v>19.3999999999989</v>
      </c>
      <c r="AX24" s="0" t="n">
        <f aca="false">LOG(AU24)</f>
        <v>13.3016155604052</v>
      </c>
      <c r="AY24" s="0" t="n">
        <f aca="false">0.01190448*AW24*AW24-4.343334*AW24+1209.74</f>
        <v>1129.9596904928</v>
      </c>
      <c r="AZ24" s="0" t="n">
        <f aca="false">10^(0.000167997*AW24*AW24-0.06134963*AW24+14.42771)</f>
        <v>19987318309968.6</v>
      </c>
      <c r="BE24" s="628" t="n">
        <f aca="false">BE23+1</f>
        <v>32</v>
      </c>
      <c r="BF24" s="0" t="n">
        <f aca="false">IF(BE24&lt;$BD$3,$BD$1*$BD$4^((BE24-20)/10),$BD$2*$BD$5^((BE24-$BD$3)/10))</f>
        <v>10.9624647181105</v>
      </c>
      <c r="BG24" s="0" t="n">
        <f aca="false">LOG10(BF24)*10</f>
        <v>10.3990820863137</v>
      </c>
      <c r="CH24" s="0" t="n">
        <f aca="false">-CI24/100</f>
        <v>-0.99</v>
      </c>
      <c r="CI24" s="0" t="n">
        <v>99</v>
      </c>
      <c r="CJ24" s="0" t="n">
        <f aca="false">1-$CJ$3^CI24</f>
        <v>0.95097679595319</v>
      </c>
      <c r="CK24" s="0" t="n">
        <f aca="false">1-$CK$3^CI24</f>
        <v>0.993767863978596</v>
      </c>
      <c r="CL24" s="0" t="n">
        <f aca="false">1-$CL$3^CI24</f>
        <v>0.999970487334569</v>
      </c>
      <c r="CM24" s="0" t="n">
        <f aca="false">CJ24-CJ17</f>
        <v>0.0822319903810822</v>
      </c>
      <c r="CN24" s="0" t="n">
        <f aca="false">CK24-CK17</f>
        <v>0.0264950378929976</v>
      </c>
      <c r="CO24" s="0" t="n">
        <f aca="false">CL24-CL17</f>
        <v>0.000860720315513319</v>
      </c>
      <c r="CW24" s="0" t="n">
        <f aca="false">CW23-0.005</f>
        <v>0.935</v>
      </c>
      <c r="CX24" s="120" t="n">
        <f aca="false">1-CW24^33.3333333333</f>
        <v>0.893572540402366</v>
      </c>
      <c r="CY24" s="120" t="n">
        <f aca="false">(1-CW24^66.66666666)-CX24</f>
        <v>0.0951006554362038</v>
      </c>
      <c r="CZ24" s="120" t="n">
        <f aca="false">1-CX24-CY24</f>
        <v>0.0113268041614304</v>
      </c>
    </row>
    <row r="25" customFormat="false" ht="18" hidden="false" customHeight="false" outlineLevel="0" collapsed="false">
      <c r="B25" s="0" t="n">
        <v>1870</v>
      </c>
      <c r="C25" s="0" t="n">
        <v>288</v>
      </c>
      <c r="T25" s="181" t="n">
        <v>-26.76</v>
      </c>
      <c r="U25" s="0" t="n">
        <v>0.13967943569508</v>
      </c>
      <c r="V25" s="0" t="n">
        <v>7.15925</v>
      </c>
      <c r="W25" s="0" t="n">
        <f aca="false">0.000122783*T25^2 + 0.0191158*T25+ 0.564601</f>
        <v>0.1409868036208</v>
      </c>
      <c r="X25" s="0" t="n">
        <f aca="false">U25-W25</f>
        <v>-0.00130736792572006</v>
      </c>
      <c r="Y25" s="634"/>
      <c r="Z25" s="634"/>
      <c r="AA25" s="634"/>
      <c r="AB25" s="634"/>
      <c r="AC25" s="634"/>
      <c r="AD25" s="634"/>
      <c r="AE25" s="634"/>
      <c r="AF25" s="634"/>
      <c r="AG25" s="634"/>
      <c r="AI25" s="0" t="n">
        <f aca="false">AI24+0.2</f>
        <v>277.56</v>
      </c>
      <c r="AJ25" s="0" t="n">
        <f aca="false">AI25-273.16</f>
        <v>4.39999999999975</v>
      </c>
      <c r="AK25" s="0" t="n">
        <f aca="false">AI25*$AR$1*EXP(-$AR$6/8.31/AI25)/(1+EXP($AR$2/8.31*(1-$AR$5/$AR$2/AI25)))</f>
        <v>0.0506774218094658</v>
      </c>
      <c r="AL25" s="0" t="n">
        <v>0.414377315730302</v>
      </c>
      <c r="AM25" s="142" t="n">
        <f aca="false">AI25*EXP(-$AR$6/8.31/AI25)/(1+EXP($AR$2/8.31*(1-$AR$5/$AR$2/AI25)))</f>
        <v>9.28994625865713E-015</v>
      </c>
      <c r="AN25" s="0" t="n">
        <f aca="false">IF(AK25=$AL$1,1*AJ25,0)</f>
        <v>0</v>
      </c>
      <c r="AU25" s="0" t="n">
        <v>23564377914487.9</v>
      </c>
      <c r="AV25" s="0" t="n">
        <v>1135</v>
      </c>
      <c r="AW25" s="0" t="n">
        <v>18.199999999999</v>
      </c>
      <c r="AX25" s="0" t="n">
        <f aca="false">LOG(AU25)</f>
        <v>13.3722559791319</v>
      </c>
      <c r="AY25" s="0" t="n">
        <f aca="false">0.01190448*AW25*AW25-4.343334*AW25+1209.74</f>
        <v>1134.6345611552</v>
      </c>
      <c r="AZ25" s="0" t="n">
        <f aca="false">10^(0.000167997*AW25*AW25-0.06134963*AW25+14.42771)</f>
        <v>23269875530952</v>
      </c>
      <c r="BE25" s="628" t="n">
        <f aca="false">BE24+1</f>
        <v>33</v>
      </c>
      <c r="BF25" s="0" t="n">
        <f aca="false">IF(BE25&lt;$BD$3,$BD$1*$BD$4^((BE25-20)/10),$BD$2*$BD$5^((BE25-$BD$3)/10))</f>
        <v>11.0703556974972</v>
      </c>
      <c r="BG25" s="0" t="n">
        <f aca="false">LOG10(BF25)*10</f>
        <v>10.4416157525799</v>
      </c>
      <c r="CW25" s="0" t="n">
        <f aca="false">CW24-0.005</f>
        <v>0.93</v>
      </c>
      <c r="CX25" s="120" t="n">
        <f aca="false">1-CW25^33.3333333333</f>
        <v>0.910991472078003</v>
      </c>
      <c r="CY25" s="120" t="n">
        <f aca="false">(1-CW25^66.66666666)-CX25</f>
        <v>0.0810860098753614</v>
      </c>
      <c r="CZ25" s="120" t="n">
        <f aca="false">1-CX25-CY25</f>
        <v>0.00792251804663557</v>
      </c>
    </row>
    <row r="26" customFormat="false" ht="18" hidden="false" customHeight="false" outlineLevel="0" collapsed="false">
      <c r="B26" s="0" t="n">
        <v>1875</v>
      </c>
      <c r="C26" s="0" t="n">
        <v>289.4</v>
      </c>
      <c r="T26" s="181" t="n">
        <v>-26.5</v>
      </c>
      <c r="U26" s="0" t="n">
        <v>0.145007395377164</v>
      </c>
      <c r="V26" s="0" t="n">
        <v>6.8962</v>
      </c>
      <c r="W26" s="0" t="n">
        <f aca="false">0.000122783*T26^2 + 0.0191158*T26+ 0.564601</f>
        <v>0.14425666175</v>
      </c>
      <c r="X26" s="0" t="n">
        <f aca="false">U26-W26</f>
        <v>0.000750733627164546</v>
      </c>
      <c r="Y26" s="634"/>
      <c r="Z26" s="634"/>
      <c r="AA26" s="634"/>
      <c r="AB26" s="634"/>
      <c r="AC26" s="634"/>
      <c r="AD26" s="634"/>
      <c r="AE26" s="634"/>
      <c r="AF26" s="634"/>
      <c r="AG26" s="634"/>
      <c r="AI26" s="0" t="n">
        <f aca="false">AI25+0.2</f>
        <v>277.76</v>
      </c>
      <c r="AJ26" s="0" t="n">
        <f aca="false">AI26-273.16</f>
        <v>4.59999999999974</v>
      </c>
      <c r="AK26" s="0" t="n">
        <f aca="false">AI26*$AR$1*EXP(-$AR$6/8.31/AI26)/(1+EXP($AR$2/8.31*(1-$AR$5/$AR$2/AI26)))</f>
        <v>0.0521183016898095</v>
      </c>
      <c r="AL26" s="0" t="n">
        <v>0.424712299651247</v>
      </c>
      <c r="AM26" s="142" t="n">
        <f aca="false">AI26*EXP(-$AR$6/8.31/AI26)/(1+EXP($AR$2/8.31*(1-$AR$5/$AR$2/AI26)))</f>
        <v>9.55408157129991E-015</v>
      </c>
      <c r="AN26" s="0" t="n">
        <f aca="false">IF(AK26=$AL$1,1*AJ26,0)</f>
        <v>0</v>
      </c>
      <c r="AU26" s="0" t="n">
        <v>27717586166979</v>
      </c>
      <c r="AV26" s="0" t="n">
        <v>1140</v>
      </c>
      <c r="AW26" s="0" t="n">
        <v>16.799999999999</v>
      </c>
      <c r="AX26" s="0" t="n">
        <f aca="false">LOG(AU26)</f>
        <v>13.4427554063147</v>
      </c>
      <c r="AY26" s="0" t="n">
        <f aca="false">0.01190448*AW26*AW26-4.343334*AW26+1209.74</f>
        <v>1140.1319092352</v>
      </c>
      <c r="AZ26" s="0" t="n">
        <f aca="false">10^(0.000167997*AW26*AW26-0.06134963*AW26+14.42771)</f>
        <v>27826058208341.8</v>
      </c>
      <c r="BE26" s="628" t="n">
        <f aca="false">BE25+1</f>
        <v>34</v>
      </c>
      <c r="BF26" s="0" t="n">
        <f aca="false">IF(BE26&lt;$BD$3,$BD$1*$BD$4^((BE26-20)/10),$BD$2*$BD$5^((BE26-$BD$3)/10))</f>
        <v>11.1793085241722</v>
      </c>
      <c r="BG26" s="0" t="n">
        <f aca="false">LOG10(BF26)*10</f>
        <v>10.4841494188461</v>
      </c>
      <c r="CW26" s="0" t="n">
        <f aca="false">CW25-0.005</f>
        <v>0.925</v>
      </c>
      <c r="CX26" s="120" t="n">
        <f aca="false">1-CW26^33.3333333333</f>
        <v>0.925631145640267</v>
      </c>
      <c r="CY26" s="120" t="n">
        <f aca="false">(1-CW26^66.66666666)-CX26</f>
        <v>0.0688381278581081</v>
      </c>
      <c r="CZ26" s="120" t="n">
        <f aca="false">1-CX26-CY26</f>
        <v>0.00553072650162501</v>
      </c>
    </row>
    <row r="27" customFormat="false" ht="18" hidden="false" customHeight="false" outlineLevel="0" collapsed="false">
      <c r="B27" s="0" t="n">
        <v>1880</v>
      </c>
      <c r="C27" s="0" t="n">
        <v>289.8</v>
      </c>
      <c r="T27" s="181" t="n">
        <v>-26.4</v>
      </c>
      <c r="U27" s="0" t="n">
        <v>0.147423045170421</v>
      </c>
      <c r="V27" s="0" t="n">
        <v>6.7832</v>
      </c>
      <c r="W27" s="0" t="n">
        <f aca="false">0.000122783*T27^2 + 0.0191158*T27+ 0.564601</f>
        <v>0.14551871968</v>
      </c>
      <c r="X27" s="0" t="n">
        <f aca="false">U27-W27</f>
        <v>0.00190432549042144</v>
      </c>
      <c r="Y27" s="634"/>
      <c r="Z27" s="634"/>
      <c r="AA27" s="634"/>
      <c r="AB27" s="634"/>
      <c r="AC27" s="634"/>
      <c r="AD27" s="634"/>
      <c r="AE27" s="634"/>
      <c r="AF27" s="634"/>
      <c r="AG27" s="634"/>
      <c r="AI27" s="0" t="n">
        <f aca="false">AI26+0.2</f>
        <v>277.96</v>
      </c>
      <c r="AJ27" s="0" t="n">
        <f aca="false">AI27-273.16</f>
        <v>4.79999999999973</v>
      </c>
      <c r="AK27" s="0" t="n">
        <f aca="false">AI27*$AR$1*EXP(-$AR$6/8.31/AI27)/(1+EXP($AR$2/8.31*(1-$AR$5/$AR$2/AI27)))</f>
        <v>0.0535980133569844</v>
      </c>
      <c r="AL27" s="0" t="n">
        <v>0.435271048033287</v>
      </c>
      <c r="AM27" s="142" t="n">
        <f aca="false">AI27*EXP(-$AR$6/8.31/AI27)/(1+EXP($AR$2/8.31*(1-$AR$5/$AR$2/AI27)))</f>
        <v>9.82533534419399E-015</v>
      </c>
      <c r="AN27" s="0" t="n">
        <f aca="false">IF(AK27=$AL$1,1*AJ27,0)</f>
        <v>0</v>
      </c>
      <c r="AU27" s="0" t="n">
        <v>38358913729562</v>
      </c>
      <c r="AV27" s="0" t="n">
        <v>1150</v>
      </c>
      <c r="AW27" s="0" t="n">
        <v>14.3999999999992</v>
      </c>
      <c r="AX27" s="0" t="n">
        <f aca="false">LOG(AU27)</f>
        <v>13.5838663000644</v>
      </c>
      <c r="AY27" s="0" t="n">
        <f aca="false">0.01190448*AW27*AW27-4.343334*AW27+1209.74</f>
        <v>1149.6645033728</v>
      </c>
      <c r="AZ27" s="0" t="n">
        <f aca="false">10^(0.000167997*AW27*AW27-0.06134963*AW27+14.42771)</f>
        <v>37941210774742.4</v>
      </c>
      <c r="BE27" s="628" t="n">
        <f aca="false">BE26+1</f>
        <v>35</v>
      </c>
      <c r="BF27" s="0" t="n">
        <f aca="false">IF(BE27&lt;$BD$3,$BD$1*$BD$4^((BE27-20)/10),$BD$2*$BD$5^((BE27-$BD$3)/10))</f>
        <v>11.2893336486815</v>
      </c>
      <c r="BG27" s="0" t="n">
        <f aca="false">LOG10(BF27)*10</f>
        <v>10.5266830851123</v>
      </c>
      <c r="CW27" s="0" t="n">
        <f aca="false">CW26-0.005</f>
        <v>0.92</v>
      </c>
      <c r="CX27" s="120" t="n">
        <f aca="false">1-CW27^33.3333333333</f>
        <v>0.937923449163656</v>
      </c>
      <c r="CY27" s="120" t="n">
        <f aca="false">(1-CW27^66.66666666)-CX27</f>
        <v>0.0582230526704861</v>
      </c>
      <c r="CZ27" s="120" t="n">
        <f aca="false">1-CX27-CY27</f>
        <v>0.00385349816585789</v>
      </c>
    </row>
    <row r="28" customFormat="false" ht="18" hidden="false" customHeight="false" outlineLevel="0" collapsed="false">
      <c r="B28" s="0" t="n">
        <v>1885</v>
      </c>
      <c r="C28" s="0" t="n">
        <v>290.9</v>
      </c>
      <c r="T28" s="181" t="n">
        <v>-25.76</v>
      </c>
      <c r="U28" s="0" t="n">
        <v>0.152397208083148</v>
      </c>
      <c r="V28" s="0" t="n">
        <v>6.5618</v>
      </c>
      <c r="W28" s="0" t="n">
        <f aca="false">0.000122783*T28^2 + 0.0191158*T28+ 0.564601</f>
        <v>0.1536540404608</v>
      </c>
      <c r="X28" s="0" t="n">
        <f aca="false">U28-W28</f>
        <v>-0.00125683237765192</v>
      </c>
      <c r="Y28" s="634"/>
      <c r="Z28" s="634"/>
      <c r="AA28" s="634"/>
      <c r="AB28" s="634"/>
      <c r="AC28" s="634"/>
      <c r="AD28" s="634"/>
      <c r="AE28" s="634"/>
      <c r="AF28" s="634"/>
      <c r="AG28" s="634"/>
      <c r="AI28" s="0" t="n">
        <f aca="false">AI27+0.2</f>
        <v>278.16</v>
      </c>
      <c r="AJ28" s="0" t="n">
        <f aca="false">AI28-273.16</f>
        <v>4.99999999999972</v>
      </c>
      <c r="AK28" s="0" t="n">
        <f aca="false">AI28*$AR$1*EXP(-$AR$6/8.31/AI28)/(1+EXP($AR$2/8.31*(1-$AR$5/$AR$2/AI28)))</f>
        <v>0.0551175442858041</v>
      </c>
      <c r="AL28" s="0" t="n">
        <v>0.446055639326316</v>
      </c>
      <c r="AM28" s="142" t="n">
        <f aca="false">AI28*EXP(-$AR$6/8.31/AI28)/(1+EXP($AR$2/8.31*(1-$AR$5/$AR$2/AI28)))</f>
        <v>1.01038885965709E-014</v>
      </c>
      <c r="AN28" s="0" t="n">
        <f aca="false">IF(AK28=$AL$1,1*AJ28,0)</f>
        <v>0</v>
      </c>
      <c r="AU28" s="0" t="n">
        <v>53081884507289.5</v>
      </c>
      <c r="AV28" s="0" t="n">
        <v>1160</v>
      </c>
      <c r="AW28" s="0" t="n">
        <v>11.7999999999993</v>
      </c>
      <c r="AX28" s="0" t="n">
        <f aca="false">LOG(AU28)</f>
        <v>13.7249463327415</v>
      </c>
      <c r="AY28" s="0" t="n">
        <f aca="false">0.01190448*AW28*AW28-4.343334*AW28+1209.74</f>
        <v>1160.1462385952</v>
      </c>
      <c r="AZ28" s="0" t="n">
        <f aca="false">10^(0.000167997*AW28*AW28-0.06134963*AW28+14.42771)</f>
        <v>53355140550389.7</v>
      </c>
      <c r="BE28" s="170" t="n">
        <f aca="false">BE27+1</f>
        <v>36</v>
      </c>
      <c r="BF28" s="0" t="n">
        <f aca="false">IF(BE28&lt;$BD$3,$BD$1*$BD$4^((BE28-20)/10),$BD$2*$BD$5^((BE28-$BD$3)/10))</f>
        <v>11.4004416244242</v>
      </c>
      <c r="BG28" s="0" t="n">
        <f aca="false">LOG10(BF28)*10</f>
        <v>10.5692167513784</v>
      </c>
      <c r="CW28" s="0" t="n">
        <f aca="false">CW27-0.005</f>
        <v>0.915</v>
      </c>
      <c r="CX28" s="120" t="n">
        <f aca="false">1-CW28^33.3333333333</f>
        <v>0.948234970137807</v>
      </c>
      <c r="CY28" s="120" t="n">
        <f aca="false">(1-CW28^66.66666666)-CX28</f>
        <v>0.0490854115439882</v>
      </c>
      <c r="CZ28" s="120" t="n">
        <f aca="false">1-CX28-CY28</f>
        <v>0.00267961831820473</v>
      </c>
    </row>
    <row r="29" customFormat="false" ht="18" hidden="false" customHeight="false" outlineLevel="0" collapsed="false">
      <c r="B29" s="0" t="n">
        <v>1890</v>
      </c>
      <c r="C29" s="0" t="n">
        <v>293.1</v>
      </c>
      <c r="T29" s="181" t="n">
        <v>-25.44</v>
      </c>
      <c r="U29" s="0" t="n">
        <v>0.157372921365997</v>
      </c>
      <c r="V29" s="0" t="n">
        <v>6.35433333333333</v>
      </c>
      <c r="W29" s="0" t="n">
        <f aca="false">0.000122783*T29^2 + 0.0191158*T29+ 0.564601</f>
        <v>0.1577594197888</v>
      </c>
      <c r="X29" s="0" t="n">
        <f aca="false">U29-W29</f>
        <v>-0.00038649842280275</v>
      </c>
      <c r="Y29" s="634"/>
      <c r="Z29" s="634"/>
      <c r="AA29" s="634"/>
      <c r="AB29" s="634"/>
      <c r="AC29" s="634"/>
      <c r="AD29" s="634"/>
      <c r="AE29" s="634"/>
      <c r="AF29" s="634"/>
      <c r="AG29" s="634"/>
      <c r="AI29" s="0" t="n">
        <f aca="false">AI28+0.2</f>
        <v>278.36</v>
      </c>
      <c r="AJ29" s="0" t="n">
        <f aca="false">AI29-273.16</f>
        <v>5.1999999999997</v>
      </c>
      <c r="AK29" s="0" t="n">
        <f aca="false">AI29*$AR$1*EXP(-$AR$6/8.31/AI29)/(1+EXP($AR$2/8.31*(1-$AR$5/$AR$2/AI29)))</f>
        <v>0.0566779055013001</v>
      </c>
      <c r="AL29" s="0" t="n">
        <v>0.457067844590791</v>
      </c>
      <c r="AM29" s="142" t="n">
        <f aca="false">AI29*EXP(-$AR$6/8.31/AI29)/(1+EXP($AR$2/8.31*(1-$AR$5/$AR$2/AI29)))</f>
        <v>1.03899266647771E-014</v>
      </c>
      <c r="AN29" s="0" t="n">
        <f aca="false">IF(AK29=$AL$1,1*AJ29,0)</f>
        <v>0</v>
      </c>
      <c r="AU29" s="0" t="n">
        <v>73442261808635</v>
      </c>
      <c r="AV29" s="0" t="n">
        <v>1170</v>
      </c>
      <c r="AW29" s="0" t="n">
        <v>9.39999999999947</v>
      </c>
      <c r="AX29" s="0" t="n">
        <f aca="false">LOG(AU29)</f>
        <v>13.8659460434095</v>
      </c>
      <c r="AY29" s="0" t="n">
        <f aca="false">0.01190448*AW29*AW29-4.343334*AW29+1209.74</f>
        <v>1169.9645402528</v>
      </c>
      <c r="AZ29" s="0" t="n">
        <f aca="false">10^(0.000167997*AW29*AW29-0.06134963*AW29+14.42771)</f>
        <v>73429013383035.6</v>
      </c>
      <c r="BE29" s="170" t="n">
        <f aca="false">BE28+1</f>
        <v>37</v>
      </c>
      <c r="BF29" s="0" t="n">
        <f aca="false">IF(BE29&lt;$BD$3,$BD$1*$BD$4^((BE29-20)/10),$BD$2*$BD$5^((BE29-$BD$3)/10))</f>
        <v>11.5126431086642</v>
      </c>
      <c r="BG29" s="0" t="n">
        <f aca="false">LOG10(BF29)*10</f>
        <v>10.6117504176446</v>
      </c>
      <c r="CW29" s="0" t="n">
        <f aca="false">CW28-0.005</f>
        <v>0.91</v>
      </c>
      <c r="CX29" s="120" t="n">
        <f aca="false">1-CW29^33.3333333333</f>
        <v>0.956876591803825</v>
      </c>
      <c r="CY29" s="120" t="n">
        <f aca="false">(1-CW29^66.66666666)-CX29</f>
        <v>0.0412637798605633</v>
      </c>
      <c r="CZ29" s="120" t="n">
        <f aca="false">1-CX29-CY29</f>
        <v>0.00185962833561149</v>
      </c>
    </row>
    <row r="30" customFormat="false" ht="18" hidden="false" customHeight="false" outlineLevel="0" collapsed="false">
      <c r="B30" s="0" t="n">
        <v>1895</v>
      </c>
      <c r="C30" s="0" t="n">
        <v>295.4</v>
      </c>
      <c r="T30" s="181" t="n">
        <v>-25.44</v>
      </c>
      <c r="U30" s="0" t="n">
        <v>0.157678965625986</v>
      </c>
      <c r="V30" s="0" t="n">
        <v>6.342</v>
      </c>
      <c r="W30" s="0" t="n">
        <f aca="false">0.000122783*T30^2 + 0.0191158*T30+ 0.564601</f>
        <v>0.1577594197888</v>
      </c>
      <c r="X30" s="0" t="n">
        <f aca="false">U30-W30</f>
        <v>-8.04541628142141E-005</v>
      </c>
      <c r="Y30" s="634"/>
      <c r="Z30" s="634"/>
      <c r="AA30" s="634"/>
      <c r="AB30" s="634"/>
      <c r="AC30" s="634"/>
      <c r="AD30" s="634"/>
      <c r="AE30" s="634"/>
      <c r="AF30" s="634"/>
      <c r="AG30" s="634"/>
      <c r="AI30" s="0" t="n">
        <f aca="false">AI29+0.2</f>
        <v>278.56</v>
      </c>
      <c r="AJ30" s="0" t="n">
        <f aca="false">AI30-273.16</f>
        <v>5.39999999999969</v>
      </c>
      <c r="AK30" s="0" t="n">
        <f aca="false">AI30*$AR$1*EXP(-$AR$6/8.31/AI30)/(1+EXP($AR$2/8.31*(1-$AR$5/$AR$2/AI30)))</f>
        <v>0.0582801320993734</v>
      </c>
      <c r="AL30" s="0" t="n">
        <v>0.468309081826966</v>
      </c>
      <c r="AM30" s="142" t="n">
        <f aca="false">AI30*EXP(-$AR$6/8.31/AI30)/(1+EXP($AR$2/8.31*(1-$AR$5/$AR$2/AI30)))</f>
        <v>1.06836392977176E-014</v>
      </c>
      <c r="AN30" s="0" t="n">
        <f aca="false">IF(AK30=$AL$1,1*AJ30,0)</f>
        <v>0</v>
      </c>
      <c r="BE30" s="170" t="n">
        <f aca="false">BE29+1</f>
        <v>38</v>
      </c>
      <c r="BF30" s="0" t="n">
        <f aca="false">IF(BE30&lt;$BD$3,$BD$1*$BD$4^((BE30-20)/10),$BD$2*$BD$5^((BE30-$BD$3)/10))</f>
        <v>11.6259488635527</v>
      </c>
      <c r="BG30" s="0" t="n">
        <f aca="false">LOG10(BF30)*10</f>
        <v>10.6542840839108</v>
      </c>
      <c r="CW30" s="0" t="n">
        <f aca="false">CW29-0.005</f>
        <v>0.905</v>
      </c>
      <c r="CX30" s="120" t="n">
        <f aca="false">1-CW30^33.3333333333</f>
        <v>0.964111720366771</v>
      </c>
      <c r="CY30" s="120" t="n">
        <f aca="false">(1-CW30^66.66666666)-CX30</f>
        <v>0.0346003110173473</v>
      </c>
      <c r="CZ30" s="120" t="n">
        <f aca="false">1-CX30-CY30</f>
        <v>0.00128796861588132</v>
      </c>
    </row>
    <row r="31" customFormat="false" ht="18" hidden="false" customHeight="false" outlineLevel="0" collapsed="false">
      <c r="B31" s="0" t="n">
        <v>1900</v>
      </c>
      <c r="C31" s="0" t="n">
        <v>296.2</v>
      </c>
      <c r="T31" s="181" t="n">
        <v>-24.86</v>
      </c>
      <c r="U31" s="0" t="n">
        <v>0.161884333643612</v>
      </c>
      <c r="V31" s="0" t="n">
        <v>6.17725</v>
      </c>
      <c r="W31" s="0" t="n">
        <f aca="false">0.000122783*T31^2 + 0.0191158*T31+ 0.564601</f>
        <v>0.1652645125468</v>
      </c>
      <c r="X31" s="0" t="n">
        <f aca="false">U31-W31</f>
        <v>-0.0033801789031882</v>
      </c>
      <c r="Y31" s="634"/>
      <c r="Z31" s="634"/>
      <c r="AA31" s="634"/>
      <c r="AB31" s="634"/>
      <c r="AC31" s="634"/>
      <c r="AD31" s="634"/>
      <c r="AE31" s="634"/>
      <c r="AF31" s="634"/>
      <c r="AG31" s="634"/>
      <c r="AI31" s="0" t="n">
        <f aca="false">AI30+0.2</f>
        <v>278.76</v>
      </c>
      <c r="AJ31" s="0" t="n">
        <f aca="false">AI31-273.16</f>
        <v>5.59999999999968</v>
      </c>
      <c r="AK31" s="0" t="n">
        <f aca="false">AI31*$AR$1*EXP(-$AR$6/8.31/AI31)/(1+EXP($AR$2/8.31*(1-$AR$5/$AR$2/AI31)))</f>
        <v>0.0599252837776564</v>
      </c>
      <c r="AL31" s="0" t="n">
        <v>0.479780365353689</v>
      </c>
      <c r="AM31" s="142" t="n">
        <f aca="false">AI31*EXP(-$AR$6/8.31/AI31)/(1+EXP($AR$2/8.31*(1-$AR$5/$AR$2/AI31)))</f>
        <v>1.09852207541707E-014</v>
      </c>
      <c r="AN31" s="0" t="n">
        <f aca="false">IF(AK31=$AL$1,1*AJ31,0)</f>
        <v>0</v>
      </c>
      <c r="BE31" s="170" t="n">
        <f aca="false">BE30+1</f>
        <v>39</v>
      </c>
      <c r="BF31" s="0" t="n">
        <f aca="false">IF(BE31&lt;$BD$3,$BD$1*$BD$4^((BE31-20)/10),$BD$2*$BD$5^((BE31-$BD$3)/10))</f>
        <v>11.7403697571604</v>
      </c>
      <c r="BG31" s="0" t="n">
        <f aca="false">LOG10(BF31)*10</f>
        <v>10.696817750177</v>
      </c>
      <c r="CW31" s="0" t="n">
        <f aca="false">CW30-0.005</f>
        <v>0.9</v>
      </c>
      <c r="CX31" s="120" t="n">
        <f aca="false">1-CW31^33.3333333333</f>
        <v>0.970163332492634</v>
      </c>
      <c r="CY31" s="120" t="n">
        <f aca="false">(1-CW31^66.66666666)-CX31</f>
        <v>0.0289464407788014</v>
      </c>
      <c r="CZ31" s="120" t="n">
        <f aca="false">1-CX31-CY31</f>
        <v>0.000890226728564092</v>
      </c>
    </row>
    <row r="32" customFormat="false" ht="18" hidden="false" customHeight="false" outlineLevel="0" collapsed="false">
      <c r="B32" s="0" t="n">
        <v>1905</v>
      </c>
      <c r="C32" s="0" t="n">
        <v>297.4</v>
      </c>
      <c r="T32" s="181" t="n">
        <v>-24.48</v>
      </c>
      <c r="U32" s="0" t="n">
        <v>0.163961305131989</v>
      </c>
      <c r="V32" s="0" t="n">
        <v>6.099</v>
      </c>
      <c r="W32" s="0" t="n">
        <f aca="false">0.000122783*T32^2 + 0.0191158*T32+ 0.564601</f>
        <v>0.1702264335232</v>
      </c>
      <c r="X32" s="0" t="n">
        <f aca="false">U32-W32</f>
        <v>-0.00626512839121099</v>
      </c>
      <c r="Y32" s="634"/>
      <c r="Z32" s="634"/>
      <c r="AA32" s="634"/>
      <c r="AB32" s="634"/>
      <c r="AC32" s="634"/>
      <c r="AD32" s="634"/>
      <c r="AE32" s="634"/>
      <c r="AF32" s="634"/>
      <c r="AG32" s="634"/>
      <c r="AI32" s="0" t="n">
        <f aca="false">AI31+0.2</f>
        <v>278.96</v>
      </c>
      <c r="AJ32" s="0" t="n">
        <f aca="false">AI32-273.16</f>
        <v>5.79999999999967</v>
      </c>
      <c r="AK32" s="0" t="n">
        <f aca="false">AI32*$AR$1*EXP(-$AR$6/8.31/AI32)/(1+EXP($AR$2/8.31*(1-$AR$5/$AR$2/AI32)))</f>
        <v>0.0616144453767181</v>
      </c>
      <c r="AL32" s="0" t="n">
        <v>0.491482249797553</v>
      </c>
      <c r="AM32" s="142" t="n">
        <f aca="false">AI32*EXP(-$AR$6/8.31/AI32)/(1+EXP($AR$2/8.31*(1-$AR$5/$AR$2/AI32)))</f>
        <v>1.12948699019997E-014</v>
      </c>
      <c r="AN32" s="0" t="n">
        <f aca="false">IF(AK32=$AL$1,1*AJ32,0)</f>
        <v>0</v>
      </c>
      <c r="BE32" s="170" t="n">
        <f aca="false">BE31+1</f>
        <v>40</v>
      </c>
      <c r="BF32" s="0" t="n">
        <f aca="false">IF(BE32&lt;$BD$3,$BD$1*$BD$4^((BE32-20)/10),$BD$2*$BD$5^((BE32-$BD$3)/10))</f>
        <v>11.8982391945444</v>
      </c>
      <c r="BG32" s="0" t="n">
        <f aca="false">LOG10(BF32)*10</f>
        <v>10.7548269545351</v>
      </c>
      <c r="CW32" s="0" t="n">
        <f aca="false">CW31-0.005</f>
        <v>0.895</v>
      </c>
      <c r="CX32" s="120" t="n">
        <f aca="false">1-CW32^33.3333333333</f>
        <v>0.975220007123205</v>
      </c>
      <c r="CY32" s="120" t="n">
        <f aca="false">(1-CW32^66.66666666)-CX32</f>
        <v>0.024165944829371</v>
      </c>
      <c r="CZ32" s="120" t="n">
        <f aca="false">1-CX32-CY32</f>
        <v>0.000614048047423599</v>
      </c>
    </row>
    <row r="33" customFormat="false" ht="18" hidden="false" customHeight="false" outlineLevel="0" collapsed="false">
      <c r="B33" s="0" t="n">
        <v>1910</v>
      </c>
      <c r="C33" s="0" t="n">
        <v>299.3</v>
      </c>
      <c r="T33" s="181" t="n">
        <v>-24.48</v>
      </c>
      <c r="U33" s="0" t="n">
        <v>0.171738682420828</v>
      </c>
      <c r="V33" s="0" t="n">
        <v>5.8228</v>
      </c>
      <c r="W33" s="0" t="n">
        <f aca="false">0.000122783*T33^2 + 0.0191158*T33+ 0.564601</f>
        <v>0.1702264335232</v>
      </c>
      <c r="X33" s="0" t="n">
        <f aca="false">U33-W33</f>
        <v>0.00151224889762863</v>
      </c>
      <c r="Y33" s="634"/>
      <c r="Z33" s="634"/>
      <c r="AA33" s="634"/>
      <c r="AB33" s="634"/>
      <c r="AC33" s="634"/>
      <c r="AD33" s="634"/>
      <c r="AE33" s="634"/>
      <c r="AF33" s="634"/>
      <c r="AG33" s="634"/>
      <c r="AI33" s="0" t="n">
        <f aca="false">AI32+0.2</f>
        <v>279.16</v>
      </c>
      <c r="AJ33" s="0" t="n">
        <f aca="false">AI33-273.16</f>
        <v>5.99999999999966</v>
      </c>
      <c r="AK33" s="0" t="n">
        <f aca="false">AI33*$AR$1*EXP(-$AR$6/8.31/AI33)/(1+EXP($AR$2/8.31*(1-$AR$5/$AR$2/AI33)))</f>
        <v>0.0633487274317218</v>
      </c>
      <c r="AL33" s="0" t="n">
        <v>0.503414768231773</v>
      </c>
      <c r="AM33" s="142" t="n">
        <f aca="false">AI33*EXP(-$AR$6/8.31/AI33)/(1+EXP($AR$2/8.31*(1-$AR$5/$AR$2/AI33)))</f>
        <v>1.16127903192796E-014</v>
      </c>
      <c r="AN33" s="0" t="n">
        <f aca="false">IF(AK33=$AL$1,1*AJ33,0)</f>
        <v>0</v>
      </c>
      <c r="BE33" s="170" t="n">
        <f aca="false">BE32+1</f>
        <v>41</v>
      </c>
      <c r="BF33" s="0" t="n">
        <f aca="false">IF(BE33&lt;$BD$3,$BD$1*$BD$4^((BE33-20)/10),$BD$2*$BD$5^((BE33-$BD$3)/10))</f>
        <v>12.5590662372303</v>
      </c>
      <c r="BG33" s="0" t="n">
        <f aca="false">LOG10(BF33)*10</f>
        <v>10.9895735093833</v>
      </c>
      <c r="CW33" s="0" t="n">
        <f aca="false">CW32-0.005</f>
        <v>0.89</v>
      </c>
      <c r="CX33" s="120" t="n">
        <f aca="false">1-CW33^33.3333333333</f>
        <v>0.979441083554707</v>
      </c>
      <c r="CY33" s="120" t="n">
        <f aca="false">(1-CW33^66.66666666)-CX33</f>
        <v>0.0201362473995632</v>
      </c>
      <c r="CZ33" s="120" t="n">
        <f aca="false">1-CX33-CY33</f>
        <v>0.000422669045729629</v>
      </c>
    </row>
    <row r="34" customFormat="false" ht="18" hidden="false" customHeight="false" outlineLevel="0" collapsed="false">
      <c r="B34" s="0" t="n">
        <v>1915</v>
      </c>
      <c r="C34" s="0" t="n">
        <v>301.1</v>
      </c>
      <c r="T34" s="181" t="n">
        <v>-23.78</v>
      </c>
      <c r="U34" s="0" t="n">
        <v>0.177374153038419</v>
      </c>
      <c r="V34" s="0" t="n">
        <v>5.6378</v>
      </c>
      <c r="W34" s="0" t="n">
        <f aca="false">0.000122783*T34^2 + 0.0191158*T34+ 0.564601</f>
        <v>0.1794596382172</v>
      </c>
      <c r="X34" s="0" t="n">
        <f aca="false">U34-W34</f>
        <v>-0.00208548517878043</v>
      </c>
      <c r="Y34" s="634"/>
      <c r="Z34" s="634"/>
      <c r="AA34" s="634"/>
      <c r="AB34" s="634"/>
      <c r="AC34" s="634"/>
      <c r="AD34" s="634"/>
      <c r="AE34" s="634"/>
      <c r="AF34" s="634"/>
      <c r="AG34" s="634"/>
      <c r="AI34" s="0" t="n">
        <f aca="false">AI33+0.2</f>
        <v>279.36</v>
      </c>
      <c r="AJ34" s="0" t="n">
        <f aca="false">AI34-273.16</f>
        <v>6.19999999999965</v>
      </c>
      <c r="AK34" s="0" t="n">
        <f aca="false">AI34*$AR$1*EXP(-$AR$6/8.31/AI34)/(1+EXP($AR$2/8.31*(1-$AR$5/$AR$2/AI34)))</f>
        <v>0.0651292667346531</v>
      </c>
      <c r="AL34" s="0" t="n">
        <v>0.515577363985659</v>
      </c>
      <c r="AM34" s="142" t="n">
        <f aca="false">AI34*EXP(-$AR$6/8.31/AI34)/(1+EXP($AR$2/8.31*(1-$AR$5/$AR$2/AI34)))</f>
        <v>1.19391903973627E-014</v>
      </c>
      <c r="AN34" s="0" t="n">
        <f aca="false">IF(AK34=$AL$1,1*AJ34,0)</f>
        <v>0</v>
      </c>
      <c r="BE34" s="170" t="n">
        <f aca="false">BE33+1</f>
        <v>42</v>
      </c>
      <c r="BF34" s="0" t="n">
        <f aca="false">IF(BE34&lt;$BD$3,$BD$1*$BD$4^((BE34-20)/10),$BD$2*$BD$5^((BE34-$BD$3)/10))</f>
        <v>13.2565955493197</v>
      </c>
      <c r="BG34" s="0" t="n">
        <f aca="false">LOG10(BF34)*10</f>
        <v>11.2243200642316</v>
      </c>
      <c r="CW34" s="0" t="n">
        <f aca="false">CW33-0.005</f>
        <v>0.885</v>
      </c>
      <c r="CX34" s="120" t="n">
        <f aca="false">1-CW34^33.3333333333</f>
        <v>0.982961068514598</v>
      </c>
      <c r="CY34" s="120" t="n">
        <f aca="false">(1-CW34^66.66666666)-CX34</f>
        <v>0.0167486062990035</v>
      </c>
      <c r="CZ34" s="120" t="n">
        <f aca="false">1-CX34-CY34</f>
        <v>0.000290325186398266</v>
      </c>
    </row>
    <row r="35" customFormat="false" ht="18" hidden="false" customHeight="false" outlineLevel="0" collapsed="false">
      <c r="B35" s="0" t="n">
        <v>1920</v>
      </c>
      <c r="C35" s="0" t="n">
        <v>303.3</v>
      </c>
      <c r="T35" s="181" t="n">
        <v>-23.76</v>
      </c>
      <c r="U35" s="0" t="n">
        <v>0.172681747539285</v>
      </c>
      <c r="V35" s="0" t="n">
        <v>5.791</v>
      </c>
      <c r="W35" s="0" t="n">
        <f aca="false">0.000122783*T35^2 + 0.0191158*T35+ 0.564601</f>
        <v>0.1797252121408</v>
      </c>
      <c r="X35" s="0" t="n">
        <f aca="false">U35-W35</f>
        <v>-0.0070434646015147</v>
      </c>
      <c r="Y35" s="634"/>
      <c r="Z35" s="634"/>
      <c r="AA35" s="634"/>
      <c r="AB35" s="634"/>
      <c r="AC35" s="634"/>
      <c r="AD35" s="634"/>
      <c r="AE35" s="634"/>
      <c r="AF35" s="634"/>
      <c r="AG35" s="634"/>
      <c r="AI35" s="0" t="n">
        <f aca="false">AI34+0.2</f>
        <v>279.56</v>
      </c>
      <c r="AJ35" s="0" t="n">
        <f aca="false">AI35-273.16</f>
        <v>6.39999999999964</v>
      </c>
      <c r="AK35" s="0" t="n">
        <f aca="false">AI35*$AR$1*EXP(-$AR$6/8.31/AI35)/(1+EXP($AR$2/8.31*(1-$AR$5/$AR$2/AI35)))</f>
        <v>0.0669572269072109</v>
      </c>
      <c r="AL35" s="0" t="n">
        <v>0.527968815632006</v>
      </c>
      <c r="AM35" s="142" t="n">
        <f aca="false">AI35*EXP(-$AR$6/8.31/AI35)/(1+EXP($AR$2/8.31*(1-$AR$5/$AR$2/AI35)))</f>
        <v>1.22742834458977E-014</v>
      </c>
      <c r="AN35" s="0" t="n">
        <f aca="false">IF(AK35=$AL$1,1*AJ35,0)</f>
        <v>0</v>
      </c>
      <c r="BE35" s="170" t="n">
        <f aca="false">BE34+1</f>
        <v>43</v>
      </c>
      <c r="BF35" s="0" t="n">
        <f aca="false">IF(BE35&lt;$BD$3,$BD$1*$BD$4^((BE35-20)/10),$BD$2*$BD$5^((BE35-$BD$3)/10))</f>
        <v>13.9928655712703</v>
      </c>
      <c r="BG35" s="0" t="n">
        <f aca="false">LOG10(BF35)*10</f>
        <v>11.4590666190798</v>
      </c>
      <c r="CW35" s="0" t="n">
        <f aca="false">CW34-0.005</f>
        <v>0.88</v>
      </c>
      <c r="CX35" s="120" t="n">
        <f aca="false">1-CW35^33.3333333333</f>
        <v>0.985893398274047</v>
      </c>
      <c r="CY35" s="120" t="n">
        <f aca="false">(1-CW35^66.66666666)-CX35</f>
        <v>0.0139076055135302</v>
      </c>
      <c r="CZ35" s="120" t="n">
        <f aca="false">1-CX35-CY35</f>
        <v>0.000198996212422586</v>
      </c>
    </row>
    <row r="36" customFormat="false" ht="18" hidden="false" customHeight="false" outlineLevel="0" collapsed="false">
      <c r="B36" s="0" t="n">
        <v>1925</v>
      </c>
      <c r="C36" s="0" t="n">
        <v>304.7</v>
      </c>
      <c r="T36" s="181" t="n">
        <v>-23.52</v>
      </c>
      <c r="U36" s="0" t="n">
        <v>0.181033702440938</v>
      </c>
      <c r="V36" s="0" t="n">
        <v>5.52383333333333</v>
      </c>
      <c r="W36" s="0" t="n">
        <f aca="false">0.000122783*T36^2 + 0.0191158*T36+ 0.564601</f>
        <v>0.1829197608832</v>
      </c>
      <c r="X36" s="0" t="n">
        <f aca="false">U36-W36</f>
        <v>-0.00188605844226181</v>
      </c>
      <c r="Y36" s="634"/>
      <c r="Z36" s="634"/>
      <c r="AA36" s="634"/>
      <c r="AB36" s="634"/>
      <c r="AC36" s="634"/>
      <c r="AD36" s="634"/>
      <c r="AE36" s="634"/>
      <c r="AF36" s="634"/>
      <c r="AG36" s="634"/>
      <c r="AI36" s="0" t="n">
        <f aca="false">AI35+0.2</f>
        <v>279.76</v>
      </c>
      <c r="AJ36" s="0" t="n">
        <f aca="false">AI36-273.16</f>
        <v>6.59999999999963</v>
      </c>
      <c r="AK36" s="0" t="n">
        <f aca="false">AI36*$AR$1*EXP(-$AR$6/8.31/AI36)/(1+EXP($AR$2/8.31*(1-$AR$5/$AR$2/AI36)))</f>
        <v>0.0688337989844606</v>
      </c>
      <c r="AL36" s="0" t="n">
        <v>0.540587154652071</v>
      </c>
      <c r="AM36" s="142" t="n">
        <f aca="false">AI36*EXP(-$AR$6/8.31/AI36)/(1+EXP($AR$2/8.31*(1-$AR$5/$AR$2/AI36)))</f>
        <v>1.26182877998226E-014</v>
      </c>
      <c r="AN36" s="0" t="n">
        <f aca="false">IF(AK36=$AL$1,1*AJ36,0)</f>
        <v>0</v>
      </c>
      <c r="BE36" s="170" t="n">
        <f aca="false">BE35+1</f>
        <v>44</v>
      </c>
      <c r="BF36" s="0" t="n">
        <f aca="false">IF(BE36&lt;$BD$3,$BD$1*$BD$4^((BE36-20)/10),$BD$2*$BD$5^((BE36-$BD$3)/10))</f>
        <v>14.7700279583237</v>
      </c>
      <c r="BG36" s="0" t="n">
        <f aca="false">LOG10(BF36)*10</f>
        <v>11.693813173928</v>
      </c>
      <c r="CW36" s="0" t="n">
        <f aca="false">CW35-0.005</f>
        <v>0.875</v>
      </c>
      <c r="CX36" s="120" t="n">
        <f aca="false">1-CW36^33.3333333333</f>
        <v>0.988333647333383</v>
      </c>
      <c r="CY36" s="120" t="n">
        <f aca="false">(1-CW36^66.66666666)-CX36</f>
        <v>0.0115302488819554</v>
      </c>
      <c r="CZ36" s="120" t="n">
        <f aca="false">1-CX36-CY36</f>
        <v>0.00013610378466189</v>
      </c>
    </row>
    <row r="37" customFormat="false" ht="18" hidden="false" customHeight="false" outlineLevel="0" collapsed="false">
      <c r="B37" s="0" t="n">
        <v>1930</v>
      </c>
      <c r="C37" s="0" t="n">
        <v>306.6</v>
      </c>
      <c r="T37" s="181" t="n">
        <v>-23.43</v>
      </c>
      <c r="U37" s="0" t="n">
        <v>0.184243496204584</v>
      </c>
      <c r="V37" s="0" t="n">
        <v>5.4276</v>
      </c>
      <c r="W37" s="0" t="n">
        <f aca="false">0.000122783*T37^2 + 0.0191158*T37+ 0.564601</f>
        <v>0.1841213633167</v>
      </c>
      <c r="X37" s="0" t="n">
        <f aca="false">U37-W37</f>
        <v>0.000122132887884374</v>
      </c>
      <c r="Y37" s="634"/>
      <c r="Z37" s="634"/>
      <c r="AA37" s="634"/>
      <c r="AB37" s="634"/>
      <c r="AC37" s="634"/>
      <c r="AD37" s="634"/>
      <c r="AE37" s="634"/>
      <c r="AF37" s="634"/>
      <c r="AG37" s="634"/>
      <c r="AI37" s="0" t="n">
        <f aca="false">AI36+0.2</f>
        <v>279.96</v>
      </c>
      <c r="AJ37" s="0" t="n">
        <f aca="false">AI37-273.16</f>
        <v>6.79999999999961</v>
      </c>
      <c r="AK37" s="0" t="n">
        <f aca="false">AI37*$AR$1*EXP(-$AR$6/8.31/AI37)/(1+EXP($AR$2/8.31*(1-$AR$5/$AR$2/AI37)))</f>
        <v>0.0707602020093166</v>
      </c>
      <c r="AL37" s="0" t="n">
        <v>0.553429575278928</v>
      </c>
      <c r="AM37" s="142" t="n">
        <f aca="false">AI37*EXP(-$AR$6/8.31/AI37)/(1+EXP($AR$2/8.31*(1-$AR$5/$AR$2/AI37)))</f>
        <v>1.29714269283424E-014</v>
      </c>
      <c r="AN37" s="0" t="n">
        <f aca="false">IF(AK37=$AL$1,1*AJ37,0)</f>
        <v>0</v>
      </c>
      <c r="BE37" s="170" t="n">
        <f aca="false">BE36+1</f>
        <v>45</v>
      </c>
      <c r="BF37" s="0" t="n">
        <f aca="false">IF(BE37&lt;$BD$3,$BD$1*$BD$4^((BE37-20)/10),$BD$2*$BD$5^((BE37-$BD$3)/10))</f>
        <v>15.5903538684434</v>
      </c>
      <c r="BG37" s="0" t="n">
        <f aca="false">LOG10(BF37)*10</f>
        <v>11.9285597287763</v>
      </c>
      <c r="CW37" s="0" t="n">
        <f aca="false">CW36-0.005</f>
        <v>0.87</v>
      </c>
      <c r="CX37" s="120" t="n">
        <f aca="false">1-CW37^33.3333333333</f>
        <v>0.990362262635278</v>
      </c>
      <c r="CY37" s="120" t="n">
        <f aca="false">(1-CW37^66.66666666)-CX37</f>
        <v>0.00954485138312489</v>
      </c>
      <c r="CZ37" s="120" t="n">
        <f aca="false">1-CX37-CY37</f>
        <v>9.28859815967353E-005</v>
      </c>
    </row>
    <row r="38" customFormat="false" ht="18" hidden="false" customHeight="false" outlineLevel="0" collapsed="false">
      <c r="B38" s="0" t="n">
        <v>1935</v>
      </c>
      <c r="C38" s="0" t="n">
        <v>308.4</v>
      </c>
      <c r="T38" s="181" t="n">
        <v>-22.47</v>
      </c>
      <c r="U38" s="0" t="n">
        <v>0.190645653279105</v>
      </c>
      <c r="V38" s="0" t="n">
        <v>5.24533333333333</v>
      </c>
      <c r="W38" s="0" t="n">
        <f aca="false">0.000122783*T38^2 + 0.0191158*T38+ 0.564601</f>
        <v>0.1970622212047</v>
      </c>
      <c r="X38" s="0" t="n">
        <f aca="false">U38-W38</f>
        <v>-0.00641656792559447</v>
      </c>
      <c r="Y38" s="634"/>
      <c r="Z38" s="634"/>
      <c r="AA38" s="634"/>
      <c r="AB38" s="634"/>
      <c r="AC38" s="634"/>
      <c r="AD38" s="634"/>
      <c r="AE38" s="634"/>
      <c r="AF38" s="634"/>
      <c r="AG38" s="634"/>
      <c r="AI38" s="0" t="n">
        <f aca="false">AI37+0.2</f>
        <v>280.16</v>
      </c>
      <c r="AJ38" s="0" t="n">
        <f aca="false">AI38-273.16</f>
        <v>6.9999999999996</v>
      </c>
      <c r="AK38" s="0" t="n">
        <f aca="false">AI38*$AR$1*EXP(-$AR$6/8.31/AI38)/(1+EXP($AR$2/8.31*(1-$AR$5/$AR$2/AI38)))</f>
        <v>0.0727376836379237</v>
      </c>
      <c r="AL38" s="0" t="n">
        <v>0.566492336031398</v>
      </c>
      <c r="AM38" s="142" t="n">
        <f aca="false">AI38*EXP(-$AR$6/8.31/AI38)/(1+EXP($AR$2/8.31*(1-$AR$5/$AR$2/AI38)))</f>
        <v>1.33339295459048E-014</v>
      </c>
      <c r="AN38" s="0" t="n">
        <f aca="false">IF(AK38=$AL$1,1*AJ38,0)</f>
        <v>0</v>
      </c>
      <c r="BE38" s="170" t="n">
        <f aca="false">BE37+1</f>
        <v>46</v>
      </c>
      <c r="BF38" s="0" t="n">
        <f aca="false">IF(BE38&lt;$BD$3,$BD$1*$BD$4^((BE38-20)/10),$BD$2*$BD$5^((BE38-$BD$3)/10))</f>
        <v>16.4562405994847</v>
      </c>
      <c r="BG38" s="0" t="n">
        <f aca="false">LOG10(BF38)*10</f>
        <v>12.1633062836245</v>
      </c>
    </row>
    <row r="39" customFormat="false" ht="18" hidden="false" customHeight="false" outlineLevel="0" collapsed="false">
      <c r="B39" s="0" t="n">
        <v>1940</v>
      </c>
      <c r="C39" s="0" t="n">
        <v>310.4</v>
      </c>
      <c r="T39" s="181" t="n">
        <v>-21.51</v>
      </c>
      <c r="U39" s="0" t="n">
        <v>0.202388180530257</v>
      </c>
      <c r="V39" s="0" t="n">
        <v>4.941</v>
      </c>
      <c r="W39" s="0" t="n">
        <f aca="false">0.000122783*T39^2 + 0.0191158*T39+ 0.564601</f>
        <v>0.2102293927183</v>
      </c>
      <c r="X39" s="0" t="n">
        <f aca="false">U39-W39</f>
        <v>-0.00784121218804279</v>
      </c>
      <c r="Y39" s="634"/>
      <c r="Z39" s="634"/>
      <c r="AA39" s="634"/>
      <c r="AB39" s="634"/>
      <c r="AC39" s="634"/>
      <c r="AD39" s="634"/>
      <c r="AE39" s="634"/>
      <c r="AF39" s="634"/>
      <c r="AG39" s="634"/>
      <c r="AI39" s="0" t="n">
        <f aca="false">AI38+0.2</f>
        <v>280.36</v>
      </c>
      <c r="AJ39" s="0" t="n">
        <f aca="false">AI39-273.16</f>
        <v>7.19999999999959</v>
      </c>
      <c r="AK39" s="0" t="n">
        <f aca="false">AI39*$AR$1*EXP(-$AR$6/8.31/AI39)/(1+EXP($AR$2/8.31*(1-$AR$5/$AR$2/AI39)))</f>
        <v>0.0747675207559777</v>
      </c>
      <c r="AL39" s="0" t="n">
        <v>0.579770652476345</v>
      </c>
      <c r="AM39" s="142" t="n">
        <f aca="false">AI39*EXP(-$AR$6/8.31/AI39)/(1+EXP($AR$2/8.31*(1-$AR$5/$AR$2/AI39)))</f>
        <v>1.37060297251808E-014</v>
      </c>
      <c r="AN39" s="0" t="n">
        <f aca="false">IF(AK39=$AL$1,1*AJ39,0)</f>
        <v>0</v>
      </c>
      <c r="BE39" s="170" t="n">
        <f aca="false">BE38+1</f>
        <v>47</v>
      </c>
      <c r="BF39" s="0" t="n">
        <f aca="false">IF(BE39&lt;$BD$3,$BD$1*$BD$4^((BE39-20)/10),$BD$2*$BD$5^((BE39-$BD$3)/10))</f>
        <v>17.3702185949911</v>
      </c>
      <c r="BG39" s="0" t="n">
        <f aca="false">LOG10(BF39)*10</f>
        <v>12.3980528384727</v>
      </c>
    </row>
    <row r="40" customFormat="false" ht="18" hidden="false" customHeight="false" outlineLevel="0" collapsed="false">
      <c r="B40" s="0" t="n">
        <v>1945</v>
      </c>
      <c r="C40" s="0" t="n">
        <v>310.9</v>
      </c>
      <c r="T40" s="181" t="n">
        <v>-20.55</v>
      </c>
      <c r="U40" s="0" t="n">
        <v>0.216387766878246</v>
      </c>
      <c r="V40" s="0" t="n">
        <v>4.62133333333333</v>
      </c>
      <c r="W40" s="0" t="n">
        <f aca="false">0.000122783*T40^2 + 0.0191158*T40+ 0.564601</f>
        <v>0.2236228778575</v>
      </c>
      <c r="X40" s="0" t="n">
        <f aca="false">U40-W40</f>
        <v>-0.00723511097925408</v>
      </c>
      <c r="Y40" s="634"/>
      <c r="Z40" s="634"/>
      <c r="AA40" s="634"/>
      <c r="AB40" s="634"/>
      <c r="AC40" s="634"/>
      <c r="AD40" s="634"/>
      <c r="AE40" s="634"/>
      <c r="AF40" s="634"/>
      <c r="AG40" s="634"/>
      <c r="AI40" s="0" t="n">
        <f aca="false">AI39+0.2</f>
        <v>280.56</v>
      </c>
      <c r="AJ40" s="0" t="n">
        <f aca="false">AI40-273.16</f>
        <v>7.39999999999958</v>
      </c>
      <c r="AK40" s="0" t="n">
        <f aca="false">AI40*$AR$1*EXP(-$AR$6/8.31/AI40)/(1+EXP($AR$2/8.31*(1-$AR$5/$AR$2/AI40)))</f>
        <v>0.0768510201060136</v>
      </c>
      <c r="AL40" s="0" t="n">
        <v>0.593258580799344</v>
      </c>
      <c r="AM40" s="142" t="n">
        <f aca="false">AI40*EXP(-$AR$6/8.31/AI40)/(1+EXP($AR$2/8.31*(1-$AR$5/$AR$2/AI40)))</f>
        <v>1.40879670120568E-014</v>
      </c>
      <c r="AN40" s="0" t="n">
        <f aca="false">IF(AK40=$AL$1,1*AJ40,0)</f>
        <v>0</v>
      </c>
      <c r="BE40" s="170" t="n">
        <f aca="false">BE39+1</f>
        <v>48</v>
      </c>
      <c r="BF40" s="0" t="n">
        <f aca="false">IF(BE40&lt;$BD$3,$BD$1*$BD$4^((BE40-20)/10),$BD$2*$BD$5^((BE40-$BD$3)/10))</f>
        <v>18.3349588390937</v>
      </c>
      <c r="BG40" s="0" t="n">
        <f aca="false">LOG10(BF40)*10</f>
        <v>12.632799393321</v>
      </c>
    </row>
    <row r="41" customFormat="false" ht="18" hidden="false" customHeight="false" outlineLevel="0" collapsed="false">
      <c r="B41" s="0" t="n">
        <v>1950</v>
      </c>
      <c r="C41" s="0" t="n">
        <v>311.2</v>
      </c>
      <c r="T41" s="181" t="n">
        <v>-19.8</v>
      </c>
      <c r="U41" s="0" t="n">
        <v>0.228123003923716</v>
      </c>
      <c r="V41" s="0" t="n">
        <v>4.3836</v>
      </c>
      <c r="W41" s="0" t="n">
        <f aca="false">0.000122783*T41^2 + 0.0191158*T41+ 0.564601</f>
        <v>0.23424400732</v>
      </c>
      <c r="X41" s="0" t="n">
        <f aca="false">U41-W41</f>
        <v>-0.00612100339628419</v>
      </c>
      <c r="Y41" s="634"/>
      <c r="Z41" s="634"/>
      <c r="AA41" s="634"/>
      <c r="AB41" s="634"/>
      <c r="AC41" s="634"/>
      <c r="AD41" s="634"/>
      <c r="AE41" s="634"/>
      <c r="AF41" s="634"/>
      <c r="AG41" s="634"/>
      <c r="AI41" s="0" t="n">
        <f aca="false">AI40+0.2</f>
        <v>280.76</v>
      </c>
      <c r="AJ41" s="0" t="n">
        <f aca="false">AI41-273.16</f>
        <v>7.59999999999957</v>
      </c>
      <c r="AK41" s="0" t="n">
        <f aca="false">AI41*$AR$1*EXP(-$AR$6/8.31/AI41)/(1+EXP($AR$2/8.31*(1-$AR$5/$AR$2/AI41)))</f>
        <v>0.0789895189256635</v>
      </c>
      <c r="AL41" s="0" t="n">
        <v>0.606948891827365</v>
      </c>
      <c r="AM41" s="142" t="n">
        <f aca="false">AI41*EXP(-$AR$6/8.31/AI41)/(1+EXP($AR$2/8.31*(1-$AR$5/$AR$2/AI41)))</f>
        <v>1.44799865426368E-014</v>
      </c>
      <c r="AN41" s="0" t="n">
        <f aca="false">IF(AK41=$AL$1,1*AJ41,0)</f>
        <v>0</v>
      </c>
      <c r="BE41" s="170" t="n">
        <f aca="false">BE40+1</f>
        <v>49</v>
      </c>
      <c r="BF41" s="0" t="n">
        <f aca="false">IF(BE41&lt;$BD$3,$BD$1*$BD$4^((BE41-20)/10),$BD$2*$BD$5^((BE41-$BD$3)/10))</f>
        <v>19.3532806621212</v>
      </c>
      <c r="BG41" s="0" t="n">
        <f aca="false">LOG10(BF41)*10</f>
        <v>12.8675459481692</v>
      </c>
    </row>
    <row r="42" customFormat="false" ht="18" hidden="false" customHeight="false" outlineLevel="0" collapsed="false">
      <c r="B42" s="0" t="n">
        <v>1955</v>
      </c>
      <c r="C42" s="0" t="n">
        <v>313.4</v>
      </c>
      <c r="T42" s="181" t="n">
        <v>-19.76</v>
      </c>
      <c r="U42" s="0" t="n">
        <v>0.225774406213312</v>
      </c>
      <c r="V42" s="0" t="n">
        <v>4.4292</v>
      </c>
      <c r="W42" s="0" t="n">
        <f aca="false">0.000122783*T42^2 + 0.0191158*T42+ 0.564601</f>
        <v>0.2348143475008</v>
      </c>
      <c r="X42" s="0" t="n">
        <f aca="false">U42-W42</f>
        <v>-0.00903994128748811</v>
      </c>
      <c r="Y42" s="634"/>
      <c r="Z42" s="634"/>
      <c r="AA42" s="634"/>
      <c r="AB42" s="634"/>
      <c r="AC42" s="634"/>
      <c r="AD42" s="634"/>
      <c r="AE42" s="634"/>
      <c r="AF42" s="634"/>
      <c r="AG42" s="634"/>
      <c r="AI42" s="0" t="n">
        <f aca="false">AI41+0.2</f>
        <v>280.96</v>
      </c>
      <c r="AJ42" s="0" t="n">
        <f aca="false">AI42-273.16</f>
        <v>7.79999999999956</v>
      </c>
      <c r="AK42" s="0" t="n">
        <f aca="false">AI42*$AR$1*EXP(-$AR$6/8.31/AI42)/(1+EXP($AR$2/8.31*(1-$AR$5/$AR$2/AI42)))</f>
        <v>0.0811843855968593</v>
      </c>
      <c r="AL42" s="0" t="n">
        <v>0.620832935235966</v>
      </c>
      <c r="AM42" s="142" t="n">
        <f aca="false">AI42*EXP(-$AR$6/8.31/AI42)/(1+EXP($AR$2/8.31*(1-$AR$5/$AR$2/AI42)))</f>
        <v>1.48823391622509E-014</v>
      </c>
      <c r="AN42" s="0" t="n">
        <f aca="false">IF(AK42=$AL$1,1*AJ42,0)</f>
        <v>0</v>
      </c>
      <c r="BE42" s="170" t="n">
        <f aca="false">BE41+1</f>
        <v>50</v>
      </c>
      <c r="BF42" s="0" t="n">
        <f aca="false">IF(BE42&lt;$BD$3,$BD$1*$BD$4^((BE42-20)/10),$BD$2*$BD$5^((BE42-$BD$3)/10))</f>
        <v>20.4281599797336</v>
      </c>
      <c r="BG42" s="0" t="n">
        <f aca="false">LOG10(BF42)*10</f>
        <v>13.1022925030174</v>
      </c>
    </row>
    <row r="43" customFormat="false" ht="18" hidden="false" customHeight="false" outlineLevel="0" collapsed="false">
      <c r="B43" s="0" t="n">
        <v>1956</v>
      </c>
      <c r="C43" s="0" t="n">
        <v>314</v>
      </c>
      <c r="T43" s="181" t="n">
        <v>-19.59</v>
      </c>
      <c r="U43" s="0" t="n">
        <v>0.22737608003638</v>
      </c>
      <c r="V43" s="0" t="n">
        <v>4.398</v>
      </c>
      <c r="W43" s="0" t="n">
        <f aca="false">0.000122783*T43^2 + 0.0191158*T43+ 0.564601</f>
        <v>0.2372426766223</v>
      </c>
      <c r="X43" s="0" t="n">
        <f aca="false">U43-W43</f>
        <v>-0.0098665965859194</v>
      </c>
      <c r="Y43" s="634"/>
      <c r="Z43" s="634"/>
      <c r="AA43" s="634"/>
      <c r="AB43" s="634"/>
      <c r="AC43" s="634"/>
      <c r="AD43" s="634"/>
      <c r="AE43" s="634"/>
      <c r="AF43" s="634"/>
      <c r="AG43" s="634"/>
      <c r="AI43" s="0" t="n">
        <f aca="false">AI42+0.2</f>
        <v>281.16</v>
      </c>
      <c r="AJ43" s="0" t="n">
        <f aca="false">AI43-273.16</f>
        <v>7.99999999999955</v>
      </c>
      <c r="AK43" s="0" t="n">
        <f aca="false">AI43*$AR$1*EXP(-$AR$6/8.31/AI43)/(1+EXP($AR$2/8.31*(1-$AR$5/$AR$2/AI43)))</f>
        <v>0.0834370203059305</v>
      </c>
      <c r="AL43" s="0" t="n">
        <v>0.634900493793447</v>
      </c>
      <c r="AM43" s="142" t="n">
        <f aca="false">AI43*EXP(-$AR$6/8.31/AI43)/(1+EXP($AR$2/8.31*(1-$AR$5/$AR$2/AI43)))</f>
        <v>1.52952815464617E-014</v>
      </c>
      <c r="AN43" s="0" t="n">
        <f aca="false">IF(AK43=$AL$1,1*AJ43,0)</f>
        <v>0</v>
      </c>
    </row>
    <row r="44" customFormat="false" ht="18" hidden="false" customHeight="false" outlineLevel="0" collapsed="false">
      <c r="B44" s="0" t="n">
        <v>1957</v>
      </c>
      <c r="C44" s="0" t="n">
        <v>314.6</v>
      </c>
      <c r="T44" s="181" t="n">
        <v>-18.53</v>
      </c>
      <c r="U44" s="0" t="n">
        <v>0.243862786538774</v>
      </c>
      <c r="V44" s="0" t="n">
        <v>4.10066666666667</v>
      </c>
      <c r="W44" s="0" t="n">
        <f aca="false">0.000122783*T44^2 + 0.0191158*T44+ 0.564601</f>
        <v>0.2525441073847</v>
      </c>
      <c r="X44" s="0" t="n">
        <f aca="false">U44-W44</f>
        <v>-0.00868132084592541</v>
      </c>
      <c r="Y44" s="634"/>
      <c r="Z44" s="634"/>
      <c r="AA44" s="634"/>
      <c r="AB44" s="634"/>
      <c r="AC44" s="634"/>
      <c r="AD44" s="634"/>
      <c r="AE44" s="634"/>
      <c r="AF44" s="634"/>
      <c r="AG44" s="634"/>
      <c r="AI44" s="0" t="n">
        <f aca="false">AI43+0.2</f>
        <v>281.36</v>
      </c>
      <c r="AJ44" s="0" t="n">
        <f aca="false">AI44-273.16</f>
        <v>8.19999999999953</v>
      </c>
      <c r="AK44" s="0" t="n">
        <f aca="false">AI44*$AR$1*EXP(-$AR$6/8.31/AI44)/(1+EXP($AR$2/8.31*(1-$AR$5/$AR$2/AI44)))</f>
        <v>0.0857488557145112</v>
      </c>
      <c r="AL44" s="0" t="n">
        <v>0.649139627650381</v>
      </c>
      <c r="AM44" s="142" t="n">
        <f aca="false">AI44*EXP(-$AR$6/8.31/AI44)/(1+EXP($AR$2/8.31*(1-$AR$5/$AR$2/AI44)))</f>
        <v>1.57190763240517E-014</v>
      </c>
      <c r="AN44" s="0" t="n">
        <f aca="false">IF(AK44=$AL$1,1*AJ44,0)</f>
        <v>0</v>
      </c>
    </row>
    <row r="45" customFormat="false" ht="18" hidden="false" customHeight="false" outlineLevel="0" collapsed="false">
      <c r="B45" s="0" t="n">
        <v>1958</v>
      </c>
      <c r="C45" s="0" t="n">
        <v>315.3</v>
      </c>
      <c r="T45" s="181" t="n">
        <v>-17.57</v>
      </c>
      <c r="U45" s="0" t="n">
        <v>0.257356095050184</v>
      </c>
      <c r="V45" s="0" t="n">
        <v>3.88566666666667</v>
      </c>
      <c r="W45" s="0" t="n">
        <f aca="false">0.000122783*T45^2 + 0.0191158*T45+ 0.564601</f>
        <v>0.2666401077367</v>
      </c>
      <c r="X45" s="0" t="n">
        <f aca="false">U45-W45</f>
        <v>-0.0092840126865153</v>
      </c>
      <c r="Y45" s="634"/>
      <c r="Z45" s="634"/>
      <c r="AA45" s="634"/>
      <c r="AB45" s="634"/>
      <c r="AC45" s="634"/>
      <c r="AD45" s="634"/>
      <c r="AE45" s="634"/>
      <c r="AF45" s="634"/>
      <c r="AG45" s="634"/>
      <c r="AI45" s="0" t="n">
        <f aca="false">AI44+0.2</f>
        <v>281.56</v>
      </c>
      <c r="AJ45" s="0" t="n">
        <f aca="false">AI45-273.16</f>
        <v>8.39999999999952</v>
      </c>
      <c r="AK45" s="0" t="n">
        <f aca="false">AI45*$AR$1*EXP(-$AR$6/8.31/AI45)/(1+EXP($AR$2/8.31*(1-$AR$5/$AR$2/AI45)))</f>
        <v>0.0881213576411302</v>
      </c>
      <c r="AL45" s="0" t="n">
        <v>0.663536508882072</v>
      </c>
      <c r="AM45" s="142" t="n">
        <f aca="false">AI45*EXP(-$AR$6/8.31/AI45)/(1+EXP($AR$2/8.31*(1-$AR$5/$AR$2/AI45)))</f>
        <v>1.6153992201969E-014</v>
      </c>
      <c r="AN45" s="0" t="n">
        <f aca="false">IF(AK45=$AL$1,1*AJ45,0)</f>
        <v>0</v>
      </c>
    </row>
    <row r="46" customFormat="false" ht="18" hidden="false" customHeight="false" outlineLevel="0" collapsed="false">
      <c r="B46" s="0" t="n">
        <v>1959</v>
      </c>
      <c r="C46" s="0" t="n">
        <v>316</v>
      </c>
      <c r="T46" s="181" t="n">
        <v>-16.61</v>
      </c>
      <c r="U46" s="0" t="n">
        <v>0.273872557969691</v>
      </c>
      <c r="V46" s="0" t="n">
        <v>3.65133333333333</v>
      </c>
      <c r="W46" s="0" t="n">
        <f aca="false">0.000122783*T46^2 + 0.0191158*T46+ 0.564601</f>
        <v>0.2809624217143</v>
      </c>
      <c r="X46" s="0" t="n">
        <f aca="false">U46-W46</f>
        <v>-0.0070898637446084</v>
      </c>
      <c r="Y46" s="634"/>
      <c r="Z46" s="634"/>
      <c r="AA46" s="634"/>
      <c r="AB46" s="634"/>
      <c r="AC46" s="634"/>
      <c r="AD46" s="634"/>
      <c r="AE46" s="634"/>
      <c r="AF46" s="634"/>
      <c r="AG46" s="634"/>
      <c r="AI46" s="0" t="n">
        <f aca="false">AI45+0.2</f>
        <v>281.76</v>
      </c>
      <c r="AJ46" s="0" t="n">
        <f aca="false">AI46-273.16</f>
        <v>8.59999999999951</v>
      </c>
      <c r="AK46" s="0" t="n">
        <f aca="false">AI46*$AR$1*EXP(-$AR$6/8.31/AI46)/(1+EXP($AR$2/8.31*(1-$AR$5/$AR$2/AI46)))</f>
        <v>0.0905560257533186</v>
      </c>
      <c r="AL46" s="0" t="n">
        <v>0.678075246739784</v>
      </c>
      <c r="AM46" s="142" t="n">
        <f aca="false">AI46*EXP(-$AR$6/8.31/AI46)/(1+EXP($AR$2/8.31*(1-$AR$5/$AR$2/AI46)))</f>
        <v>1.66003040922016E-014</v>
      </c>
      <c r="AN46" s="0" t="n">
        <f aca="false">IF(AK46=$AL$1,1*AJ46,0)</f>
        <v>0</v>
      </c>
    </row>
    <row r="47" customFormat="false" ht="18" hidden="false" customHeight="false" outlineLevel="0" collapsed="false">
      <c r="B47" s="0" t="n">
        <v>1960</v>
      </c>
      <c r="C47" s="0" t="n">
        <v>316.7</v>
      </c>
      <c r="T47" s="181" t="n">
        <v>-15.65</v>
      </c>
      <c r="U47" s="0" t="n">
        <v>0.284414106939704</v>
      </c>
      <c r="V47" s="0" t="n">
        <v>3.516</v>
      </c>
      <c r="W47" s="0" t="n">
        <f aca="false">0.000122783*T47^2 + 0.0191158*T47+ 0.564601</f>
        <v>0.2955110493175</v>
      </c>
      <c r="X47" s="0" t="n">
        <f aca="false">U47-W47</f>
        <v>-0.0110969423777954</v>
      </c>
      <c r="Y47" s="634"/>
      <c r="Z47" s="634"/>
      <c r="AA47" s="634"/>
      <c r="AB47" s="634"/>
      <c r="AC47" s="634"/>
      <c r="AD47" s="634"/>
      <c r="AE47" s="634"/>
      <c r="AF47" s="634"/>
      <c r="AG47" s="634"/>
      <c r="AI47" s="0" t="n">
        <f aca="false">AI46+0.2</f>
        <v>281.96</v>
      </c>
      <c r="AJ47" s="0" t="n">
        <f aca="false">AI47-273.16</f>
        <v>8.7999999999995</v>
      </c>
      <c r="AK47" s="0" t="n">
        <f aca="false">AI47*$AR$1*EXP(-$AR$6/8.31/AI47)/(1+EXP($AR$2/8.31*(1-$AR$5/$AR$2/AI47)))</f>
        <v>0.0930543942700176</v>
      </c>
      <c r="AL47" s="0" t="n">
        <v>0.692737704371636</v>
      </c>
      <c r="AM47" s="142" t="n">
        <f aca="false">AI47*EXP(-$AR$6/8.31/AI47)/(1+EXP($AR$2/8.31*(1-$AR$5/$AR$2/AI47)))</f>
        <v>1.7058293240539E-014</v>
      </c>
      <c r="AN47" s="0" t="n">
        <f aca="false">IF(AK47=$AL$1,1*AJ47,0)</f>
        <v>0</v>
      </c>
    </row>
    <row r="48" customFormat="false" ht="18" hidden="false" customHeight="false" outlineLevel="0" collapsed="false">
      <c r="B48" s="0" t="n">
        <v>1961</v>
      </c>
      <c r="C48" s="0" t="n">
        <v>317.4</v>
      </c>
      <c r="T48" s="181" t="n">
        <v>-14.69</v>
      </c>
      <c r="U48" s="0" t="n">
        <v>0.30269397638987</v>
      </c>
      <c r="V48" s="0" t="n">
        <v>3.30366666666667</v>
      </c>
      <c r="W48" s="0" t="n">
        <f aca="false">0.000122783*T48^2 + 0.0191158*T48+ 0.564601</f>
        <v>0.3102859905463</v>
      </c>
      <c r="X48" s="0" t="n">
        <f aca="false">U48-W48</f>
        <v>-0.00759201415643024</v>
      </c>
      <c r="Y48" s="634"/>
      <c r="Z48" s="634"/>
      <c r="AA48" s="634"/>
      <c r="AB48" s="634"/>
      <c r="AC48" s="634"/>
      <c r="AD48" s="634"/>
      <c r="AE48" s="634"/>
      <c r="AF48" s="634"/>
      <c r="AG48" s="634"/>
      <c r="AI48" s="0" t="n">
        <f aca="false">AI47+0.2</f>
        <v>282.16</v>
      </c>
      <c r="AJ48" s="0" t="n">
        <f aca="false">AI48-273.16</f>
        <v>8.99999999999949</v>
      </c>
      <c r="AK48" s="0" t="n">
        <f aca="false">AI48*$AR$1*EXP(-$AR$6/8.31/AI48)/(1+EXP($AR$2/8.31*(1-$AR$5/$AR$2/AI48)))</f>
        <v>0.0956180326740146</v>
      </c>
      <c r="AL48" s="0" t="n">
        <v>0.707503308142831</v>
      </c>
      <c r="AM48" s="142" t="n">
        <f aca="false">AI48*EXP(-$AR$6/8.31/AI48)/(1+EXP($AR$2/8.31*(1-$AR$5/$AR$2/AI48)))</f>
        <v>1.75282473571731E-014</v>
      </c>
      <c r="AN48" s="0" t="n">
        <f aca="false">IF(AK48=$AL$1,1*AJ48,0)</f>
        <v>0</v>
      </c>
    </row>
    <row r="49" customFormat="false" ht="18" hidden="false" customHeight="false" outlineLevel="0" collapsed="false">
      <c r="B49" s="0" t="n">
        <v>1962</v>
      </c>
      <c r="C49" s="0" t="n">
        <v>318</v>
      </c>
      <c r="T49" s="181" t="n">
        <v>-13.64</v>
      </c>
      <c r="U49" s="0" t="n">
        <v>0.313840359870279</v>
      </c>
      <c r="V49" s="0" t="n">
        <v>3.18633333333333</v>
      </c>
      <c r="W49" s="0" t="n">
        <f aca="false">0.000122783*T49^2 + 0.0191158*T49+ 0.564601</f>
        <v>0.326705216036799</v>
      </c>
      <c r="X49" s="0" t="n">
        <f aca="false">U49-W49</f>
        <v>-0.0128648561665201</v>
      </c>
      <c r="Y49" s="634"/>
      <c r="Z49" s="634"/>
      <c r="AA49" s="634"/>
      <c r="AB49" s="634"/>
      <c r="AC49" s="634"/>
      <c r="AD49" s="634"/>
      <c r="AE49" s="634"/>
      <c r="AF49" s="634"/>
      <c r="AG49" s="634"/>
      <c r="AI49" s="0" t="n">
        <f aca="false">AI48+0.2</f>
        <v>282.359999999999</v>
      </c>
      <c r="AJ49" s="0" t="n">
        <f aca="false">AI49-273.16</f>
        <v>9.19999999999948</v>
      </c>
      <c r="AK49" s="0" t="n">
        <f aca="false">AI49*$AR$1*EXP(-$AR$6/8.31/AI49)/(1+EXP($AR$2/8.31*(1-$AR$5/$AR$2/AI49)))</f>
        <v>0.0982485464340693</v>
      </c>
      <c r="AL49" s="0" t="n">
        <v>0.722348851124208</v>
      </c>
      <c r="AM49" s="142" t="n">
        <f aca="false">AI49*EXP(-$AR$6/8.31/AI49)/(1+EXP($AR$2/8.31*(1-$AR$5/$AR$2/AI49)))</f>
        <v>1.80104607490746E-014</v>
      </c>
      <c r="AN49" s="0" t="n">
        <f aca="false">IF(AK49=$AL$1,1*AJ49,0)</f>
        <v>0</v>
      </c>
    </row>
    <row r="50" customFormat="false" ht="18" hidden="false" customHeight="false" outlineLevel="0" collapsed="false">
      <c r="B50" s="0" t="n">
        <v>1963</v>
      </c>
      <c r="C50" s="0" t="n">
        <v>318.5</v>
      </c>
      <c r="T50" s="181" t="n">
        <v>-12.68</v>
      </c>
      <c r="U50" s="0" t="n">
        <v>0.329055610398157</v>
      </c>
      <c r="V50" s="0" t="n">
        <v>3.039</v>
      </c>
      <c r="W50" s="0" t="n">
        <f aca="false">0.000122783*T50^2 + 0.0191158*T50+ 0.564601</f>
        <v>0.3419540014192</v>
      </c>
      <c r="X50" s="0" t="n">
        <f aca="false">U50-W50</f>
        <v>-0.0128983910210427</v>
      </c>
      <c r="Y50" s="634"/>
      <c r="Z50" s="634"/>
      <c r="AA50" s="634"/>
      <c r="AB50" s="634"/>
      <c r="AC50" s="634"/>
      <c r="AD50" s="634"/>
      <c r="AE50" s="634"/>
      <c r="AF50" s="634"/>
      <c r="AG50" s="634"/>
      <c r="AI50" s="0" t="n">
        <f aca="false">AI49+0.2</f>
        <v>282.559999999999</v>
      </c>
      <c r="AJ50" s="0" t="n">
        <f aca="false">AI50-273.16</f>
        <v>9.39999999999947</v>
      </c>
      <c r="AK50" s="0" t="n">
        <f aca="false">AI50*$AR$1*EXP(-$AR$6/8.31/AI50)/(1+EXP($AR$2/8.31*(1-$AR$5/$AR$2/AI50)))</f>
        <v>0.100947577736331</v>
      </c>
      <c r="AL50" s="0" t="n">
        <v>0.737248292834304</v>
      </c>
      <c r="AM50" s="142" t="n">
        <f aca="false">AI50*EXP(-$AR$6/8.31/AI50)/(1+EXP($AR$2/8.31*(1-$AR$5/$AR$2/AI50)))</f>
        <v>1.85052344540732E-014</v>
      </c>
      <c r="AN50" s="0" t="n">
        <f aca="false">IF(AK50=$AL$1,1*AJ50,0)</f>
        <v>0</v>
      </c>
    </row>
    <row r="51" customFormat="false" ht="18" hidden="false" customHeight="false" outlineLevel="0" collapsed="false">
      <c r="B51" s="0" t="n">
        <v>1964</v>
      </c>
      <c r="C51" s="0" t="n">
        <v>319</v>
      </c>
      <c r="T51" s="181" t="n">
        <v>-11.72</v>
      </c>
      <c r="U51" s="0" t="n">
        <v>0.340715502555366</v>
      </c>
      <c r="V51" s="0" t="n">
        <v>2.935</v>
      </c>
      <c r="W51" s="0" t="n">
        <f aca="false">0.000122783*T51^2 + 0.0191158*T51+ 0.564601</f>
        <v>0.3574291004272</v>
      </c>
      <c r="X51" s="0" t="n">
        <f aca="false">U51-W51</f>
        <v>-0.0167135978718334</v>
      </c>
      <c r="Y51" s="634"/>
      <c r="Z51" s="634"/>
      <c r="AA51" s="634"/>
      <c r="AB51" s="634"/>
      <c r="AC51" s="634"/>
      <c r="AD51" s="634"/>
      <c r="AE51" s="634"/>
      <c r="AF51" s="634"/>
      <c r="AG51" s="634"/>
      <c r="AI51" s="0" t="n">
        <f aca="false">AI50+0.2</f>
        <v>282.759999999999</v>
      </c>
      <c r="AJ51" s="0" t="n">
        <f aca="false">AI51-273.16</f>
        <v>9.59999999999945</v>
      </c>
      <c r="AK51" s="0" t="n">
        <f aca="false">AI51*$AR$1*EXP(-$AR$6/8.31/AI51)/(1+EXP($AR$2/8.31*(1-$AR$5/$AR$2/AI51)))</f>
        <v>0.103716806224542</v>
      </c>
      <c r="AL51" s="0" t="n">
        <v>0.752172557917874</v>
      </c>
      <c r="AM51" s="142" t="n">
        <f aca="false">AI51*EXP(-$AR$6/8.31/AI51)/(1+EXP($AR$2/8.31*(1-$AR$5/$AR$2/AI51)))</f>
        <v>1.90128763765479E-014</v>
      </c>
      <c r="AN51" s="0" t="n">
        <f aca="false">IF(AK51=$AL$1,1*AJ51,0)</f>
        <v>0</v>
      </c>
    </row>
    <row r="52" customFormat="false" ht="18" hidden="false" customHeight="false" outlineLevel="0" collapsed="false">
      <c r="B52" s="0" t="n">
        <v>1965</v>
      </c>
      <c r="C52" s="0" t="n">
        <v>319.7</v>
      </c>
      <c r="T52" s="181" t="n">
        <v>-10.76</v>
      </c>
      <c r="U52" s="0" t="n">
        <v>0.36036036036036</v>
      </c>
      <c r="V52" s="0" t="n">
        <v>2.775</v>
      </c>
      <c r="W52" s="0" t="n">
        <f aca="false">0.000122783*T52^2 + 0.0191158*T52+ 0.564601</f>
        <v>0.373130513060799</v>
      </c>
      <c r="X52" s="0" t="n">
        <f aca="false">U52-W52</f>
        <v>-0.0127701527004389</v>
      </c>
      <c r="Y52" s="634"/>
      <c r="Z52" s="634"/>
      <c r="AA52" s="634"/>
      <c r="AB52" s="634"/>
      <c r="AC52" s="634"/>
      <c r="AD52" s="634"/>
      <c r="AE52" s="634"/>
      <c r="AF52" s="634"/>
      <c r="AG52" s="634"/>
      <c r="AI52" s="0" t="n">
        <f aca="false">AI51+0.2</f>
        <v>282.959999999999</v>
      </c>
      <c r="AJ52" s="0" t="n">
        <f aca="false">AI52-273.16</f>
        <v>9.79999999999944</v>
      </c>
      <c r="AK52" s="0" t="n">
        <f aca="false">AI52*$AR$1*EXP(-$AR$6/8.31/AI52)/(1+EXP($AR$2/8.31*(1-$AR$5/$AR$2/AI52)))</f>
        <v>0.106557949748473</v>
      </c>
      <c r="AL52" s="0" t="n">
        <v>0.76708933712602</v>
      </c>
      <c r="AM52" s="142" t="n">
        <f aca="false">AI52*EXP(-$AR$6/8.31/AI52)/(1+EXP($AR$2/8.31*(1-$AR$5/$AR$2/AI52)))</f>
        <v>1.95337014246274E-014</v>
      </c>
      <c r="AN52" s="0" t="n">
        <f aca="false">IF(AK52=$AL$1,1*AJ52,0)</f>
        <v>0</v>
      </c>
    </row>
    <row r="53" customFormat="false" ht="18" hidden="false" customHeight="false" outlineLevel="0" collapsed="false">
      <c r="B53" s="0" t="n">
        <v>1966</v>
      </c>
      <c r="C53" s="0" t="n">
        <v>320.6</v>
      </c>
      <c r="T53" s="181" t="n">
        <v>-9.96000000000004</v>
      </c>
      <c r="U53" s="0" t="n">
        <v>0.372300819061802</v>
      </c>
      <c r="V53" s="0" t="n">
        <v>2.686</v>
      </c>
      <c r="W53" s="0" t="n">
        <f aca="false">0.000122783*T53^2 + 0.0191158*T53+ 0.564601</f>
        <v>0.386387902052799</v>
      </c>
      <c r="X53" s="0" t="n">
        <f aca="false">U53-W53</f>
        <v>-0.0140870829909975</v>
      </c>
      <c r="Y53" s="634"/>
      <c r="Z53" s="634"/>
      <c r="AA53" s="634"/>
      <c r="AB53" s="634"/>
      <c r="AC53" s="634"/>
      <c r="AD53" s="634"/>
      <c r="AE53" s="634"/>
      <c r="AF53" s="634"/>
      <c r="AG53" s="634"/>
      <c r="AI53" s="0" t="n">
        <f aca="false">AI52+0.2</f>
        <v>283.159999999999</v>
      </c>
      <c r="AJ53" s="0" t="n">
        <f aca="false">AI53-273.16</f>
        <v>9.99999999999943</v>
      </c>
      <c r="AK53" s="0" t="n">
        <f aca="false">AI53*$AR$1*EXP(-$AR$6/8.31/AI53)/(1+EXP($AR$2/8.31*(1-$AR$5/$AR$2/AI53)))</f>
        <v>0.109472765119886</v>
      </c>
      <c r="AL53" s="0" t="n">
        <v>0.781962894728969</v>
      </c>
      <c r="AM53" s="142" t="n">
        <f aca="false">AI53*EXP(-$AR$6/8.31/AI53)/(1+EXP($AR$2/8.31*(1-$AR$5/$AR$2/AI53)))</f>
        <v>2.00680316487681E-014</v>
      </c>
      <c r="AN53" s="0" t="n">
        <f aca="false">IF(AK53=$AL$1,1*AJ53,0)</f>
        <v>0</v>
      </c>
    </row>
    <row r="54" customFormat="false" ht="18" hidden="false" customHeight="false" outlineLevel="0" collapsed="false">
      <c r="B54" s="0" t="n">
        <v>1967</v>
      </c>
      <c r="C54" s="0" t="n">
        <v>321.5</v>
      </c>
      <c r="T54" s="181" t="n">
        <v>-9.70000000000005</v>
      </c>
      <c r="U54" s="0" t="n">
        <v>0.380952380952381</v>
      </c>
      <c r="V54" s="0" t="n">
        <v>2.625</v>
      </c>
      <c r="W54" s="0" t="n">
        <f aca="false">0.000122783*T54^2 + 0.0191158*T54+ 0.564601</f>
        <v>0.390730392469999</v>
      </c>
      <c r="X54" s="0" t="n">
        <f aca="false">U54-W54</f>
        <v>-0.00977801151761826</v>
      </c>
      <c r="Y54" s="634"/>
      <c r="Z54" s="634"/>
      <c r="AA54" s="634"/>
      <c r="AB54" s="634"/>
      <c r="AC54" s="634"/>
      <c r="AD54" s="634"/>
      <c r="AE54" s="634"/>
      <c r="AF54" s="634"/>
      <c r="AG54" s="634"/>
      <c r="AI54" s="0" t="n">
        <f aca="false">AI53+0.2</f>
        <v>283.359999999999</v>
      </c>
      <c r="AJ54" s="0" t="n">
        <f aca="false">AI54-273.16</f>
        <v>10.1999999999994</v>
      </c>
      <c r="AK54" s="0" t="n">
        <f aca="false">AI54*$AR$1*EXP(-$AR$6/8.31/AI54)/(1+EXP($AR$2/8.31*(1-$AR$5/$AR$2/AI54)))</f>
        <v>0.112463048875234</v>
      </c>
      <c r="AL54" s="0" t="n">
        <v>0.796753887337869</v>
      </c>
      <c r="AM54" s="142" t="n">
        <f aca="false">AI54*EXP(-$AR$6/8.31/AI54)/(1+EXP($AR$2/8.31*(1-$AR$5/$AR$2/AI54)))</f>
        <v>2.06161963815709E-014</v>
      </c>
      <c r="AN54" s="0" t="n">
        <f aca="false">IF(AK54=$AL$1,1*AJ54,0)</f>
        <v>0</v>
      </c>
    </row>
    <row r="55" customFormat="false" ht="18" hidden="false" customHeight="false" outlineLevel="0" collapsed="false">
      <c r="B55" s="0" t="n">
        <v>1968</v>
      </c>
      <c r="C55" s="0" t="n">
        <v>322.5</v>
      </c>
      <c r="T55" s="181" t="n">
        <v>-8.74000000000001</v>
      </c>
      <c r="U55" s="0" t="n">
        <v>0.395621785572992</v>
      </c>
      <c r="V55" s="0" t="n">
        <v>2.52766666666667</v>
      </c>
      <c r="W55" s="0" t="n">
        <f aca="false">0.000122783*T55^2 + 0.0191158*T55+ 0.564601</f>
        <v>0.4069080066908</v>
      </c>
      <c r="X55" s="0" t="n">
        <f aca="false">U55-W55</f>
        <v>-0.0112862211178076</v>
      </c>
      <c r="Y55" s="634"/>
      <c r="Z55" s="634"/>
      <c r="AA55" s="634"/>
      <c r="AB55" s="634"/>
      <c r="AC55" s="634"/>
      <c r="AD55" s="634"/>
      <c r="AE55" s="634"/>
      <c r="AF55" s="634"/>
      <c r="AG55" s="634"/>
      <c r="AI55" s="0" t="n">
        <f aca="false">AI54+0.2</f>
        <v>283.559999999999</v>
      </c>
      <c r="AJ55" s="0" t="n">
        <f aca="false">AI55-273.16</f>
        <v>10.3999999999994</v>
      </c>
      <c r="AK55" s="0" t="n">
        <f aca="false">AI55*$AR$1*EXP(-$AR$6/8.31/AI55)/(1+EXP($AR$2/8.31*(1-$AR$5/$AR$2/AI55)))</f>
        <v>0.115530638044176</v>
      </c>
      <c r="AL55" s="0" t="n">
        <v>0.81141920002593</v>
      </c>
      <c r="AM55" s="142" t="n">
        <f aca="false">AI55*EXP(-$AR$6/8.31/AI55)/(1+EXP($AR$2/8.31*(1-$AR$5/$AR$2/AI55)))</f>
        <v>2.11785323786596E-014</v>
      </c>
      <c r="AN55" s="0" t="n">
        <f aca="false">IF(AK55=$AL$1,1*AJ55,0)</f>
        <v>0</v>
      </c>
    </row>
    <row r="56" customFormat="false" ht="18" hidden="false" customHeight="false" outlineLevel="0" collapsed="false">
      <c r="B56" s="0" t="n">
        <v>1969</v>
      </c>
      <c r="C56" s="0" t="n">
        <v>323.5</v>
      </c>
      <c r="T56" s="181" t="n">
        <v>-7.78000000000003</v>
      </c>
      <c r="U56" s="0" t="n">
        <v>0.416261967531567</v>
      </c>
      <c r="V56" s="0" t="n">
        <v>2.40233333333333</v>
      </c>
      <c r="W56" s="0" t="n">
        <f aca="false">0.000122783*T56^2 + 0.0191158*T56+ 0.564601</f>
        <v>0.423311934537199</v>
      </c>
      <c r="X56" s="0" t="n">
        <f aca="false">U56-W56</f>
        <v>-0.00704996700563298</v>
      </c>
      <c r="Y56" s="634"/>
      <c r="Z56" s="634"/>
      <c r="AA56" s="634"/>
      <c r="AB56" s="634"/>
      <c r="AC56" s="634"/>
      <c r="AD56" s="634"/>
      <c r="AE56" s="634"/>
      <c r="AF56" s="634"/>
      <c r="AG56" s="634"/>
      <c r="AI56" s="0" t="n">
        <f aca="false">AI55+0.2</f>
        <v>283.759999999999</v>
      </c>
      <c r="AJ56" s="0" t="n">
        <f aca="false">AI56-273.16</f>
        <v>10.5999999999994</v>
      </c>
      <c r="AK56" s="0" t="n">
        <f aca="false">AI56*$AR$1*EXP(-$AR$6/8.31/AI56)/(1+EXP($AR$2/8.31*(1-$AR$5/$AR$2/AI56)))</f>
        <v>0.118677410922826</v>
      </c>
      <c r="AL56" s="0" t="n">
        <v>0.825911806604535</v>
      </c>
      <c r="AM56" s="142" t="n">
        <f aca="false">AI56*EXP(-$AR$6/8.31/AI56)/(1+EXP($AR$2/8.31*(1-$AR$5/$AR$2/AI56)))</f>
        <v>2.17553839604304E-014</v>
      </c>
      <c r="AN56" s="0" t="n">
        <f aca="false">IF(AK56=$AL$1,1*AJ56,0)</f>
        <v>0</v>
      </c>
    </row>
    <row r="57" customFormat="false" ht="18" hidden="false" customHeight="false" outlineLevel="0" collapsed="false">
      <c r="B57" s="0" t="n">
        <v>1970</v>
      </c>
      <c r="C57" s="0" t="n">
        <v>324.6</v>
      </c>
      <c r="T57" s="181" t="n">
        <v>-6.82000000000005</v>
      </c>
      <c r="U57" s="0" t="n">
        <v>0.436046511627907</v>
      </c>
      <c r="V57" s="0" t="n">
        <v>2.29333333333333</v>
      </c>
      <c r="W57" s="0" t="n">
        <f aca="false">0.000122783*T57^2 + 0.0191158*T57+ 0.564601</f>
        <v>0.439942176009199</v>
      </c>
      <c r="X57" s="0" t="n">
        <f aca="false">U57-W57</f>
        <v>-0.00389566438129219</v>
      </c>
      <c r="Y57" s="634"/>
      <c r="Z57" s="634"/>
      <c r="AA57" s="634"/>
      <c r="AB57" s="634"/>
      <c r="AC57" s="634"/>
      <c r="AD57" s="634"/>
      <c r="AE57" s="634"/>
      <c r="AF57" s="634"/>
      <c r="AG57" s="634"/>
      <c r="AI57" s="0" t="n">
        <f aca="false">AI56+0.2</f>
        <v>283.959999999999</v>
      </c>
      <c r="AJ57" s="0" t="n">
        <f aca="false">AI57-273.16</f>
        <v>10.7999999999994</v>
      </c>
      <c r="AK57" s="0" t="n">
        <f aca="false">AI57*$AR$1*EXP(-$AR$6/8.31/AI57)/(1+EXP($AR$2/8.31*(1-$AR$5/$AR$2/AI57)))</f>
        <v>0.121905287850483</v>
      </c>
      <c r="AL57" s="0" t="n">
        <v>0.840180661900151</v>
      </c>
      <c r="AM57" s="142" t="n">
        <f aca="false">AI57*EXP(-$AR$6/8.31/AI57)/(1+EXP($AR$2/8.31*(1-$AR$5/$AR$2/AI57)))</f>
        <v>2.23471031544382E-014</v>
      </c>
      <c r="AN57" s="0" t="n">
        <f aca="false">IF(AK57=$AL$1,1*AJ57,0)</f>
        <v>0</v>
      </c>
    </row>
    <row r="58" customFormat="false" ht="18" hidden="false" customHeight="false" outlineLevel="0" collapsed="false">
      <c r="B58" s="0" t="n">
        <v>1971</v>
      </c>
      <c r="C58" s="0" t="n">
        <v>325.6</v>
      </c>
      <c r="T58" s="181" t="n">
        <v>-5.86000000000001</v>
      </c>
      <c r="U58" s="0" t="n">
        <v>0.451263537906137</v>
      </c>
      <c r="V58" s="0" t="n">
        <v>2.216</v>
      </c>
      <c r="W58" s="0" t="n">
        <f aca="false">0.000122783*T58^2 + 0.0191158*T58+ 0.564601</f>
        <v>0.4567987311068</v>
      </c>
      <c r="X58" s="0" t="n">
        <f aca="false">U58-W58</f>
        <v>-0.00553519320066259</v>
      </c>
      <c r="Y58" s="634"/>
      <c r="Z58" s="634"/>
      <c r="AA58" s="634"/>
      <c r="AB58" s="634"/>
      <c r="AC58" s="634"/>
      <c r="AD58" s="634"/>
      <c r="AE58" s="634"/>
      <c r="AF58" s="634"/>
      <c r="AG58" s="634"/>
      <c r="AI58" s="0" t="n">
        <f aca="false">AI57+0.2</f>
        <v>284.159999999999</v>
      </c>
      <c r="AJ58" s="0" t="n">
        <f aca="false">AI58-273.16</f>
        <v>10.9999999999994</v>
      </c>
      <c r="AK58" s="0" t="n">
        <f aca="false">AI58*$AR$1*EXP(-$AR$6/8.31/AI58)/(1+EXP($AR$2/8.31*(1-$AR$5/$AR$2/AI58)))</f>
        <v>0.125216231988438</v>
      </c>
      <c r="AL58" s="0" t="n">
        <v>0.854170634856173</v>
      </c>
      <c r="AM58" s="142" t="n">
        <f aca="false">AI58*EXP(-$AR$6/8.31/AI58)/(1+EXP($AR$2/8.31*(1-$AR$5/$AR$2/AI58)))</f>
        <v>2.29540498381638E-014</v>
      </c>
      <c r="AN58" s="0" t="n">
        <f aca="false">IF(AK58=$AL$1,1*AJ58,0)</f>
        <v>0</v>
      </c>
    </row>
    <row r="59" customFormat="false" ht="18" hidden="false" customHeight="false" outlineLevel="0" collapsed="false">
      <c r="B59" s="0" t="n">
        <v>1972</v>
      </c>
      <c r="C59" s="0" t="n">
        <v>326.8</v>
      </c>
      <c r="T59" s="181" t="n">
        <v>-4.81</v>
      </c>
      <c r="U59" s="0" t="n">
        <v>0.472738733060195</v>
      </c>
      <c r="V59" s="0" t="n">
        <v>2.11533333333333</v>
      </c>
      <c r="W59" s="0" t="n">
        <f aca="false">0.000122783*T59^2 + 0.0191158*T59+ 0.564601</f>
        <v>0.4754947217663</v>
      </c>
      <c r="X59" s="0" t="n">
        <f aca="false">U59-W59</f>
        <v>-0.00275598870610461</v>
      </c>
      <c r="Y59" s="634"/>
      <c r="Z59" s="634"/>
      <c r="AA59" s="634"/>
      <c r="AB59" s="634"/>
      <c r="AC59" s="634"/>
      <c r="AD59" s="634"/>
      <c r="AE59" s="634"/>
      <c r="AF59" s="634"/>
      <c r="AG59" s="634"/>
      <c r="AI59" s="0" t="n">
        <f aca="false">AI58+0.2</f>
        <v>284.359999999999</v>
      </c>
      <c r="AJ59" s="0" t="n">
        <f aca="false">AI59-273.16</f>
        <v>11.1999999999994</v>
      </c>
      <c r="AK59" s="0" t="n">
        <f aca="false">AI59*$AR$1*EXP(-$AR$6/8.31/AI59)/(1+EXP($AR$2/8.31*(1-$AR$5/$AR$2/AI59)))</f>
        <v>0.128612250099195</v>
      </c>
      <c r="AL59" s="0" t="n">
        <v>0.86782249220137</v>
      </c>
      <c r="AM59" s="142" t="n">
        <f aca="false">AI59*EXP(-$AR$6/8.31/AI59)/(1+EXP($AR$2/8.31*(1-$AR$5/$AR$2/AI59)))</f>
        <v>2.35765918818569E-014</v>
      </c>
      <c r="AN59" s="0" t="n">
        <f aca="false">IF(AK59=$AL$1,1*AJ59,0)</f>
        <v>0</v>
      </c>
    </row>
    <row r="60" customFormat="false" ht="18" hidden="false" customHeight="false" outlineLevel="0" collapsed="false">
      <c r="B60" s="0" t="n">
        <v>1973</v>
      </c>
      <c r="C60" s="0" t="n">
        <v>328</v>
      </c>
      <c r="T60" s="181" t="n">
        <v>-3.85000000000002</v>
      </c>
      <c r="U60" s="0" t="n">
        <v>0.486696950032446</v>
      </c>
      <c r="V60" s="0" t="n">
        <v>2.05466666666667</v>
      </c>
      <c r="W60" s="0" t="n">
        <f aca="false">0.000122783*T60^2 + 0.0191158*T60+ 0.564601</f>
        <v>0.4928251210175</v>
      </c>
      <c r="X60" s="0" t="n">
        <f aca="false">U60-W60</f>
        <v>-0.00612817098505308</v>
      </c>
      <c r="Y60" s="634"/>
      <c r="Z60" s="634"/>
      <c r="AA60" s="634"/>
      <c r="AB60" s="634"/>
      <c r="AC60" s="634"/>
      <c r="AD60" s="634"/>
      <c r="AE60" s="634"/>
      <c r="AF60" s="634"/>
      <c r="AG60" s="634"/>
      <c r="AI60" s="0" t="n">
        <f aca="false">AI59+0.2</f>
        <v>284.559999999999</v>
      </c>
      <c r="AJ60" s="0" t="n">
        <f aca="false">AI60-273.16</f>
        <v>11.3999999999994</v>
      </c>
      <c r="AK60" s="0" t="n">
        <f aca="false">AI60*$AR$1*EXP(-$AR$6/8.31/AI60)/(1+EXP($AR$2/8.31*(1-$AR$5/$AR$2/AI60)))</f>
        <v>0.132095393324251</v>
      </c>
      <c r="AL60" s="0" t="n">
        <v>0.881072943222048</v>
      </c>
      <c r="AM60" s="142" t="n">
        <f aca="false">AI60*EXP(-$AR$6/8.31/AI60)/(1+EXP($AR$2/8.31*(1-$AR$5/$AR$2/AI60)))</f>
        <v>2.42151052911152E-014</v>
      </c>
      <c r="AN60" s="0" t="n">
        <f aca="false">IF(AK60=$AL$1,1*AJ60,0)</f>
        <v>0</v>
      </c>
    </row>
    <row r="61" customFormat="false" ht="18" hidden="false" customHeight="false" outlineLevel="0" collapsed="false">
      <c r="B61" s="0" t="n">
        <v>1974</v>
      </c>
      <c r="C61" s="0" t="n">
        <v>329.2</v>
      </c>
      <c r="T61" s="181" t="n">
        <v>-2.89000000000004</v>
      </c>
      <c r="U61" s="0" t="n">
        <v>0.511945392491467</v>
      </c>
      <c r="V61" s="0" t="n">
        <v>1.95333333333333</v>
      </c>
      <c r="W61" s="0" t="n">
        <f aca="false">0.000122783*T61^2 + 0.0191158*T61+ 0.564601</f>
        <v>0.510381833894299</v>
      </c>
      <c r="X61" s="0" t="n">
        <f aca="false">U61-W61</f>
        <v>0.00156355859716828</v>
      </c>
      <c r="Y61" s="634"/>
      <c r="Z61" s="634"/>
      <c r="AA61" s="634"/>
      <c r="AB61" s="634"/>
      <c r="AC61" s="634"/>
      <c r="AD61" s="634"/>
      <c r="AE61" s="634"/>
      <c r="AF61" s="634"/>
      <c r="AG61" s="634"/>
      <c r="AI61" s="0" t="n">
        <f aca="false">AI60+0.2</f>
        <v>284.759999999999</v>
      </c>
      <c r="AJ61" s="0" t="n">
        <f aca="false">AI61-273.16</f>
        <v>11.5999999999993</v>
      </c>
      <c r="AK61" s="0" t="n">
        <f aca="false">AI61*$AR$1*EXP(-$AR$6/8.31/AI61)/(1+EXP($AR$2/8.31*(1-$AR$5/$AR$2/AI61)))</f>
        <v>0.135667757958286</v>
      </c>
      <c r="AL61" s="0" t="n">
        <v>0.893854756772762</v>
      </c>
      <c r="AM61" s="142" t="n">
        <f aca="false">AI61*EXP(-$AR$6/8.31/AI61)/(1+EXP($AR$2/8.31*(1-$AR$5/$AR$2/AI61)))</f>
        <v>2.48699743488049E-014</v>
      </c>
      <c r="AN61" s="0" t="n">
        <f aca="false">IF(AK61=$AL$1,1*AJ61,0)</f>
        <v>0</v>
      </c>
    </row>
    <row r="62" customFormat="false" ht="18" hidden="false" customHeight="false" outlineLevel="0" collapsed="false">
      <c r="B62" s="0" t="n">
        <v>1975</v>
      </c>
      <c r="C62" s="0" t="n">
        <v>330.2</v>
      </c>
      <c r="T62" s="181" t="n">
        <v>-1.93000000000001</v>
      </c>
      <c r="U62" s="0" t="n">
        <v>0.533523030410813</v>
      </c>
      <c r="V62" s="0" t="n">
        <v>1.87433333333333</v>
      </c>
      <c r="W62" s="0" t="n">
        <f aca="false">0.000122783*T62^2 + 0.0191158*T62+ 0.564601</f>
        <v>0.5281648603967</v>
      </c>
      <c r="X62" s="0" t="n">
        <f aca="false">U62-W62</f>
        <v>0.00535817001411287</v>
      </c>
      <c r="Y62" s="634"/>
      <c r="Z62" s="634"/>
      <c r="AA62" s="634"/>
      <c r="AB62" s="634"/>
      <c r="AC62" s="634"/>
      <c r="AD62" s="634"/>
      <c r="AE62" s="634"/>
      <c r="AF62" s="634"/>
      <c r="AG62" s="634"/>
      <c r="AI62" s="0" t="n">
        <f aca="false">AI61+0.2</f>
        <v>284.959999999999</v>
      </c>
      <c r="AJ62" s="0" t="n">
        <f aca="false">AI62-273.16</f>
        <v>11.7999999999993</v>
      </c>
      <c r="AK62" s="0" t="n">
        <f aca="false">AI62*$AR$1*EXP(-$AR$6/8.31/AI62)/(1+EXP($AR$2/8.31*(1-$AR$5/$AR$2/AI62)))</f>
        <v>0.139331486217327</v>
      </c>
      <c r="AL62" s="0" t="n">
        <v>0.906096961972505</v>
      </c>
      <c r="AM62" s="142" t="n">
        <f aca="false">AI62*EXP(-$AR$6/8.31/AI62)/(1+EXP($AR$2/8.31*(1-$AR$5/$AR$2/AI62)))</f>
        <v>2.55415917558779E-014</v>
      </c>
      <c r="AN62" s="0" t="n">
        <f aca="false">IF(AK62=$AL$1,1*AJ62,0)</f>
        <v>0</v>
      </c>
    </row>
    <row r="63" customFormat="false" ht="18" hidden="false" customHeight="false" outlineLevel="0" collapsed="false">
      <c r="B63" s="0" t="n">
        <v>1976</v>
      </c>
      <c r="C63" s="0" t="n">
        <v>331.3</v>
      </c>
      <c r="T63" s="181" t="n">
        <v>-0.870000000000005</v>
      </c>
      <c r="U63" s="0" t="n">
        <v>0.547345374931582</v>
      </c>
      <c r="V63" s="0" t="n">
        <v>1.827</v>
      </c>
      <c r="W63" s="0" t="n">
        <f aca="false">0.000122783*T63^2 + 0.0191158*T63+ 0.564601</f>
        <v>0.5480631884527</v>
      </c>
      <c r="X63" s="0" t="n">
        <f aca="false">U63-W63</f>
        <v>-0.000717813521118105</v>
      </c>
      <c r="Y63" s="634"/>
      <c r="Z63" s="634"/>
      <c r="AA63" s="634"/>
      <c r="AB63" s="634"/>
      <c r="AC63" s="634"/>
      <c r="AD63" s="634"/>
      <c r="AE63" s="634"/>
      <c r="AF63" s="634"/>
      <c r="AG63" s="634"/>
      <c r="AI63" s="0" t="n">
        <f aca="false">AI62+0.2</f>
        <v>285.159999999999</v>
      </c>
      <c r="AJ63" s="0" t="n">
        <f aca="false">AI63-273.16</f>
        <v>11.9999999999993</v>
      </c>
      <c r="AK63" s="0" t="n">
        <f aca="false">AI63*$AR$1*EXP(-$AR$6/8.31/AI63)/(1+EXP($AR$2/8.31*(1-$AR$5/$AR$2/AI63)))</f>
        <v>0.14308876699813</v>
      </c>
      <c r="AL63" s="0" t="n">
        <v>0.917725143960632</v>
      </c>
      <c r="AM63" s="142" t="n">
        <f aca="false">AI63*EXP(-$AR$6/8.31/AI63)/(1+EXP($AR$2/8.31*(1-$AR$5/$AR$2/AI63)))</f>
        <v>2.62303587705767E-014</v>
      </c>
      <c r="AN63" s="0" t="n">
        <f aca="false">IF(AK63=$AL$1,1*AJ63,0)</f>
        <v>0</v>
      </c>
    </row>
    <row r="64" customFormat="false" ht="18" hidden="false" customHeight="false" outlineLevel="0" collapsed="false">
      <c r="B64" s="0" t="n">
        <v>1977</v>
      </c>
      <c r="C64" s="0" t="n">
        <v>332.7</v>
      </c>
      <c r="T64" s="181" t="n">
        <v>-0.0100000000000477</v>
      </c>
      <c r="U64" s="0" t="n">
        <v>0.56041246357319</v>
      </c>
      <c r="V64" s="0" t="n">
        <v>1.7844</v>
      </c>
      <c r="W64" s="0" t="n">
        <f aca="false">0.000122783*T64^2 + 0.0191158*T64+ 0.564601</f>
        <v>0.564409854278299</v>
      </c>
      <c r="X64" s="0" t="n">
        <f aca="false">U64-W64</f>
        <v>-0.00399739070510929</v>
      </c>
      <c r="Y64" s="634"/>
      <c r="Z64" s="634"/>
      <c r="AA64" s="634"/>
      <c r="AB64" s="634"/>
      <c r="AC64" s="634"/>
      <c r="AD64" s="634"/>
      <c r="AE64" s="634"/>
      <c r="AF64" s="634"/>
      <c r="AG64" s="634"/>
      <c r="AI64" s="0" t="n">
        <f aca="false">AI63+0.2</f>
        <v>285.359999999999</v>
      </c>
      <c r="AJ64" s="0" t="n">
        <f aca="false">AI64-273.16</f>
        <v>12.1999999999993</v>
      </c>
      <c r="AK64" s="0" t="n">
        <f aca="false">AI64*$AR$1*EXP(-$AR$6/8.31/AI64)/(1+EXP($AR$2/8.31*(1-$AR$5/$AR$2/AI64)))</f>
        <v>0.146941836625613</v>
      </c>
      <c r="AL64" s="0" t="n">
        <v>0.928661845522208</v>
      </c>
      <c r="AM64" s="142" t="n">
        <f aca="false">AI64*EXP(-$AR$6/8.31/AI64)/(1+EXP($AR$2/8.31*(1-$AR$5/$AR$2/AI64)))</f>
        <v>2.69366853454519E-014</v>
      </c>
      <c r="AN64" s="0" t="n">
        <f aca="false">IF(AK64=$AL$1,1*AJ64,0)</f>
        <v>0</v>
      </c>
    </row>
    <row r="65" customFormat="false" ht="18" hidden="false" customHeight="false" outlineLevel="0" collapsed="false">
      <c r="B65" s="0" t="n">
        <v>1978</v>
      </c>
      <c r="C65" s="0" t="n">
        <v>334.3</v>
      </c>
      <c r="T65" s="181" t="n">
        <v>0</v>
      </c>
      <c r="U65" s="0" t="n">
        <v>0.543419193565917</v>
      </c>
      <c r="V65" s="0" t="n">
        <v>1.8402</v>
      </c>
      <c r="W65" s="0" t="n">
        <f aca="false">0.000122783*T65^2 + 0.0191158*T65+ 0.564601</f>
        <v>0.564601</v>
      </c>
      <c r="X65" s="0" t="n">
        <f aca="false">U65-W65</f>
        <v>-0.0211818064340832</v>
      </c>
      <c r="Y65" s="634"/>
      <c r="Z65" s="634"/>
      <c r="AA65" s="634"/>
      <c r="AB65" s="634"/>
      <c r="AC65" s="634"/>
      <c r="AD65" s="634"/>
      <c r="AE65" s="634"/>
      <c r="AF65" s="634"/>
      <c r="AG65" s="634"/>
      <c r="AI65" s="0" t="n">
        <f aca="false">AI64+0.2</f>
        <v>285.559999999999</v>
      </c>
      <c r="AJ65" s="0" t="n">
        <f aca="false">AI65-273.16</f>
        <v>12.3999999999993</v>
      </c>
      <c r="AK65" s="0" t="n">
        <f aca="false">AI65*$AR$1*EXP(-$AR$6/8.31/AI65)/(1+EXP($AR$2/8.31*(1-$AR$5/$AR$2/AI65)))</f>
        <v>0.150892979584806</v>
      </c>
      <c r="AL65" s="0" t="n">
        <v>0.938827084227909</v>
      </c>
      <c r="AM65" s="142" t="n">
        <f aca="false">AI65*EXP(-$AR$6/8.31/AI65)/(1+EXP($AR$2/8.31*(1-$AR$5/$AR$2/AI65)))</f>
        <v>2.76609902615381E-014</v>
      </c>
      <c r="AN65" s="0" t="n">
        <f aca="false">IF(AK65=$AL$1,1*AJ65,0)</f>
        <v>0</v>
      </c>
    </row>
    <row r="66" customFormat="false" ht="18" hidden="false" customHeight="false" outlineLevel="0" collapsed="false">
      <c r="B66" s="0" t="n">
        <v>1979</v>
      </c>
      <c r="C66" s="0" t="n">
        <v>336.2</v>
      </c>
      <c r="T66" s="181" t="n">
        <v>0.089999999999975</v>
      </c>
      <c r="U66" s="0" t="n">
        <v>0.559492726594554</v>
      </c>
      <c r="V66" s="0" t="n">
        <v>1.78733333333333</v>
      </c>
      <c r="W66" s="0" t="n">
        <f aca="false">0.000122783*T66^2 + 0.0191158*T66+ 0.564601</f>
        <v>0.5663224165423</v>
      </c>
      <c r="X66" s="0" t="n">
        <f aca="false">U66-W66</f>
        <v>-0.00682968994774535</v>
      </c>
      <c r="Y66" s="634"/>
      <c r="Z66" s="634"/>
      <c r="AA66" s="634"/>
      <c r="AB66" s="634"/>
      <c r="AC66" s="634"/>
      <c r="AD66" s="634"/>
      <c r="AE66" s="634"/>
      <c r="AF66" s="634"/>
      <c r="AG66" s="634"/>
      <c r="AI66" s="0" t="n">
        <f aca="false">AI65+0.2</f>
        <v>285.759999999999</v>
      </c>
      <c r="AJ66" s="0" t="n">
        <f aca="false">AI66-273.16</f>
        <v>12.5999999999993</v>
      </c>
      <c r="AK66" s="0" t="n">
        <f aca="false">AI66*$AR$1*EXP(-$AR$6/8.31/AI66)/(1+EXP($AR$2/8.31*(1-$AR$5/$AR$2/AI66)))</f>
        <v>0.154944529233249</v>
      </c>
      <c r="AL66" s="0" t="n">
        <v>0.948138992866232</v>
      </c>
      <c r="AM66" s="142" t="n">
        <f aca="false">AI66*EXP(-$AR$6/8.31/AI66)/(1+EXP($AR$2/8.31*(1-$AR$5/$AR$2/AI66)))</f>
        <v>2.8403701258949E-014</v>
      </c>
      <c r="AN66" s="0" t="n">
        <f aca="false">IF(AK66=$AL$1,1*AJ66,0)</f>
        <v>0</v>
      </c>
    </row>
    <row r="67" customFormat="false" ht="18" hidden="false" customHeight="false" outlineLevel="0" collapsed="false">
      <c r="B67" s="0" t="n">
        <v>1980</v>
      </c>
      <c r="C67" s="0" t="n">
        <v>338</v>
      </c>
      <c r="T67" s="181" t="n">
        <v>1.04999999999995</v>
      </c>
      <c r="U67" s="0" t="n">
        <v>0.581846392552366</v>
      </c>
      <c r="V67" s="0" t="n">
        <v>1.71866666666667</v>
      </c>
      <c r="W67" s="0" t="n">
        <f aca="false">0.000122783*T67^2 + 0.0191158*T67+ 0.564601</f>
        <v>0.584807958257499</v>
      </c>
      <c r="X67" s="0" t="n">
        <f aca="false">U67-W67</f>
        <v>-0.00296156570513295</v>
      </c>
      <c r="Y67" s="634"/>
      <c r="Z67" s="634"/>
      <c r="AA67" s="634"/>
      <c r="AB67" s="634"/>
      <c r="AC67" s="634"/>
      <c r="AD67" s="634"/>
      <c r="AE67" s="634"/>
      <c r="AF67" s="634"/>
      <c r="AG67" s="634"/>
      <c r="AI67" s="0" t="n">
        <f aca="false">AI66+0.2</f>
        <v>285.959999999999</v>
      </c>
      <c r="AJ67" s="0" t="n">
        <f aca="false">AI67-273.16</f>
        <v>12.7999999999993</v>
      </c>
      <c r="AK67" s="0" t="n">
        <f aca="false">AI67*$AR$1*EXP(-$AR$6/8.31/AI67)/(1+EXP($AR$2/8.31*(1-$AR$5/$AR$2/AI67)))</f>
        <v>0.159098868489318</v>
      </c>
      <c r="AL67" s="0" t="n">
        <v>0.956514588290165</v>
      </c>
      <c r="AM67" s="142" t="n">
        <f aca="false">AI67*EXP(-$AR$6/8.31/AI67)/(1+EXP($AR$2/8.31*(1-$AR$5/$AR$2/AI67)))</f>
        <v>2.91652551630566E-014</v>
      </c>
      <c r="AN67" s="0" t="n">
        <f aca="false">IF(AK67=$AL$1,1*AJ67,0)</f>
        <v>0</v>
      </c>
    </row>
    <row r="68" customFormat="false" ht="18" hidden="false" customHeight="false" outlineLevel="0" collapsed="false">
      <c r="B68" s="0" t="n">
        <v>1981</v>
      </c>
      <c r="C68" s="0" t="n">
        <v>339.3</v>
      </c>
      <c r="T68" s="181" t="n">
        <v>2.00999999999999</v>
      </c>
      <c r="U68" s="0" t="n">
        <v>0.600480384307446</v>
      </c>
      <c r="V68" s="0" t="n">
        <v>1.66533333333333</v>
      </c>
      <c r="W68" s="0" t="n">
        <f aca="false">0.000122783*T68^2 + 0.0191158*T68+ 0.564601</f>
        <v>0.6035198135983</v>
      </c>
      <c r="X68" s="0" t="n">
        <f aca="false">U68-W68</f>
        <v>-0.00303942929085399</v>
      </c>
      <c r="Y68" s="634"/>
      <c r="Z68" s="634"/>
      <c r="AA68" s="634"/>
      <c r="AB68" s="634"/>
      <c r="AC68" s="634"/>
      <c r="AD68" s="634"/>
      <c r="AE68" s="634"/>
      <c r="AF68" s="634"/>
      <c r="AG68" s="634"/>
      <c r="AI68" s="0" t="n">
        <f aca="false">AI67+0.2</f>
        <v>286.159999999999</v>
      </c>
      <c r="AJ68" s="0" t="n">
        <f aca="false">AI68-273.16</f>
        <v>12.9999999999993</v>
      </c>
      <c r="AK68" s="0" t="n">
        <f aca="false">AI68*$AR$1*EXP(-$AR$6/8.31/AI68)/(1+EXP($AR$2/8.31*(1-$AR$5/$AR$2/AI68)))</f>
        <v>0.163358430491278</v>
      </c>
      <c r="AL68" s="0" t="n">
        <v>0.963870670299751</v>
      </c>
      <c r="AM68" s="142" t="n">
        <f aca="false">AI68*EXP(-$AR$6/8.31/AI68)/(1+EXP($AR$2/8.31*(1-$AR$5/$AR$2/AI68)))</f>
        <v>2.9946098005307E-014</v>
      </c>
      <c r="AN68" s="0" t="n">
        <f aca="false">IF(AK68=$AL$1,1*AJ68,0)</f>
        <v>0</v>
      </c>
    </row>
    <row r="69" customFormat="false" ht="18" hidden="false" customHeight="false" outlineLevel="0" collapsed="false">
      <c r="B69" s="0" t="n">
        <v>1982</v>
      </c>
      <c r="C69" s="0" t="n">
        <v>340.5</v>
      </c>
      <c r="T69" s="181" t="n">
        <v>2.96999999999997</v>
      </c>
      <c r="U69" s="0" t="n">
        <v>0.624609618988132</v>
      </c>
      <c r="V69" s="0" t="n">
        <v>1.601</v>
      </c>
      <c r="W69" s="0" t="n">
        <f aca="false">0.000122783*T69^2 + 0.0191158*T69+ 0.564601</f>
        <v>0.622457982564699</v>
      </c>
      <c r="X69" s="0" t="n">
        <f aca="false">U69-W69</f>
        <v>0.00215163642343297</v>
      </c>
      <c r="Y69" s="634"/>
      <c r="Z69" s="634"/>
      <c r="AA69" s="634"/>
      <c r="AB69" s="634"/>
      <c r="AC69" s="634"/>
      <c r="AD69" s="634"/>
      <c r="AE69" s="634"/>
      <c r="AF69" s="634"/>
      <c r="AG69" s="634"/>
      <c r="AI69" s="0" t="n">
        <f aca="false">AI68+0.2</f>
        <v>286.359999999999</v>
      </c>
      <c r="AJ69" s="0" t="n">
        <f aca="false">AI69-273.16</f>
        <v>13.1999999999993</v>
      </c>
      <c r="AK69" s="0" t="n">
        <f aca="false">AI69*$AR$1*EXP(-$AR$6/8.31/AI69)/(1+EXP($AR$2/8.31*(1-$AR$5/$AR$2/AI69)))</f>
        <v>0.1677256992213</v>
      </c>
      <c r="AL69" s="0" t="n">
        <v>0.970124847823571</v>
      </c>
      <c r="AM69" s="142" t="n">
        <f aca="false">AI69*EXP(-$AR$6/8.31/AI69)/(1+EXP($AR$2/8.31*(1-$AR$5/$AR$2/AI69)))</f>
        <v>3.07466851376114E-014</v>
      </c>
      <c r="AN69" s="0" t="n">
        <f aca="false">IF(AK69=$AL$1,1*AJ69,0)</f>
        <v>0</v>
      </c>
    </row>
    <row r="70" customFormat="false" ht="18" hidden="false" customHeight="false" outlineLevel="0" collapsed="false">
      <c r="B70" s="0" t="n">
        <v>1983</v>
      </c>
      <c r="C70" s="0" t="n">
        <v>342.1</v>
      </c>
      <c r="T70" s="181" t="n">
        <v>4.01999999999998</v>
      </c>
      <c r="U70" s="0" t="n">
        <v>0.64419153961778</v>
      </c>
      <c r="V70" s="0" t="n">
        <v>1.55233333333333</v>
      </c>
      <c r="W70" s="0" t="n">
        <f aca="false">0.000122783*T70^2 + 0.0191158*T70+ 0.564601</f>
        <v>0.6434307383932</v>
      </c>
      <c r="X70" s="0" t="n">
        <f aca="false">U70-W70</f>
        <v>0.000760801224579999</v>
      </c>
      <c r="Y70" s="634"/>
      <c r="Z70" s="634"/>
      <c r="AA70" s="634"/>
      <c r="AB70" s="634"/>
      <c r="AC70" s="634"/>
      <c r="AD70" s="634"/>
      <c r="AE70" s="634"/>
      <c r="AF70" s="634"/>
      <c r="AG70" s="634"/>
      <c r="AI70" s="0" t="n">
        <f aca="false">AI69+0.2</f>
        <v>286.559999999999</v>
      </c>
      <c r="AJ70" s="0" t="n">
        <f aca="false">AI70-273.16</f>
        <v>13.3999999999992</v>
      </c>
      <c r="AK70" s="0" t="n">
        <f aca="false">AI70*$AR$1*EXP(-$AR$6/8.31/AI70)/(1+EXP($AR$2/8.31*(1-$AR$5/$AR$2/AI70)))</f>
        <v>0.172203210087841</v>
      </c>
      <c r="AL70" s="0" t="n">
        <v>0.975196684490498</v>
      </c>
      <c r="AM70" s="142" t="n">
        <f aca="false">AI70*EXP(-$AR$6/8.31/AI70)/(1+EXP($AR$2/8.31*(1-$AR$5/$AR$2/AI70)))</f>
        <v>3.15674813391054E-014</v>
      </c>
      <c r="AN70" s="0" t="n">
        <f aca="false">IF(AK70=$AL$1,1*AJ70,0)</f>
        <v>0</v>
      </c>
    </row>
    <row r="71" customFormat="false" ht="18" hidden="false" customHeight="false" outlineLevel="0" collapsed="false">
      <c r="B71" s="0" t="n">
        <v>1984</v>
      </c>
      <c r="C71" s="0" t="n">
        <v>343.7</v>
      </c>
      <c r="T71" s="181" t="n">
        <v>4.97999999999996</v>
      </c>
      <c r="U71" s="0" t="n">
        <v>0.668747213553277</v>
      </c>
      <c r="V71" s="0" t="n">
        <v>1.49533333333333</v>
      </c>
      <c r="W71" s="0" t="n">
        <f aca="false">0.000122783*T71^2 + 0.0191158*T71+ 0.564601</f>
        <v>0.662842751513199</v>
      </c>
      <c r="X71" s="0" t="n">
        <f aca="false">U71-W71</f>
        <v>0.00590446204007766</v>
      </c>
      <c r="Y71" s="634"/>
      <c r="Z71" s="634"/>
      <c r="AA71" s="634"/>
      <c r="AB71" s="634"/>
      <c r="AC71" s="634"/>
      <c r="AD71" s="634"/>
      <c r="AE71" s="634"/>
      <c r="AF71" s="634"/>
      <c r="AG71" s="634"/>
      <c r="AI71" s="0" t="n">
        <f aca="false">AI70+0.2</f>
        <v>286.759999999999</v>
      </c>
      <c r="AJ71" s="0" t="n">
        <f aca="false">AI71-273.16</f>
        <v>13.5999999999992</v>
      </c>
      <c r="AK71" s="0" t="n">
        <f aca="false">AI71*$AR$1*EXP(-$AR$6/8.31/AI71)/(1+EXP($AR$2/8.31*(1-$AR$5/$AR$2/AI71)))</f>
        <v>0.176793550459035</v>
      </c>
      <c r="AL71" s="0" t="n">
        <v>0.979008949815288</v>
      </c>
      <c r="AM71" s="142" t="n">
        <f aca="false">AI71*EXP(-$AR$6/8.31/AI71)/(1+EXP($AR$2/8.31*(1-$AR$5/$AR$2/AI71)))</f>
        <v>3.24089609139281E-014</v>
      </c>
      <c r="AN71" s="0" t="n">
        <f aca="false">IF(AK71=$AL$1,1*AJ71,0)</f>
        <v>0</v>
      </c>
    </row>
    <row r="72" customFormat="false" ht="18" hidden="false" customHeight="false" outlineLevel="0" collapsed="false">
      <c r="B72" s="0" t="n">
        <v>1985</v>
      </c>
      <c r="C72" s="0" t="n">
        <v>345.2</v>
      </c>
      <c r="T72" s="181" t="n">
        <v>5.98999999999995</v>
      </c>
      <c r="U72" s="0" t="n">
        <v>0.684931506849315</v>
      </c>
      <c r="V72" s="0" t="n">
        <v>1.46</v>
      </c>
      <c r="W72" s="0" t="n">
        <f aca="false">0.000122783*T72^2 + 0.0191158*T72+ 0.564601</f>
        <v>0.683510108318299</v>
      </c>
      <c r="X72" s="0" t="n">
        <f aca="false">U72-W72</f>
        <v>0.00142139853101597</v>
      </c>
      <c r="Y72" s="634"/>
      <c r="Z72" s="634"/>
      <c r="AA72" s="634"/>
      <c r="AB72" s="634"/>
      <c r="AC72" s="634"/>
      <c r="AD72" s="634"/>
      <c r="AE72" s="634"/>
      <c r="AF72" s="634"/>
      <c r="AG72" s="634"/>
      <c r="AI72" s="0" t="n">
        <f aca="false">AI71+0.2</f>
        <v>286.959999999999</v>
      </c>
      <c r="AJ72" s="0" t="n">
        <f aca="false">AI72-273.16</f>
        <v>13.7999999999992</v>
      </c>
      <c r="AK72" s="0" t="n">
        <f aca="false">AI72*$AR$1*EXP(-$AR$6/8.31/AI72)/(1+EXP($AR$2/8.31*(1-$AR$5/$AR$2/AI72)))</f>
        <v>0.181499360138773</v>
      </c>
      <c r="AL72" s="0" t="n">
        <v>0.981488955855979</v>
      </c>
      <c r="AM72" s="142" t="n">
        <f aca="false">AI72*EXP(-$AR$6/8.31/AI72)/(1+EXP($AR$2/8.31*(1-$AR$5/$AR$2/AI72)))</f>
        <v>3.32716077784942E-014</v>
      </c>
      <c r="AN72" s="0" t="n">
        <f aca="false">IF(AK72=$AL$1,1*AJ72,0)</f>
        <v>0</v>
      </c>
    </row>
    <row r="73" customFormat="false" ht="18" hidden="false" customHeight="false" outlineLevel="0" collapsed="false">
      <c r="B73" s="0" t="n">
        <v>1986</v>
      </c>
      <c r="C73" s="0" t="n">
        <v>346.6</v>
      </c>
      <c r="T73" s="181" t="n">
        <v>6.98999999999995</v>
      </c>
      <c r="U73" s="0" t="n">
        <v>0.710227272727273</v>
      </c>
      <c r="V73" s="0" t="n">
        <v>1.408</v>
      </c>
      <c r="W73" s="0" t="n">
        <f aca="false">0.000122783*T73^2 + 0.0191158*T73+ 0.564601</f>
        <v>0.704219631658299</v>
      </c>
      <c r="X73" s="0" t="n">
        <f aca="false">U73-W73</f>
        <v>0.00600764106897367</v>
      </c>
      <c r="Y73" s="634"/>
      <c r="Z73" s="634"/>
      <c r="AA73" s="634"/>
      <c r="AB73" s="634"/>
      <c r="AC73" s="634"/>
      <c r="AD73" s="634"/>
      <c r="AE73" s="634"/>
      <c r="AF73" s="634"/>
      <c r="AG73" s="634"/>
      <c r="AI73" s="0" t="n">
        <f aca="false">AI72+0.2</f>
        <v>287.159999999999</v>
      </c>
      <c r="AJ73" s="0" t="n">
        <f aca="false">AI73-273.16</f>
        <v>13.9999999999992</v>
      </c>
      <c r="AK73" s="0" t="n">
        <f aca="false">AI73*$AR$1*EXP(-$AR$6/8.31/AI73)/(1+EXP($AR$2/8.31*(1-$AR$5/$AR$2/AI73)))</f>
        <v>0.186323331776116</v>
      </c>
      <c r="AL73" s="0" t="n">
        <v>0.982569952623386</v>
      </c>
      <c r="AM73" s="142" t="n">
        <f aca="false">AI73*EXP(-$AR$6/8.31/AI73)/(1+EXP($AR$2/8.31*(1-$AR$5/$AR$2/AI73)))</f>
        <v>3.41559155365466E-014</v>
      </c>
      <c r="AN73" s="0" t="n">
        <f aca="false">IF(AK73=$AL$1,1*AJ73,0)</f>
        <v>0</v>
      </c>
    </row>
    <row r="74" customFormat="false" ht="18" hidden="false" customHeight="false" outlineLevel="0" collapsed="false">
      <c r="B74" s="0" t="n">
        <v>1987</v>
      </c>
      <c r="C74" s="0" t="n">
        <v>348.4</v>
      </c>
      <c r="T74" s="181" t="n">
        <v>7.98999999999995</v>
      </c>
      <c r="U74" s="0" t="n">
        <v>0.713945740123751</v>
      </c>
      <c r="V74" s="0" t="n">
        <v>1.40066666666667</v>
      </c>
      <c r="W74" s="0" t="n">
        <f aca="false">0.000122783*T74^2 + 0.0191158*T74+ 0.564601</f>
        <v>0.725174720998299</v>
      </c>
      <c r="X74" s="0" t="n">
        <f aca="false">U74-W74</f>
        <v>-0.0112289808745485</v>
      </c>
      <c r="Y74" s="634"/>
      <c r="Z74" s="634"/>
      <c r="AA74" s="634"/>
      <c r="AB74" s="634"/>
      <c r="AC74" s="634"/>
      <c r="AD74" s="634"/>
      <c r="AE74" s="634"/>
      <c r="AF74" s="634"/>
      <c r="AG74" s="634"/>
      <c r="AI74" s="0" t="n">
        <f aca="false">AI73+0.2</f>
        <v>287.359999999999</v>
      </c>
      <c r="AJ74" s="0" t="n">
        <f aca="false">AI74-273.16</f>
        <v>14.1999999999992</v>
      </c>
      <c r="AK74" s="0" t="n">
        <f aca="false">AI74*$AR$1*EXP(-$AR$6/8.31/AI74)/(1+EXP($AR$2/8.31*(1-$AR$5/$AR$2/AI74)))</f>
        <v>0.191268211197556</v>
      </c>
      <c r="AL74" s="0" t="n">
        <v>0.982192549101525</v>
      </c>
      <c r="AM74" s="142" t="n">
        <f aca="false">AI74*EXP(-$AR$6/8.31/AI74)/(1+EXP($AR$2/8.31*(1-$AR$5/$AR$2/AI74)))</f>
        <v>3.50623875400639E-014</v>
      </c>
      <c r="AN74" s="0" t="n">
        <f aca="false">IF(AK74=$AL$1,1*AJ74,0)</f>
        <v>0</v>
      </c>
    </row>
    <row r="75" customFormat="false" ht="18" hidden="false" customHeight="false" outlineLevel="0" collapsed="false">
      <c r="B75" s="0" t="n">
        <v>1988</v>
      </c>
      <c r="C75" s="0" t="n">
        <v>350.5</v>
      </c>
      <c r="T75" s="181" t="n">
        <v>8.98999999999995</v>
      </c>
      <c r="U75" s="0" t="n">
        <v>0.749437921558831</v>
      </c>
      <c r="V75" s="0" t="n">
        <v>1.33433333333333</v>
      </c>
      <c r="W75" s="0" t="n">
        <f aca="false">0.000122783*T75^2 + 0.0191158*T75+ 0.564601</f>
        <v>0.746375376338299</v>
      </c>
      <c r="X75" s="0" t="n">
        <f aca="false">U75-W75</f>
        <v>0.00306254522053184</v>
      </c>
      <c r="Y75" s="634"/>
      <c r="Z75" s="634"/>
      <c r="AA75" s="634"/>
      <c r="AB75" s="634"/>
      <c r="AC75" s="634"/>
      <c r="AD75" s="634"/>
      <c r="AE75" s="634"/>
      <c r="AF75" s="634"/>
      <c r="AG75" s="634"/>
      <c r="AI75" s="0" t="n">
        <f aca="false">AI74+0.2</f>
        <v>287.559999999999</v>
      </c>
      <c r="AJ75" s="0" t="n">
        <f aca="false">AI75-273.16</f>
        <v>14.3999999999992</v>
      </c>
      <c r="AK75" s="0" t="n">
        <f aca="false">AI75*$AR$1*EXP(-$AR$6/8.31/AI75)/(1+EXP($AR$2/8.31*(1-$AR$5/$AR$2/AI75)))</f>
        <v>0.196336797650301</v>
      </c>
      <c r="AL75" s="0" t="n">
        <v>0.980306120912123</v>
      </c>
      <c r="AM75" s="142" t="n">
        <f aca="false">AI75*EXP(-$AR$6/8.31/AI75)/(1+EXP($AR$2/8.31*(1-$AR$5/$AR$2/AI75)))</f>
        <v>3.59915369338589E-014</v>
      </c>
      <c r="AN75" s="0" t="n">
        <f aca="false">IF(AK75=$AL$1,1*AJ75,0)</f>
        <v>0</v>
      </c>
    </row>
    <row r="76" customFormat="false" ht="18" hidden="false" customHeight="false" outlineLevel="0" collapsed="false">
      <c r="B76" s="0" t="n">
        <v>1989</v>
      </c>
      <c r="C76" s="0" t="n">
        <v>352.2</v>
      </c>
      <c r="T76" s="181" t="n">
        <v>9.94</v>
      </c>
      <c r="U76" s="0" t="n">
        <v>0.758380100106173</v>
      </c>
      <c r="V76" s="0" t="n">
        <v>1.3186</v>
      </c>
      <c r="W76" s="0" t="n">
        <f aca="false">0.000122783*T76^2 + 0.0191158*T76+ 0.564601</f>
        <v>0.7667434544188</v>
      </c>
      <c r="X76" s="0" t="n">
        <f aca="false">U76-W76</f>
        <v>-0.00836335431262691</v>
      </c>
      <c r="Y76" s="634"/>
      <c r="Z76" s="634"/>
      <c r="AA76" s="634"/>
      <c r="AB76" s="634"/>
      <c r="AC76" s="634"/>
      <c r="AD76" s="634"/>
      <c r="AE76" s="634"/>
      <c r="AF76" s="634"/>
      <c r="AG76" s="634"/>
      <c r="AI76" s="0" t="n">
        <f aca="false">AI75+0.2</f>
        <v>287.759999999999</v>
      </c>
      <c r="AJ76" s="0" t="n">
        <f aca="false">AI76-273.16</f>
        <v>14.5999999999992</v>
      </c>
      <c r="AK76" s="0" t="n">
        <f aca="false">AI76*$AR$1*EXP(-$AR$6/8.31/AI76)/(1+EXP($AR$2/8.31*(1-$AR$5/$AR$2/AI76)))</f>
        <v>0.201531943943358</v>
      </c>
      <c r="AL76" s="0" t="n">
        <v>0.976870160910606</v>
      </c>
      <c r="AM76" s="142" t="n">
        <f aca="false">AI76*EXP(-$AR$6/8.31/AI76)/(1+EXP($AR$2/8.31*(1-$AR$5/$AR$2/AI76)))</f>
        <v>3.69438866814411E-014</v>
      </c>
      <c r="AN76" s="0" t="n">
        <f aca="false">IF(AK76=$AL$1,1*AJ76,0)</f>
        <v>0</v>
      </c>
    </row>
    <row r="77" customFormat="false" ht="18" hidden="false" customHeight="false" outlineLevel="0" collapsed="false">
      <c r="B77" s="0" t="n">
        <v>1990</v>
      </c>
      <c r="C77" s="0" t="n">
        <v>353.6</v>
      </c>
      <c r="T77" s="181" t="n">
        <v>9.98999999999995</v>
      </c>
      <c r="U77" s="0" t="n">
        <v>0.77724234416291</v>
      </c>
      <c r="V77" s="0" t="n">
        <v>1.2866</v>
      </c>
      <c r="W77" s="0" t="n">
        <f aca="false">0.000122783*T77^2 + 0.0191158*T77+ 0.564601</f>
        <v>0.767821597678299</v>
      </c>
      <c r="X77" s="0" t="n">
        <f aca="false">U77-W77</f>
        <v>0.00942074648461111</v>
      </c>
      <c r="Y77" s="634"/>
      <c r="Z77" s="634"/>
      <c r="AA77" s="634"/>
      <c r="AB77" s="634"/>
      <c r="AC77" s="634"/>
      <c r="AD77" s="634"/>
      <c r="AE77" s="634"/>
      <c r="AF77" s="634"/>
      <c r="AG77" s="634"/>
      <c r="AI77" s="0" t="n">
        <f aca="false">AI76+0.2</f>
        <v>287.959999999999</v>
      </c>
      <c r="AJ77" s="0" t="n">
        <f aca="false">AI77-273.16</f>
        <v>14.7999999999992</v>
      </c>
      <c r="AK77" s="0" t="n">
        <f aca="false">AI77*$AR$1*EXP(-$AR$6/8.31/AI77)/(1+EXP($AR$2/8.31*(1-$AR$5/$AR$2/AI77)))</f>
        <v>0.206856556471548</v>
      </c>
      <c r="AL77" s="0" t="n">
        <v>0.971855525828285</v>
      </c>
      <c r="AM77" s="142" t="n">
        <f aca="false">AI77*EXP(-$AR$6/8.31/AI77)/(1+EXP($AR$2/8.31*(1-$AR$5/$AR$2/AI77)))</f>
        <v>3.79199695694189E-014</v>
      </c>
      <c r="AN77" s="0" t="n">
        <f aca="false">IF(AK77=$AL$1,1*AJ77,0)</f>
        <v>0</v>
      </c>
    </row>
    <row r="78" customFormat="false" ht="18" hidden="false" customHeight="false" outlineLevel="0" collapsed="false">
      <c r="B78" s="0" t="n">
        <v>1991</v>
      </c>
      <c r="C78" s="0" t="n">
        <v>354.8</v>
      </c>
      <c r="T78" s="181" t="n">
        <v>9.98999999999995</v>
      </c>
      <c r="U78" s="0" t="n">
        <v>0.763747454175153</v>
      </c>
      <c r="V78" s="0" t="n">
        <v>1.30933333333333</v>
      </c>
      <c r="W78" s="0" t="n">
        <f aca="false">0.000122783*T78^2 + 0.0191158*T78+ 0.564601</f>
        <v>0.767821597678299</v>
      </c>
      <c r="X78" s="0" t="n">
        <f aca="false">U78-W78</f>
        <v>-0.00407414350314617</v>
      </c>
      <c r="Y78" s="634"/>
      <c r="Z78" s="634"/>
      <c r="AA78" s="634"/>
      <c r="AB78" s="634"/>
      <c r="AC78" s="634"/>
      <c r="AD78" s="634"/>
      <c r="AE78" s="634"/>
      <c r="AF78" s="634"/>
      <c r="AG78" s="634"/>
      <c r="AI78" s="0" t="n">
        <f aca="false">AI77+0.2</f>
        <v>288.159999999999</v>
      </c>
      <c r="AJ78" s="0" t="n">
        <f aca="false">AI78-273.16</f>
        <v>14.9999999999991</v>
      </c>
      <c r="AK78" s="0" t="n">
        <f aca="false">AI78*$AR$1*EXP(-$AR$6/8.31/AI78)/(1+EXP($AR$2/8.31*(1-$AR$5/$AR$2/AI78)))</f>
        <v>0.212313595105787</v>
      </c>
      <c r="AL78" s="0" t="n">
        <v>0.965245530933426</v>
      </c>
      <c r="AM78" s="142" t="n">
        <f aca="false">AI78*EXP(-$AR$6/8.31/AI78)/(1+EXP($AR$2/8.31*(1-$AR$5/$AR$2/AI78)))</f>
        <v>3.89203281873869E-014</v>
      </c>
      <c r="AN78" s="0" t="n">
        <f aca="false">IF(AK78=$AL$1,1*AJ78,0)</f>
        <v>0</v>
      </c>
    </row>
    <row r="79" customFormat="false" ht="18" hidden="false" customHeight="false" outlineLevel="0" collapsed="false">
      <c r="B79" s="0" t="n">
        <v>1992</v>
      </c>
      <c r="C79" s="0" t="n">
        <v>355.7</v>
      </c>
      <c r="T79" s="181" t="n">
        <v>9.98999999999995</v>
      </c>
      <c r="U79" s="0" t="n">
        <v>0.753012048192771</v>
      </c>
      <c r="V79" s="0" t="n">
        <v>1.328</v>
      </c>
      <c r="W79" s="0" t="n">
        <f aca="false">0.000122783*T79^2 + 0.0191158*T79+ 0.564601</f>
        <v>0.767821597678299</v>
      </c>
      <c r="X79" s="0" t="n">
        <f aca="false">U79-W79</f>
        <v>-0.0148095494855279</v>
      </c>
      <c r="Y79" s="634"/>
      <c r="Z79" s="634"/>
      <c r="AA79" s="634"/>
      <c r="AB79" s="634"/>
      <c r="AC79" s="634"/>
      <c r="AD79" s="634"/>
      <c r="AE79" s="634"/>
      <c r="AF79" s="634"/>
      <c r="AG79" s="634"/>
      <c r="AI79" s="0" t="n">
        <f aca="false">AI78+0.2</f>
        <v>288.359999999999</v>
      </c>
      <c r="AJ79" s="0" t="n">
        <f aca="false">AI79-273.16</f>
        <v>15.1999999999991</v>
      </c>
      <c r="AK79" s="0" t="n">
        <f aca="false">AI79*$AR$1*EXP(-$AR$6/8.31/AI79)/(1+EXP($AR$2/8.31*(1-$AR$5/$AR$2/AI79)))</f>
        <v>0.217906072930987</v>
      </c>
      <c r="AL79" s="0" t="n">
        <v>0.957036845941965</v>
      </c>
      <c r="AM79" s="142" t="n">
        <f aca="false">AI79*EXP(-$AR$6/8.31/AI79)/(1+EXP($AR$2/8.31*(1-$AR$5/$AR$2/AI79)))</f>
        <v>3.99455148798784E-014</v>
      </c>
      <c r="AN79" s="0" t="n">
        <f aca="false">IF(AK79=$AL$1,1*AJ79,0)</f>
        <v>0</v>
      </c>
    </row>
    <row r="80" customFormat="false" ht="18" hidden="false" customHeight="false" outlineLevel="0" collapsed="false">
      <c r="B80" s="0" t="n">
        <v>1993</v>
      </c>
      <c r="C80" s="0" t="n">
        <v>356.6</v>
      </c>
      <c r="T80" s="181" t="n">
        <v>10.99</v>
      </c>
      <c r="U80" s="0" t="n">
        <v>0.78781512605042</v>
      </c>
      <c r="V80" s="0" t="n">
        <v>1.26933333333333</v>
      </c>
      <c r="W80" s="0" t="n">
        <f aca="false">0.000122783*T80^2 + 0.0191158*T80+ 0.564601</f>
        <v>0.789513385018299</v>
      </c>
      <c r="X80" s="0" t="n">
        <f aca="false">U80-W80</f>
        <v>-0.00169825896787867</v>
      </c>
      <c r="Y80" s="634"/>
      <c r="Z80" s="634"/>
      <c r="AA80" s="634"/>
      <c r="AB80" s="634"/>
      <c r="AC80" s="634"/>
      <c r="AD80" s="634"/>
      <c r="AE80" s="634"/>
      <c r="AF80" s="634"/>
      <c r="AG80" s="634"/>
      <c r="AI80" s="0" t="n">
        <f aca="false">AI79+0.2</f>
        <v>288.559999999999</v>
      </c>
      <c r="AJ80" s="0" t="n">
        <f aca="false">AI80-273.16</f>
        <v>15.3999999999991</v>
      </c>
      <c r="AK80" s="0" t="n">
        <f aca="false">AI80*$AR$1*EXP(-$AR$6/8.31/AI80)/(1+EXP($AR$2/8.31*(1-$AR$5/$AR$2/AI80)))</f>
        <v>0.223637055810655</v>
      </c>
      <c r="AL80" s="0" t="n">
        <v>0.947240149297138</v>
      </c>
      <c r="AM80" s="142" t="n">
        <f aca="false">AI80*EXP(-$AR$6/8.31/AI80)/(1+EXP($AR$2/8.31*(1-$AR$5/$AR$2/AI80)))</f>
        <v>4.09960916665503E-014</v>
      </c>
      <c r="AN80" s="0" t="n">
        <f aca="false">IF(AK80=$AL$1,1*AJ80,0)</f>
        <v>0</v>
      </c>
    </row>
    <row r="81" customFormat="false" ht="18" hidden="false" customHeight="false" outlineLevel="0" collapsed="false">
      <c r="B81" s="0" t="n">
        <v>1994</v>
      </c>
      <c r="C81" s="0" t="n">
        <v>358</v>
      </c>
      <c r="T81" s="181" t="n">
        <v>11.99</v>
      </c>
      <c r="U81" s="0" t="n">
        <v>0.819672131147541</v>
      </c>
      <c r="V81" s="0" t="n">
        <v>1.22</v>
      </c>
      <c r="W81" s="0" t="n">
        <f aca="false">0.000122783*T81^2 + 0.0191158*T81+ 0.564601</f>
        <v>0.811450738358299</v>
      </c>
      <c r="X81" s="0" t="n">
        <f aca="false">U81-W81</f>
        <v>0.00822139278924205</v>
      </c>
      <c r="Y81" s="634"/>
      <c r="Z81" s="634"/>
      <c r="AA81" s="634"/>
      <c r="AB81" s="634"/>
      <c r="AC81" s="634"/>
      <c r="AD81" s="634"/>
      <c r="AE81" s="634"/>
      <c r="AF81" s="634"/>
      <c r="AG81" s="634"/>
      <c r="AI81" s="0" t="n">
        <f aca="false">AI80+0.2</f>
        <v>288.759999999999</v>
      </c>
      <c r="AJ81" s="0" t="n">
        <f aca="false">AI81-273.16</f>
        <v>15.5999999999991</v>
      </c>
      <c r="AK81" s="0" t="n">
        <f aca="false">AI81*$AR$1*EXP(-$AR$6/8.31/AI81)/(1+EXP($AR$2/8.31*(1-$AR$5/$AR$2/AI81)))</f>
        <v>0.229509661754818</v>
      </c>
      <c r="AL81" s="0" t="n">
        <v>0.935880504502616</v>
      </c>
      <c r="AM81" s="142" t="n">
        <f aca="false">AI81*EXP(-$AR$6/8.31/AI81)/(1+EXP($AR$2/8.31*(1-$AR$5/$AR$2/AI81)))</f>
        <v>4.20726301263136E-014</v>
      </c>
      <c r="AN81" s="0" t="n">
        <f aca="false">IF(AK81=$AL$1,1*AJ81,0)</f>
        <v>0</v>
      </c>
    </row>
    <row r="82" customFormat="false" ht="18" hidden="false" customHeight="false" outlineLevel="0" collapsed="false">
      <c r="B82" s="0" t="n">
        <v>1995</v>
      </c>
      <c r="C82" s="0" t="n">
        <v>359.9</v>
      </c>
      <c r="T82" s="181" t="n">
        <v>12.99</v>
      </c>
      <c r="U82" s="0" t="n">
        <v>0.841042893187553</v>
      </c>
      <c r="V82" s="0" t="n">
        <v>1.189</v>
      </c>
      <c r="W82" s="0" t="n">
        <f aca="false">0.000122783*T82^2 + 0.0191158*T82+ 0.564601</f>
        <v>0.833633657698299</v>
      </c>
      <c r="X82" s="0" t="n">
        <f aca="false">U82-W82</f>
        <v>0.00740923548925354</v>
      </c>
      <c r="Y82" s="634"/>
      <c r="Z82" s="634"/>
      <c r="AA82" s="634"/>
      <c r="AB82" s="634"/>
      <c r="AC82" s="634"/>
      <c r="AD82" s="634"/>
      <c r="AE82" s="634"/>
      <c r="AF82" s="634"/>
      <c r="AG82" s="634"/>
      <c r="AI82" s="0" t="n">
        <f aca="false">AI81+0.2</f>
        <v>288.959999999999</v>
      </c>
      <c r="AJ82" s="0" t="n">
        <f aca="false">AI82-273.16</f>
        <v>15.7999999999991</v>
      </c>
      <c r="AK82" s="0" t="n">
        <f aca="false">AI82*$AR$1*EXP(-$AR$6/8.31/AI82)/(1+EXP($AR$2/8.31*(1-$AR$5/$AR$2/AI82)))</f>
        <v>0.235527060065084</v>
      </c>
      <c r="AL82" s="0" t="n">
        <v>0.922997431269361</v>
      </c>
      <c r="AM82" s="142" t="n">
        <f aca="false">AI82*EXP(-$AR$6/8.31/AI82)/(1+EXP($AR$2/8.31*(1-$AR$5/$AR$2/AI82)))</f>
        <v>4.31757112406111E-014</v>
      </c>
      <c r="AN82" s="0" t="n">
        <f aca="false">IF(AK82=$AL$1,1*AJ82,0)</f>
        <v>0</v>
      </c>
    </row>
    <row r="83" customFormat="false" ht="18" hidden="false" customHeight="false" outlineLevel="0" collapsed="false">
      <c r="B83" s="0" t="n">
        <v>1996</v>
      </c>
      <c r="C83" s="0" t="n">
        <v>361.4</v>
      </c>
      <c r="T83" s="181" t="n">
        <v>13.99</v>
      </c>
      <c r="U83" s="0" t="n">
        <v>0.863060989643268</v>
      </c>
      <c r="V83" s="0" t="n">
        <v>1.15866666666667</v>
      </c>
      <c r="W83" s="0" t="n">
        <f aca="false">0.000122783*T83^2 + 0.0191158*T83+ 0.564601</f>
        <v>0.856062143038299</v>
      </c>
      <c r="X83" s="0" t="n">
        <f aca="false">U83-W83</f>
        <v>0.00699884660496908</v>
      </c>
      <c r="Y83" s="634"/>
      <c r="Z83" s="634"/>
      <c r="AA83" s="634"/>
      <c r="AB83" s="634"/>
      <c r="AC83" s="634"/>
      <c r="AD83" s="634"/>
      <c r="AE83" s="634"/>
      <c r="AF83" s="634"/>
      <c r="AG83" s="634"/>
      <c r="AI83" s="0" t="n">
        <f aca="false">AI82+0.2</f>
        <v>289.159999999999</v>
      </c>
      <c r="AJ83" s="0" t="n">
        <f aca="false">AI83-273.16</f>
        <v>15.9999999999991</v>
      </c>
      <c r="AK83" s="0" t="n">
        <f aca="false">AI83*$AR$1*EXP(-$AR$6/8.31/AI83)/(1+EXP($AR$2/8.31*(1-$AR$5/$AR$2/AI83)))</f>
        <v>0.241692470227612</v>
      </c>
      <c r="AL83" s="0" t="n">
        <v>0.908644655430578</v>
      </c>
      <c r="AM83" s="142" t="n">
        <f aca="false">AI83*EXP(-$AR$6/8.31/AI83)/(1+EXP($AR$2/8.31*(1-$AR$5/$AR$2/AI83)))</f>
        <v>4.43059251904802E-014</v>
      </c>
      <c r="AN83" s="0" t="n">
        <f aca="false">IF(AK83=$AL$1,1*AJ83,0)</f>
        <v>0</v>
      </c>
    </row>
    <row r="84" customFormat="false" ht="18" hidden="false" customHeight="false" outlineLevel="0" collapsed="false">
      <c r="B84" s="0" t="n">
        <v>1997</v>
      </c>
      <c r="C84" s="0" t="n">
        <v>363.1</v>
      </c>
      <c r="T84" s="181" t="n">
        <v>14.99</v>
      </c>
      <c r="U84" s="0" t="n">
        <v>0.888362451880367</v>
      </c>
      <c r="V84" s="0" t="n">
        <v>1.12566666666667</v>
      </c>
      <c r="W84" s="0" t="n">
        <f aca="false">0.000122783*T84^2 + 0.0191158*T84+ 0.564601</f>
        <v>0.878736194378299</v>
      </c>
      <c r="X84" s="0" t="n">
        <f aca="false">U84-W84</f>
        <v>0.00962625750206814</v>
      </c>
      <c r="Y84" s="634"/>
      <c r="Z84" s="634"/>
      <c r="AA84" s="634"/>
      <c r="AB84" s="634"/>
      <c r="AC84" s="634"/>
      <c r="AD84" s="634"/>
      <c r="AE84" s="634"/>
      <c r="AF84" s="634"/>
      <c r="AG84" s="634"/>
      <c r="AI84" s="0" t="n">
        <f aca="false">AI83+0.2</f>
        <v>289.359999999999</v>
      </c>
      <c r="AJ84" s="0" t="n">
        <f aca="false">AI84-273.16</f>
        <v>16.1999999999991</v>
      </c>
      <c r="AK84" s="0" t="n">
        <f aca="false">AI84*$AR$1*EXP(-$AR$6/8.31/AI84)/(1+EXP($AR$2/8.31*(1-$AR$5/$AR$2/AI84)))</f>
        <v>0.248009160521289</v>
      </c>
      <c r="AL84" s="0" t="n">
        <v>0.892889534291826</v>
      </c>
      <c r="AM84" s="142" t="n">
        <f aca="false">AI84*EXP(-$AR$6/8.31/AI84)/(1+EXP($AR$2/8.31*(1-$AR$5/$AR$2/AI84)))</f>
        <v>4.5463871101412E-014</v>
      </c>
      <c r="AN84" s="0" t="n">
        <f aca="false">IF(AK84=$AL$1,1*AJ84,0)</f>
        <v>0</v>
      </c>
    </row>
    <row r="85" customFormat="false" ht="18" hidden="false" customHeight="false" outlineLevel="0" collapsed="false">
      <c r="B85" s="0" t="n">
        <v>1998</v>
      </c>
      <c r="C85" s="0" t="n">
        <v>365.2</v>
      </c>
      <c r="T85" s="181" t="n">
        <v>15.99</v>
      </c>
      <c r="U85" s="0" t="n">
        <v>0.906344410876133</v>
      </c>
      <c r="V85" s="0" t="n">
        <v>1.10333333333333</v>
      </c>
      <c r="W85" s="0" t="n">
        <f aca="false">0.000122783*T85^2 + 0.0191158*T85+ 0.564601</f>
        <v>0.901655811718299</v>
      </c>
      <c r="X85" s="0" t="n">
        <f aca="false">U85-W85</f>
        <v>0.00468859915783393</v>
      </c>
      <c r="Y85" s="634"/>
      <c r="Z85" s="634"/>
      <c r="AA85" s="634"/>
      <c r="AB85" s="634"/>
      <c r="AC85" s="634"/>
      <c r="AD85" s="634"/>
      <c r="AE85" s="634"/>
      <c r="AF85" s="634"/>
      <c r="AG85" s="634"/>
      <c r="AI85" s="0" t="n">
        <f aca="false">AI84+0.2</f>
        <v>289.559999999999</v>
      </c>
      <c r="AJ85" s="0" t="n">
        <f aca="false">AI85-273.16</f>
        <v>16.3999999999991</v>
      </c>
      <c r="AK85" s="0" t="n">
        <f aca="false">AI85*$AR$1*EXP(-$AR$6/8.31/AI85)/(1+EXP($AR$2/8.31*(1-$AR$5/$AR$2/AI85)))</f>
        <v>0.254480446304638</v>
      </c>
      <c r="AL85" s="0" t="n">
        <v>0.875812167547768</v>
      </c>
      <c r="AM85" s="142" t="n">
        <f aca="false">AI85*EXP(-$AR$6/8.31/AI85)/(1+EXP($AR$2/8.31*(1-$AR$5/$AR$2/AI85)))</f>
        <v>4.66501567293146E-014</v>
      </c>
      <c r="AN85" s="0" t="n">
        <f aca="false">IF(AK85=$AL$1,1*AJ85,0)</f>
        <v>0</v>
      </c>
    </row>
    <row r="86" customFormat="false" ht="18" hidden="false" customHeight="false" outlineLevel="0" collapsed="false">
      <c r="B86" s="0" t="n">
        <v>1999</v>
      </c>
      <c r="C86" s="0" t="n">
        <v>367.2</v>
      </c>
      <c r="T86" s="181" t="n">
        <v>16.99</v>
      </c>
      <c r="U86" s="0" t="n">
        <v>0.938086303939962</v>
      </c>
      <c r="V86" s="0" t="n">
        <v>1.066</v>
      </c>
      <c r="W86" s="0" t="n">
        <f aca="false">0.000122783*T86^2 + 0.0191158*T86+ 0.564601</f>
        <v>0.924820995058299</v>
      </c>
      <c r="X86" s="0" t="n">
        <f aca="false">U86-W86</f>
        <v>0.0132653088816636</v>
      </c>
      <c r="Y86" s="634"/>
      <c r="Z86" s="634"/>
      <c r="AA86" s="634"/>
      <c r="AB86" s="634"/>
      <c r="AC86" s="634"/>
      <c r="AD86" s="634"/>
      <c r="AE86" s="634"/>
      <c r="AF86" s="634"/>
      <c r="AG86" s="634"/>
      <c r="AI86" s="0" t="n">
        <f aca="false">AI85+0.2</f>
        <v>289.759999999999</v>
      </c>
      <c r="AJ86" s="0" t="n">
        <f aca="false">AI86-273.16</f>
        <v>16.5999999999991</v>
      </c>
      <c r="AK86" s="0" t="n">
        <f aca="false">AI86*$AR$1*EXP(-$AR$6/8.31/AI86)/(1+EXP($AR$2/8.31*(1-$AR$5/$AR$2/AI86)))</f>
        <v>0.261109687940726</v>
      </c>
      <c r="AL86" s="0" t="n">
        <v>0.85750421724109</v>
      </c>
      <c r="AM86" s="142" t="n">
        <f aca="false">AI86*EXP(-$AR$6/8.31/AI86)/(1+EXP($AR$2/8.31*(1-$AR$5/$AR$2/AI86)))</f>
        <v>4.78653980801169E-014</v>
      </c>
      <c r="AN86" s="0" t="n">
        <f aca="false">IF(AK86=$AL$1,1*AJ86,0)</f>
        <v>0</v>
      </c>
    </row>
    <row r="87" customFormat="false" ht="18" hidden="false" customHeight="false" outlineLevel="0" collapsed="false">
      <c r="B87" s="0" t="n">
        <v>2000</v>
      </c>
      <c r="C87" s="0" t="n">
        <v>368.7</v>
      </c>
      <c r="T87" s="181" t="n">
        <v>17.99</v>
      </c>
      <c r="U87" s="0" t="n">
        <v>0.956327701625757</v>
      </c>
      <c r="V87" s="0" t="n">
        <v>1.04566666666667</v>
      </c>
      <c r="W87" s="0" t="n">
        <f aca="false">0.000122783*T87^2 + 0.0191158*T87+ 0.564601</f>
        <v>0.948231744398299</v>
      </c>
      <c r="X87" s="0" t="n">
        <f aca="false">U87-W87</f>
        <v>0.00809595722745837</v>
      </c>
      <c r="Y87" s="634"/>
      <c r="Z87" s="634"/>
      <c r="AA87" s="634"/>
      <c r="AB87" s="634"/>
      <c r="AC87" s="634"/>
      <c r="AD87" s="634"/>
      <c r="AE87" s="634"/>
      <c r="AF87" s="634"/>
      <c r="AG87" s="634"/>
      <c r="AI87" s="0" t="n">
        <f aca="false">AI86+0.2</f>
        <v>289.959999999999</v>
      </c>
      <c r="AJ87" s="0" t="n">
        <f aca="false">AI87-273.16</f>
        <v>16.799999999999</v>
      </c>
      <c r="AK87" s="0" t="n">
        <f aca="false">AI87*$AR$1*EXP(-$AR$6/8.31/AI87)/(1+EXP($AR$2/8.31*(1-$AR$5/$AR$2/AI87)))</f>
        <v>0.267900288314649</v>
      </c>
      <c r="AL87" s="0" t="n">
        <v>0.838067472567913</v>
      </c>
      <c r="AM87" s="142" t="n">
        <f aca="false">AI87*EXP(-$AR$6/8.31/AI87)/(1+EXP($AR$2/8.31*(1-$AR$5/$AR$2/AI87)))</f>
        <v>4.91102189546858E-014</v>
      </c>
      <c r="AN87" s="0" t="n">
        <f aca="false">IF(AK87=$AL$1,1*AJ87,0)</f>
        <v>0</v>
      </c>
    </row>
    <row r="88" customFormat="false" ht="18" hidden="false" customHeight="false" outlineLevel="0" collapsed="false">
      <c r="B88" s="0" t="n">
        <v>2001</v>
      </c>
      <c r="C88" s="0" t="n">
        <v>370.2</v>
      </c>
      <c r="T88" s="181" t="n">
        <v>18.99</v>
      </c>
      <c r="U88" s="0" t="n">
        <v>0.989445910290237</v>
      </c>
      <c r="V88" s="0" t="n">
        <v>1.01066666666667</v>
      </c>
      <c r="W88" s="0" t="n">
        <f aca="false">0.000122783*T88^2 + 0.0191158*T88+ 0.564601</f>
        <v>0.971888059738299</v>
      </c>
      <c r="X88" s="0" t="n">
        <f aca="false">U88-W88</f>
        <v>0.0175578505519387</v>
      </c>
      <c r="Y88" s="634"/>
      <c r="Z88" s="634"/>
      <c r="AA88" s="634"/>
      <c r="AB88" s="634"/>
      <c r="AC88" s="634"/>
      <c r="AD88" s="634"/>
      <c r="AE88" s="634"/>
      <c r="AF88" s="634"/>
      <c r="AG88" s="634"/>
      <c r="AI88" s="0" t="n">
        <f aca="false">AI87+0.2</f>
        <v>290.159999999999</v>
      </c>
      <c r="AJ88" s="0" t="n">
        <f aca="false">AI88-273.16</f>
        <v>16.999999999999</v>
      </c>
      <c r="AK88" s="0" t="n">
        <f aca="false">AI88*$AR$1*EXP(-$AR$6/8.31/AI88)/(1+EXP($AR$2/8.31*(1-$AR$5/$AR$2/AI88)))</f>
        <v>0.274855689892997</v>
      </c>
      <c r="AL88" s="0" t="n">
        <v>0.8176122058165</v>
      </c>
      <c r="AM88" s="142" t="n">
        <f aca="false">AI88*EXP(-$AR$6/8.31/AI88)/(1+EXP($AR$2/8.31*(1-$AR$5/$AR$2/AI88)))</f>
        <v>5.03852504097817E-014</v>
      </c>
      <c r="AN88" s="0" t="n">
        <f aca="false">IF(AK88=$AL$1,1*AJ88,0)</f>
        <v>0</v>
      </c>
    </row>
    <row r="89" customFormat="false" ht="18" hidden="false" customHeight="false" outlineLevel="0" collapsed="false">
      <c r="B89" s="0" t="n">
        <v>2002</v>
      </c>
      <c r="C89" s="0" t="n">
        <v>372.3</v>
      </c>
      <c r="T89" s="181" t="n">
        <v>19.94</v>
      </c>
      <c r="U89" s="0" t="n">
        <v>0.983284169124877</v>
      </c>
      <c r="V89" s="0" t="n">
        <v>1.017</v>
      </c>
      <c r="W89" s="0" t="n">
        <f aca="false">0.000122783*T89^2 + 0.0191158*T89+ 0.564601</f>
        <v>0.9945890148188</v>
      </c>
      <c r="X89" s="0" t="n">
        <f aca="false">U89-W89</f>
        <v>-0.0113048456939228</v>
      </c>
      <c r="Y89" s="634"/>
      <c r="Z89" s="634"/>
      <c r="AA89" s="634"/>
      <c r="AB89" s="634"/>
      <c r="AC89" s="634"/>
      <c r="AD89" s="634"/>
      <c r="AE89" s="634"/>
      <c r="AF89" s="634"/>
      <c r="AG89" s="634"/>
      <c r="AI89" s="0" t="n">
        <f aca="false">AI88+0.2</f>
        <v>290.359999999999</v>
      </c>
      <c r="AJ89" s="0" t="n">
        <f aca="false">AI89-273.16</f>
        <v>17.199999999999</v>
      </c>
      <c r="AK89" s="0" t="n">
        <f aca="false">AI89*$AR$1*EXP(-$AR$6/8.31/AI89)/(1+EXP($AR$2/8.31*(1-$AR$5/$AR$2/AI89)))</f>
        <v>0.281979371268917</v>
      </c>
      <c r="AL89" s="0" t="n">
        <v>0.796255373673237</v>
      </c>
      <c r="AM89" s="142" t="n">
        <f aca="false">AI89*EXP(-$AR$6/8.31/AI89)/(1+EXP($AR$2/8.31*(1-$AR$5/$AR$2/AI89)))</f>
        <v>5.1691130124715E-014</v>
      </c>
      <c r="AN89" s="0" t="n">
        <f aca="false">IF(AK89=$AL$1,1*AJ89,0)</f>
        <v>0</v>
      </c>
    </row>
    <row r="90" customFormat="false" ht="18" hidden="false" customHeight="false" outlineLevel="0" collapsed="false">
      <c r="B90" s="0" t="n">
        <v>2003</v>
      </c>
      <c r="C90" s="0" t="n">
        <v>374.5</v>
      </c>
      <c r="T90" s="181" t="n">
        <v>19.99</v>
      </c>
      <c r="U90" s="0" t="n">
        <v>0.973520249221184</v>
      </c>
      <c r="V90" s="0" t="n">
        <v>1.0272</v>
      </c>
      <c r="W90" s="0" t="n">
        <f aca="false">0.000122783*T90^2 + 0.0191158*T90+ 0.564601</f>
        <v>0.995789941078299</v>
      </c>
      <c r="X90" s="0" t="n">
        <f aca="false">U90-W90</f>
        <v>-0.022269691857115</v>
      </c>
      <c r="Y90" s="634"/>
      <c r="Z90" s="634"/>
      <c r="AA90" s="634"/>
      <c r="AB90" s="634"/>
      <c r="AC90" s="634"/>
      <c r="AD90" s="634"/>
      <c r="AE90" s="634"/>
      <c r="AF90" s="634"/>
      <c r="AG90" s="634"/>
      <c r="AI90" s="0" t="n">
        <f aca="false">AI89+0.2</f>
        <v>290.559999999999</v>
      </c>
      <c r="AJ90" s="0" t="n">
        <f aca="false">AI90-273.16</f>
        <v>17.399999999999</v>
      </c>
      <c r="AK90" s="0" t="n">
        <f aca="false">AI90*$AR$1*EXP(-$AR$6/8.31/AI90)/(1+EXP($AR$2/8.31*(1-$AR$5/$AR$2/AI90)))</f>
        <v>0.289274843130033</v>
      </c>
      <c r="AL90" s="0" t="n">
        <v>0.774118723064821</v>
      </c>
      <c r="AM90" s="142" t="n">
        <f aca="false">AI90*EXP(-$AR$6/8.31/AI90)/(1+EXP($AR$2/8.31*(1-$AR$5/$AR$2/AI90)))</f>
        <v>5.30285016622042E-014</v>
      </c>
      <c r="AN90" s="0" t="n">
        <f aca="false">IF(AK90=$AL$1,1*AJ90,0)</f>
        <v>0</v>
      </c>
    </row>
    <row r="91" customFormat="false" ht="18" hidden="false" customHeight="false" outlineLevel="0" collapsed="false">
      <c r="B91" s="0" t="n">
        <v>2004</v>
      </c>
      <c r="C91" s="0" t="n">
        <v>376.6</v>
      </c>
      <c r="T91" s="181" t="n">
        <v>19.99</v>
      </c>
      <c r="U91" s="0" t="n">
        <v>1.00222159119381</v>
      </c>
      <c r="V91" s="0" t="n">
        <v>0.997783333333333</v>
      </c>
      <c r="W91" s="0" t="n">
        <f aca="false">0.000122783*T91^2 + 0.0191158*T91+ 0.564601</f>
        <v>0.995789941078299</v>
      </c>
      <c r="X91" s="0" t="n">
        <f aca="false">U91-W91</f>
        <v>0.00643165011551394</v>
      </c>
      <c r="Y91" s="634"/>
      <c r="Z91" s="634"/>
      <c r="AA91" s="634"/>
      <c r="AB91" s="634"/>
      <c r="AC91" s="634"/>
      <c r="AD91" s="634"/>
      <c r="AE91" s="634"/>
      <c r="AF91" s="634"/>
      <c r="AG91" s="634"/>
      <c r="AI91" s="0" t="n">
        <f aca="false">AI90+0.2</f>
        <v>290.759999999999</v>
      </c>
      <c r="AJ91" s="0" t="n">
        <f aca="false">AI91-273.16</f>
        <v>17.599999999999</v>
      </c>
      <c r="AK91" s="0" t="n">
        <f aca="false">AI91*$AR$1*EXP(-$AR$6/8.31/AI91)/(1+EXP($AR$2/8.31*(1-$AR$5/$AR$2/AI91)))</f>
        <v>0.296745643579473</v>
      </c>
      <c r="AL91" s="0" t="n">
        <v>0.751326862401654</v>
      </c>
      <c r="AM91" s="142" t="n">
        <f aca="false">AI91*EXP(-$AR$6/8.31/AI91)/(1+EXP($AR$2/8.31*(1-$AR$5/$AR$2/AI91)))</f>
        <v>5.43980136106491E-014</v>
      </c>
      <c r="AN91" s="0" t="n">
        <f aca="false">IF(AK91=$AL$1,1*AJ91,0)</f>
        <v>0</v>
      </c>
    </row>
    <row r="92" customFormat="false" ht="18" hidden="false" customHeight="false" outlineLevel="0" collapsed="false">
      <c r="B92" s="0" t="n">
        <v>2005</v>
      </c>
      <c r="C92" s="0" t="n">
        <v>378.7</v>
      </c>
      <c r="T92" s="181" t="n">
        <v>19.99</v>
      </c>
      <c r="U92" s="0" t="n">
        <v>1.01140869002346</v>
      </c>
      <c r="V92" s="0" t="n">
        <v>0.98872</v>
      </c>
      <c r="W92" s="0" t="n">
        <f aca="false">0.000122783*T92^2 + 0.0191158*T92+ 0.564601</f>
        <v>0.995789941078299</v>
      </c>
      <c r="X92" s="0" t="n">
        <f aca="false">U92-W92</f>
        <v>0.0156187489451658</v>
      </c>
      <c r="Y92" s="634"/>
      <c r="Z92" s="634"/>
      <c r="AA92" s="634"/>
      <c r="AB92" s="634"/>
      <c r="AC92" s="634"/>
      <c r="AD92" s="634"/>
      <c r="AE92" s="634"/>
      <c r="AF92" s="634"/>
      <c r="AG92" s="634"/>
      <c r="AI92" s="0" t="n">
        <f aca="false">AI91+0.2</f>
        <v>290.959999999999</v>
      </c>
      <c r="AJ92" s="0" t="n">
        <f aca="false">AI92-273.16</f>
        <v>17.799999999999</v>
      </c>
      <c r="AK92" s="0" t="n">
        <f aca="false">AI92*$AR$1*EXP(-$AR$6/8.31/AI92)/(1+EXP($AR$2/8.31*(1-$AR$5/$AR$2/AI92)))</f>
        <v>0.30439533273245</v>
      </c>
      <c r="AL92" s="0" t="n">
        <v>0.728005357581554</v>
      </c>
      <c r="AM92" s="142" t="n">
        <f aca="false">AI92*EXP(-$AR$6/8.31/AI92)/(1+EXP($AR$2/8.31*(1-$AR$5/$AR$2/AI92)))</f>
        <v>5.58003185936015E-014</v>
      </c>
      <c r="AN92" s="0" t="n">
        <f aca="false">IF(AK92=$AL$1,1*AJ92,0)</f>
        <v>0</v>
      </c>
    </row>
    <row r="93" customFormat="false" ht="18" hidden="false" customHeight="false" outlineLevel="0" collapsed="false">
      <c r="B93" s="0" t="n">
        <v>2006</v>
      </c>
      <c r="C93" s="0" t="n">
        <v>380.8</v>
      </c>
      <c r="T93" s="181"/>
      <c r="Y93" s="634"/>
      <c r="Z93" s="634"/>
      <c r="AA93" s="634"/>
      <c r="AB93" s="634"/>
      <c r="AC93" s="634"/>
      <c r="AD93" s="634"/>
      <c r="AE93" s="634"/>
      <c r="AF93" s="634"/>
      <c r="AG93" s="634"/>
      <c r="AI93" s="0" t="n">
        <f aca="false">AI92+0.2</f>
        <v>291.159999999999</v>
      </c>
      <c r="AJ93" s="0" t="n">
        <f aca="false">AI93-273.16</f>
        <v>17.999999999999</v>
      </c>
      <c r="AK93" s="0" t="n">
        <f aca="false">AI93*$AR$1*EXP(-$AR$6/8.31/AI93)/(1+EXP($AR$2/8.31*(1-$AR$5/$AR$2/AI93)))</f>
        <v>0.312227486502383</v>
      </c>
      <c r="AL93" s="0" t="n">
        <v>0.704278907687141</v>
      </c>
      <c r="AM93" s="142" t="n">
        <f aca="false">AI93*EXP(-$AR$6/8.31/AI93)/(1+EXP($AR$2/8.31*(1-$AR$5/$AR$2/AI93)))</f>
        <v>5.72360721306653E-014</v>
      </c>
      <c r="AN93" s="0" t="n">
        <f aca="false">IF(AK93=$AL$1,1*AJ93,0)</f>
        <v>0</v>
      </c>
    </row>
    <row r="94" customFormat="false" ht="18" hidden="false" customHeight="false" outlineLevel="0" collapsed="false">
      <c r="B94" s="0" t="n">
        <v>2007</v>
      </c>
      <c r="C94" s="0" t="n">
        <v>382.7</v>
      </c>
      <c r="T94" s="0" t="n">
        <v>20</v>
      </c>
      <c r="U94" s="0" t="n">
        <v>1.0005698</v>
      </c>
      <c r="W94" s="0" t="n">
        <f aca="false">0.000122783*T94^2 + 0.0191158*T94+ 0.564601</f>
        <v>0.9960302</v>
      </c>
      <c r="X94" s="0" t="n">
        <f aca="false">U94-W94</f>
        <v>0.00453959999999998</v>
      </c>
      <c r="Y94" s="634"/>
      <c r="Z94" s="634"/>
      <c r="AA94" s="634"/>
      <c r="AB94" s="634"/>
      <c r="AC94" s="634"/>
      <c r="AD94" s="634"/>
      <c r="AE94" s="634"/>
      <c r="AF94" s="634"/>
      <c r="AG94" s="634"/>
      <c r="AI94" s="0" t="n">
        <f aca="false">AI93+0.2</f>
        <v>291.359999999999</v>
      </c>
      <c r="AJ94" s="0" t="n">
        <f aca="false">AI94-273.16</f>
        <v>18.199999999999</v>
      </c>
      <c r="AK94" s="0" t="n">
        <f aca="false">AI94*$AR$1*EXP(-$AR$6/8.31/AI94)/(1+EXP($AR$2/8.31*(1-$AR$5/$AR$2/AI94)))</f>
        <v>0.320245689481024</v>
      </c>
      <c r="AL94" s="0" t="n">
        <v>0.680269648451129</v>
      </c>
      <c r="AM94" s="142" t="n">
        <f aca="false">AI94*EXP(-$AR$6/8.31/AI94)/(1+EXP($AR$2/8.31*(1-$AR$5/$AR$2/AI94)))</f>
        <v>5.87059313323159E-014</v>
      </c>
      <c r="AN94" s="0" t="n">
        <f aca="false">IF(AK94=$AL$1,1*AJ94,0)</f>
        <v>0</v>
      </c>
    </row>
    <row r="95" customFormat="false" ht="18" hidden="false" customHeight="false" outlineLevel="0" collapsed="false">
      <c r="B95" s="0" t="n">
        <v>2008</v>
      </c>
      <c r="C95" s="0" t="n">
        <v>384.6</v>
      </c>
      <c r="T95" s="0" t="n">
        <v>21</v>
      </c>
      <c r="U95" s="0" t="n">
        <v>1.025134692</v>
      </c>
      <c r="W95" s="0" t="n">
        <f aca="false">0.000122783*T95^2 + 0.0191158*T95+ 0.564601</f>
        <v>1.020180103</v>
      </c>
      <c r="X95" s="0" t="n">
        <f aca="false">U95-W95</f>
        <v>0.00495458900000001</v>
      </c>
      <c r="Y95" s="634"/>
      <c r="Z95" s="634"/>
      <c r="AA95" s="634"/>
      <c r="AI95" s="0" t="n">
        <f aca="false">AI94+0.2</f>
        <v>291.559999999999</v>
      </c>
      <c r="AJ95" s="0" t="n">
        <f aca="false">AI95-273.16</f>
        <v>18.399999999999</v>
      </c>
      <c r="AK95" s="0" t="n">
        <f aca="false">AI95*$AR$1*EXP(-$AR$6/8.31/AI95)/(1+EXP($AR$2/8.31*(1-$AR$5/$AR$2/AI95)))</f>
        <v>0.328453526806886</v>
      </c>
      <c r="AL95" s="0" t="n">
        <v>0.656095622897604</v>
      </c>
      <c r="AM95" s="142" t="n">
        <f aca="false">AI95*EXP(-$AR$6/8.31/AI95)/(1+EXP($AR$2/8.31*(1-$AR$5/$AR$2/AI95)))</f>
        <v>6.02105534092586E-014</v>
      </c>
      <c r="AN95" s="0" t="n">
        <f aca="false">IF(AK95=$AL$1,1*AJ95,0)</f>
        <v>0</v>
      </c>
    </row>
    <row r="96" customFormat="false" ht="15.75" hidden="false" customHeight="false" outlineLevel="0" collapsed="false">
      <c r="B96" s="0" t="n">
        <v>2005</v>
      </c>
      <c r="C96" s="0" t="n">
        <v>378.7</v>
      </c>
      <c r="T96" s="0" t="n">
        <v>22</v>
      </c>
      <c r="U96" s="0" t="n">
        <v>1.049902008</v>
      </c>
      <c r="W96" s="0" t="n">
        <f aca="false">0.000122783*T96^2 + 0.0191158*T96+ 0.564601</f>
        <v>1.044575572</v>
      </c>
      <c r="X96" s="0" t="n">
        <f aca="false">U96-W96</f>
        <v>0.00532643600000005</v>
      </c>
      <c r="AI96" s="0" t="n">
        <f aca="false">AI95+0.2</f>
        <v>291.759999999999</v>
      </c>
      <c r="AJ96" s="0" t="n">
        <f aca="false">AI96-273.16</f>
        <v>18.5999999999989</v>
      </c>
      <c r="AK96" s="0" t="n">
        <f aca="false">AI96*$AR$1*EXP(-$AR$6/8.31/AI96)/(1+EXP($AR$2/8.31*(1-$AR$5/$AR$2/AI96)))</f>
        <v>0.336854574904849</v>
      </c>
      <c r="AL96" s="0" t="n">
        <v>0.63186944879461</v>
      </c>
      <c r="AM96" s="142" t="n">
        <f aca="false">AI96*EXP(-$AR$6/8.31/AI96)/(1+EXP($AR$2/8.31*(1-$AR$5/$AR$2/AI96)))</f>
        <v>6.17505939748561E-014</v>
      </c>
      <c r="AN96" s="0" t="n">
        <f aca="false">IF(AK96=$AL$1,1*AJ96,0)</f>
        <v>0</v>
      </c>
    </row>
    <row r="97" customFormat="false" ht="15.75" hidden="false" customHeight="false" outlineLevel="0" collapsed="false">
      <c r="B97" s="0" t="n">
        <v>2006</v>
      </c>
      <c r="C97" s="0" t="n">
        <v>380.8</v>
      </c>
      <c r="T97" s="0" t="n">
        <v>23</v>
      </c>
      <c r="U97" s="0" t="n">
        <v>1.074871748</v>
      </c>
      <c r="W97" s="0" t="n">
        <f aca="false">0.000122783*T97^2 + 0.0191158*T97+ 0.564601</f>
        <v>1.069216607</v>
      </c>
      <c r="X97" s="0" t="n">
        <f aca="false">U97-W97</f>
        <v>0.00565514100000009</v>
      </c>
      <c r="AI97" s="0" t="n">
        <f aca="false">AI96+0.2</f>
        <v>291.959999999999</v>
      </c>
      <c r="AJ97" s="0" t="n">
        <f aca="false">AI97-273.16</f>
        <v>18.7999999999989</v>
      </c>
      <c r="AK97" s="0" t="n">
        <f aca="false">AI97*$AR$1*EXP(-$AR$6/8.31/AI97)/(1+EXP($AR$2/8.31*(1-$AR$5/$AR$2/AI97)))</f>
        <v>0.345452390967526</v>
      </c>
      <c r="AL97" s="0" t="n">
        <v>0.607697202375305</v>
      </c>
      <c r="AM97" s="142" t="n">
        <f aca="false">AI97*EXP(-$AR$6/8.31/AI97)/(1+EXP($AR$2/8.31*(1-$AR$5/$AR$2/AI97)))</f>
        <v>6.33267051169026E-014</v>
      </c>
      <c r="AN97" s="0" t="n">
        <f aca="false">IF(AK97=$AL$1,1*AJ97,0)</f>
        <v>0</v>
      </c>
    </row>
    <row r="98" customFormat="false" ht="15.75" hidden="false" customHeight="false" outlineLevel="0" collapsed="false">
      <c r="B98" s="0" t="n">
        <v>2007</v>
      </c>
      <c r="C98" s="0" t="n">
        <v>382.7</v>
      </c>
      <c r="T98" s="0" t="n">
        <v>24</v>
      </c>
      <c r="U98" s="0" t="n">
        <v>1.100043912</v>
      </c>
      <c r="W98" s="0" t="n">
        <f aca="false">0.000122783*T98^2 + 0.0191158*T98+ 0.564601</f>
        <v>1.094103208</v>
      </c>
      <c r="X98" s="0" t="n">
        <f aca="false">U98-W98</f>
        <v>0.00594070399999991</v>
      </c>
      <c r="AI98" s="0" t="n">
        <f aca="false">AI97+0.2</f>
        <v>292.159999999999</v>
      </c>
      <c r="AJ98" s="0" t="n">
        <f aca="false">AI98-273.16</f>
        <v>18.9999999999989</v>
      </c>
      <c r="AK98" s="0" t="n">
        <f aca="false">AI98*$AR$1*EXP(-$AR$6/8.31/AI98)/(1+EXP($AR$2/8.31*(1-$AR$5/$AR$2/AI98)))</f>
        <v>0.354250501035466</v>
      </c>
      <c r="AL98" s="0" t="n">
        <v>0.583677527846196</v>
      </c>
      <c r="AM98" s="142" t="n">
        <f aca="false">AI98*EXP(-$AR$6/8.31/AI98)/(1+EXP($AR$2/8.31*(1-$AR$5/$AR$2/AI98)))</f>
        <v>6.49395332125426E-014</v>
      </c>
      <c r="AN98" s="0" t="n">
        <f aca="false">IF(AK98=$AL$1,1*AJ98,0)</f>
        <v>0</v>
      </c>
    </row>
    <row r="99" customFormat="false" ht="15.75" hidden="false" customHeight="false" outlineLevel="0" collapsed="false">
      <c r="B99" s="0" t="n">
        <v>2008</v>
      </c>
      <c r="C99" s="0" t="n">
        <v>384.6</v>
      </c>
      <c r="T99" s="0" t="n">
        <v>25</v>
      </c>
      <c r="U99" s="0" t="n">
        <v>1.1254185</v>
      </c>
      <c r="W99" s="0" t="n">
        <f aca="false">0.000122783*T99^2 + 0.0191158*T99+ 0.564601</f>
        <v>1.119235375</v>
      </c>
      <c r="X99" s="0" t="n">
        <f aca="false">U99-W99</f>
        <v>0.00618312499999973</v>
      </c>
      <c r="AI99" s="0" t="n">
        <f aca="false">AI98+0.2</f>
        <v>292.359999999999</v>
      </c>
      <c r="AJ99" s="0" t="n">
        <f aca="false">AI99-273.16</f>
        <v>19.1999999999989</v>
      </c>
      <c r="AK99" s="0" t="n">
        <f aca="false">AI99*$AR$1*EXP(-$AR$6/8.31/AI99)/(1+EXP($AR$2/8.31*(1-$AR$5/$AR$2/AI99)))</f>
        <v>0.363252386518624</v>
      </c>
      <c r="AL99" s="0" t="n">
        <v>0.559900973041391</v>
      </c>
      <c r="AM99" s="142" t="n">
        <f aca="false">AI99*EXP(-$AR$6/8.31/AI99)/(1+EXP($AR$2/8.31*(1-$AR$5/$AR$2/AI99)))</f>
        <v>6.65897164574509E-014</v>
      </c>
      <c r="AN99" s="0" t="n">
        <f aca="false">IF(AK99=$AL$1,1*AJ99,0)</f>
        <v>0</v>
      </c>
    </row>
    <row r="100" customFormat="false" ht="15.75" hidden="false" customHeight="false" outlineLevel="0" collapsed="false">
      <c r="B100" s="0" t="n">
        <v>2009</v>
      </c>
      <c r="C100" s="0" t="n">
        <v>386.4</v>
      </c>
      <c r="T100" s="0" t="n">
        <v>26</v>
      </c>
      <c r="U100" s="0" t="n">
        <v>1.150995512</v>
      </c>
      <c r="W100" s="0" t="n">
        <f aca="false">0.000122783*T100^2 + 0.0191158*T100+ 0.564601</f>
        <v>1.144613108</v>
      </c>
      <c r="X100" s="0" t="n">
        <f aca="false">U100-W100</f>
        <v>0.00638240400000001</v>
      </c>
      <c r="AI100" s="0" t="n">
        <f aca="false">AI99+0.2</f>
        <v>292.559999999999</v>
      </c>
      <c r="AJ100" s="0" t="n">
        <f aca="false">AI100-273.16</f>
        <v>19.3999999999989</v>
      </c>
      <c r="AK100" s="0" t="n">
        <f aca="false">AI100*$AR$1*EXP(-$AR$6/8.31/AI100)/(1+EXP($AR$2/8.31*(1-$AR$5/$AR$2/AI100)))</f>
        <v>0.372461468985604</v>
      </c>
      <c r="AL100" s="0" t="n">
        <v>0.536449543608303</v>
      </c>
      <c r="AM100" s="142" t="n">
        <f aca="false">AI100*EXP(-$AR$6/8.31/AI100)/(1+EXP($AR$2/8.31*(1-$AR$5/$AR$2/AI100)))</f>
        <v>6.82778820774668E-014</v>
      </c>
      <c r="AN100" s="0" t="n">
        <f aca="false">IF(AK100=$AL$1,1*AJ100,0)</f>
        <v>0</v>
      </c>
    </row>
    <row r="101" customFormat="false" ht="15.75" hidden="false" customHeight="false" outlineLevel="0" collapsed="false">
      <c r="B101" s="0" t="n">
        <v>2010</v>
      </c>
      <c r="C101" s="0" t="n">
        <v>388.4</v>
      </c>
      <c r="T101" s="0" t="n">
        <v>27</v>
      </c>
      <c r="U101" s="0" t="n">
        <v>1.176774948</v>
      </c>
      <c r="W101" s="0" t="n">
        <f aca="false">0.000122783*T101^2 + 0.0191158*T101+ 0.564601</f>
        <v>1.170236407</v>
      </c>
      <c r="X101" s="0" t="n">
        <f aca="false">U101-W101</f>
        <v>0.00653854099999984</v>
      </c>
      <c r="AI101" s="0" t="n">
        <f aca="false">AI100+0.2</f>
        <v>292.759999999999</v>
      </c>
      <c r="AJ101" s="0" t="n">
        <f aca="false">AI101-273.16</f>
        <v>19.5999999999989</v>
      </c>
      <c r="AK101" s="0" t="n">
        <f aca="false">AI101*$AR$1*EXP(-$AR$6/8.31/AI101)/(1+EXP($AR$2/8.31*(1-$AR$5/$AR$2/AI101)))</f>
        <v>0.381881093030048</v>
      </c>
      <c r="AL101" s="0" t="n">
        <v>0.513396461586659</v>
      </c>
      <c r="AM101" s="142" t="n">
        <f aca="false">AI101*EXP(-$AR$6/8.31/AI101)/(1+EXP($AR$2/8.31*(1-$AR$5/$AR$2/AI101)))</f>
        <v>7.00046431877428E-014</v>
      </c>
      <c r="AN101" s="0" t="n">
        <f aca="false">IF(AK101=$AL$1,1*AJ101,0)</f>
        <v>0</v>
      </c>
    </row>
    <row r="102" customFormat="false" ht="15.75" hidden="false" customHeight="false" outlineLevel="0" collapsed="false">
      <c r="T102" s="0" t="n">
        <v>28</v>
      </c>
      <c r="U102" s="0" t="n">
        <v>1.202756808</v>
      </c>
      <c r="W102" s="0" t="n">
        <f aca="false">0.000122783*T102^2 + 0.0191158*T102+ 0.564601</f>
        <v>1.196105272</v>
      </c>
      <c r="X102" s="0" t="n">
        <f aca="false">U102-W102</f>
        <v>0.00665153600000012</v>
      </c>
      <c r="AI102" s="0" t="n">
        <f aca="false">AI101+0.2</f>
        <v>292.959999999999</v>
      </c>
      <c r="AJ102" s="0" t="n">
        <f aca="false">AI102-273.16</f>
        <v>19.7999999999989</v>
      </c>
      <c r="AK102" s="0" t="n">
        <f aca="false">AI102*$AR$1*EXP(-$AR$6/8.31/AI102)/(1+EXP($AR$2/8.31*(1-$AR$5/$AR$2/AI102)))</f>
        <v>0.391514507004942</v>
      </c>
      <c r="AL102" s="0" t="n">
        <v>0.490806109291767</v>
      </c>
      <c r="AM102" s="142" t="n">
        <f aca="false">AI102*EXP(-$AR$6/8.31/AI102)/(1+EXP($AR$2/8.31*(1-$AR$5/$AR$2/AI102)))</f>
        <v>7.17705952610474E-014</v>
      </c>
      <c r="AN102" s="0" t="n">
        <f aca="false">IF(AK102=$AL$1,1*AJ102,0)</f>
        <v>0</v>
      </c>
    </row>
    <row r="103" customFormat="false" ht="15.75" hidden="false" customHeight="false" outlineLevel="0" collapsed="false">
      <c r="T103" s="0" t="n">
        <v>29</v>
      </c>
      <c r="U103" s="0" t="n">
        <v>1.228941092</v>
      </c>
      <c r="W103" s="0" t="n">
        <f aca="false">0.000122783*T103^2 + 0.0191158*T103+ 0.564601</f>
        <v>1.222219703</v>
      </c>
      <c r="X103" s="0" t="n">
        <f aca="false">U103-W103</f>
        <v>0.00672138899999997</v>
      </c>
      <c r="AI103" s="0" t="n">
        <f aca="false">AI102+0.2</f>
        <v>293.159999999999</v>
      </c>
      <c r="AJ103" s="0" t="n">
        <f aca="false">AI103-273.16</f>
        <v>19.9999999999989</v>
      </c>
      <c r="AK103" s="0" t="n">
        <f aca="false">AI103*$AR$1*EXP(-$AR$6/8.31/AI103)/(1+EXP($AR$2/8.31*(1-$AR$5/$AR$2/AI103)))</f>
        <v>0.401364841395941</v>
      </c>
      <c r="AL103" s="0" t="n">
        <v>0.468734136035411</v>
      </c>
      <c r="AM103" s="142" t="n">
        <f aca="false">AI103*EXP(-$AR$6/8.31/AI103)/(1+EXP($AR$2/8.31*(1-$AR$5/$AR$2/AI103)))</f>
        <v>7.35763121632654E-014</v>
      </c>
      <c r="AN103" s="0" t="n">
        <f aca="false">IF(AK103=$AL$1,1*AJ103,0)</f>
        <v>0</v>
      </c>
    </row>
    <row r="104" customFormat="false" ht="15.75" hidden="false" customHeight="false" outlineLevel="0" collapsed="false">
      <c r="T104" s="0" t="n">
        <v>30</v>
      </c>
      <c r="U104" s="0" t="n">
        <v>1.2553278</v>
      </c>
      <c r="W104" s="0" t="n">
        <f aca="false">0.000122783*T104^2 + 0.0191158*T104+ 0.564601</f>
        <v>1.2485797</v>
      </c>
      <c r="X104" s="0" t="n">
        <f aca="false">U104-W104</f>
        <v>0.00674809999999981</v>
      </c>
      <c r="AI104" s="0" t="n">
        <f aca="false">AI103+0.2</f>
        <v>293.359999999999</v>
      </c>
      <c r="AJ104" s="0" t="n">
        <f aca="false">AI104-273.16</f>
        <v>20.1999999999988</v>
      </c>
      <c r="AK104" s="0" t="n">
        <f aca="false">AI104*$AR$1*EXP(-$AR$6/8.31/AI104)/(1+EXP($AR$2/8.31*(1-$AR$5/$AR$2/AI104)))</f>
        <v>0.411435084583521</v>
      </c>
      <c r="AL104" s="0" t="n">
        <v>0.447227703314508</v>
      </c>
      <c r="AM104" s="142" t="n">
        <f aca="false">AI104*EXP(-$AR$6/8.31/AI104)/(1+EXP($AR$2/8.31*(1-$AR$5/$AR$2/AI104)))</f>
        <v>7.54223417102294E-014</v>
      </c>
      <c r="AN104" s="0" t="n">
        <f aca="false">IF(AK104=$AL$1,1*AJ104,0)</f>
        <v>0</v>
      </c>
    </row>
    <row r="105" customFormat="false" ht="15.75" hidden="false" customHeight="false" outlineLevel="0" collapsed="false">
      <c r="T105" s="0" t="n">
        <v>31</v>
      </c>
      <c r="U105" s="0" t="n">
        <v>1.281916932</v>
      </c>
      <c r="W105" s="0" t="n">
        <f aca="false">0.000122783*T105^2 + 0.0191158*T105+ 0.564601</f>
        <v>1.275185263</v>
      </c>
      <c r="X105" s="0" t="n">
        <f aca="false">U105-W105</f>
        <v>0.00673166900000011</v>
      </c>
      <c r="AI105" s="0" t="n">
        <f aca="false">AI104+0.2</f>
        <v>293.559999999999</v>
      </c>
      <c r="AJ105" s="0" t="n">
        <f aca="false">AI105-273.16</f>
        <v>20.3999999999988</v>
      </c>
      <c r="AK105" s="0" t="n">
        <f aca="false">AI105*$AR$1*EXP(-$AR$6/8.31/AI105)/(1+EXP($AR$2/8.31*(1-$AR$5/$AR$2/AI105)))</f>
        <v>0.421728055721519</v>
      </c>
      <c r="AL105" s="0" t="n">
        <v>0.426325843497317</v>
      </c>
      <c r="AM105" s="142" t="n">
        <f aca="false">AI105*EXP(-$AR$6/8.31/AI105)/(1+EXP($AR$2/8.31*(1-$AR$5/$AR$2/AI105)))</f>
        <v>7.73092006959414E-014</v>
      </c>
      <c r="AN105" s="0" t="n">
        <f aca="false">IF(AK105=$AL$1,1*AJ105,0)</f>
        <v>0</v>
      </c>
    </row>
    <row r="106" customFormat="false" ht="15.75" hidden="false" customHeight="false" outlineLevel="0" collapsed="false">
      <c r="T106" s="0" t="n">
        <v>32</v>
      </c>
      <c r="U106" s="0" t="n">
        <v>1.308708488</v>
      </c>
      <c r="W106" s="0" t="n">
        <f aca="false">0.000122783*T106^2 + 0.0191158*T106+ 0.564601</f>
        <v>1.302036392</v>
      </c>
      <c r="X106" s="0" t="n">
        <f aca="false">U106-W106</f>
        <v>0.00667209600000018</v>
      </c>
      <c r="AI106" s="0" t="n">
        <f aca="false">AI105+0.2</f>
        <v>293.759999999999</v>
      </c>
      <c r="AJ106" s="0" t="n">
        <f aca="false">AI106-273.16</f>
        <v>20.5999999999988</v>
      </c>
      <c r="AK106" s="0" t="n">
        <f aca="false">AI106*$AR$1*EXP(-$AR$6/8.31/AI106)/(1+EXP($AR$2/8.31*(1-$AR$5/$AR$2/AI106)))</f>
        <v>0.432246374435978</v>
      </c>
      <c r="AL106" s="0" t="n">
        <v>0.406059907525246</v>
      </c>
      <c r="AM106" s="142" t="n">
        <f aca="false">AI106*EXP(-$AR$6/8.31/AI106)/(1+EXP($AR$2/8.31*(1-$AR$5/$AR$2/AI106)))</f>
        <v>7.92373693379085E-014</v>
      </c>
      <c r="AN106" s="0" t="n">
        <f aca="false">IF(AK106=$AL$1,1*AJ106,0)</f>
        <v>0</v>
      </c>
    </row>
    <row r="107" customFormat="false" ht="15.75" hidden="false" customHeight="false" outlineLevel="0" collapsed="false">
      <c r="T107" s="0" t="n">
        <v>33</v>
      </c>
      <c r="U107" s="0" t="n">
        <v>1.335702468</v>
      </c>
      <c r="W107" s="0" t="n">
        <f aca="false">0.000122783*T107^2 + 0.0191158*T107+ 0.564601</f>
        <v>1.329133087</v>
      </c>
      <c r="X107" s="0" t="n">
        <f aca="false">U107-W107</f>
        <v>0.00656938100000004</v>
      </c>
      <c r="AI107" s="0" t="n">
        <f aca="false">AI106+0.2</f>
        <v>293.959999999999</v>
      </c>
      <c r="AJ107" s="0" t="n">
        <f aca="false">AI107-273.16</f>
        <v>20.7999999999988</v>
      </c>
      <c r="AK107" s="0" t="n">
        <f aca="false">AI107*$AR$1*EXP(-$AR$6/8.31/AI107)/(1+EXP($AR$2/8.31*(1-$AR$5/$AR$2/AI107)))</f>
        <v>0.442992427023732</v>
      </c>
      <c r="AL107" s="0" t="n">
        <v>0.386454078489988</v>
      </c>
      <c r="AM107" s="142" t="n">
        <f aca="false">AI107*EXP(-$AR$6/8.31/AI107)/(1+EXP($AR$2/8.31*(1-$AR$5/$AR$2/AI107)))</f>
        <v>8.1207285080826E-014</v>
      </c>
      <c r="AN107" s="0" t="n">
        <f aca="false">IF(AK107=$AL$1,1*AJ107,0)</f>
        <v>0</v>
      </c>
    </row>
    <row r="108" customFormat="false" ht="15.75" hidden="false" customHeight="false" outlineLevel="0" collapsed="false">
      <c r="T108" s="0" t="n">
        <v>34</v>
      </c>
      <c r="U108" s="0" t="n">
        <v>1.362898872</v>
      </c>
      <c r="W108" s="0" t="n">
        <f aca="false">0.000122783*T108^2 + 0.0191158*T108+ 0.564601</f>
        <v>1.356475348</v>
      </c>
      <c r="X108" s="0" t="n">
        <f aca="false">U108-W108</f>
        <v>0.00642352400000013</v>
      </c>
      <c r="AI108" s="0" t="n">
        <f aca="false">AI107+0.2</f>
        <v>294.159999999999</v>
      </c>
      <c r="AJ108" s="0" t="n">
        <f aca="false">AI108-273.16</f>
        <v>20.9999999999988</v>
      </c>
      <c r="AK108" s="0" t="n">
        <f aca="false">AI108*$AR$1*EXP(-$AR$6/8.31/AI108)/(1+EXP($AR$2/8.31*(1-$AR$5/$AR$2/AI108)))</f>
        <v>0.453968328804806</v>
      </c>
      <c r="AL108" s="0" t="n">
        <v>0.367525929908411</v>
      </c>
      <c r="AM108" s="142" t="n">
        <f aca="false">AI108*EXP(-$AR$6/8.31/AI108)/(1+EXP($AR$2/8.31*(1-$AR$5/$AR$2/AI108)))</f>
        <v>8.3219335695197E-014</v>
      </c>
      <c r="AN108" s="0" t="n">
        <f aca="false">IF(AK108=$AL$1,1*AJ108,0)</f>
        <v>0</v>
      </c>
    </row>
    <row r="109" customFormat="false" ht="15.75" hidden="false" customHeight="false" outlineLevel="0" collapsed="false">
      <c r="T109" s="0" t="n">
        <v>35</v>
      </c>
      <c r="U109" s="0" t="n">
        <v>1.3902977</v>
      </c>
      <c r="W109" s="0" t="n">
        <f aca="false">0.000122783*T109^2 + 0.0191158*T109+ 0.564601</f>
        <v>1.384063175</v>
      </c>
      <c r="X109" s="0" t="n">
        <f aca="false">U109-W109</f>
        <v>0.00623452499999999</v>
      </c>
      <c r="AI109" s="0" t="n">
        <f aca="false">AI108+0.2</f>
        <v>294.359999999999</v>
      </c>
      <c r="AJ109" s="0" t="n">
        <f aca="false">AI109-273.16</f>
        <v>21.1999999999988</v>
      </c>
      <c r="AK109" s="0" t="n">
        <f aca="false">AI109*$AR$1*EXP(-$AR$6/8.31/AI109)/(1+EXP($AR$2/8.31*(1-$AR$5/$AR$2/AI109)))</f>
        <v>0.465175882256922</v>
      </c>
      <c r="AL109" s="0" t="n">
        <v>0.349287009884079</v>
      </c>
      <c r="AM109" s="142" t="n">
        <f aca="false">AI109*EXP(-$AR$6/8.31/AI109)/(1+EXP($AR$2/8.31*(1-$AR$5/$AR$2/AI109)))</f>
        <v>8.52738516027474E-014</v>
      </c>
      <c r="AN109" s="0" t="n">
        <f aca="false">IF(AK109=$AL$1,1*AJ109,0)</f>
        <v>0</v>
      </c>
    </row>
    <row r="110" customFormat="false" ht="15.75" hidden="false" customHeight="false" outlineLevel="0" collapsed="false">
      <c r="T110" s="0" t="n">
        <v>36</v>
      </c>
      <c r="U110" s="0" t="n">
        <v>1.417898952</v>
      </c>
      <c r="W110" s="0" t="n">
        <f aca="false">0.000122783*T110^2 + 0.0191158*T110+ 0.564601</f>
        <v>1.411896568</v>
      </c>
      <c r="X110" s="0" t="n">
        <f aca="false">U110-W110</f>
        <v>0.00600238399999986</v>
      </c>
      <c r="AI110" s="0" t="n">
        <f aca="false">AI109+0.2</f>
        <v>294.559999999999</v>
      </c>
      <c r="AJ110" s="0" t="n">
        <f aca="false">AI110-273.16</f>
        <v>21.3999999999988</v>
      </c>
      <c r="AK110" s="0" t="n">
        <f aca="false">AI110*$AR$1*EXP(-$AR$6/8.31/AI110)/(1+EXP($AR$2/8.31*(1-$AR$5/$AR$2/AI110)))</f>
        <v>0.476616530534598</v>
      </c>
      <c r="AL110" s="0" t="n">
        <v>0.331743434924652</v>
      </c>
      <c r="AM110" s="142" t="n">
        <f aca="false">AI110*EXP(-$AR$6/8.31/AI110)/(1+EXP($AR$2/8.31*(1-$AR$5/$AR$2/AI110)))</f>
        <v>8.73710973557655E-014</v>
      </c>
      <c r="AN110" s="0" t="n">
        <f aca="false">IF(AK110=$AL$1,1*AJ110,0)</f>
        <v>0</v>
      </c>
    </row>
    <row r="111" customFormat="false" ht="15.75" hidden="false" customHeight="false" outlineLevel="0" collapsed="false">
      <c r="T111" s="0" t="n">
        <v>37</v>
      </c>
      <c r="U111" s="0" t="n">
        <v>1.445702628</v>
      </c>
      <c r="W111" s="0" t="n">
        <f aca="false">0.000122783*T111^2 + 0.0191158*T111+ 0.564601</f>
        <v>1.439975527</v>
      </c>
      <c r="X111" s="0" t="n">
        <f aca="false">U111-W111</f>
        <v>0.00572710099999996</v>
      </c>
      <c r="AI111" s="0" t="n">
        <f aca="false">AI110+0.2</f>
        <v>294.759999999999</v>
      </c>
      <c r="AJ111" s="0" t="n">
        <f aca="false">AI111-273.16</f>
        <v>21.5999999999988</v>
      </c>
      <c r="AK111" s="0" t="n">
        <f aca="false">AI111*$AR$1*EXP(-$AR$6/8.31/AI111)/(1+EXP($AR$2/8.31*(1-$AR$5/$AR$2/AI111)))</f>
        <v>0.488291305949917</v>
      </c>
      <c r="AL111" s="0" t="n">
        <v>0.314896479821433</v>
      </c>
      <c r="AM111" s="142" t="n">
        <f aca="false">AI111*EXP(-$AR$6/8.31/AI111)/(1+EXP($AR$2/8.31*(1-$AR$5/$AR$2/AI111)))</f>
        <v>8.95112621928398E-014</v>
      </c>
      <c r="AN111" s="0" t="n">
        <f aca="false">IF(AK111=$AL$1,1*AJ111,0)</f>
        <v>0</v>
      </c>
    </row>
    <row r="112" customFormat="false" ht="15.75" hidden="false" customHeight="false" outlineLevel="0" collapsed="false">
      <c r="T112" s="0" t="n">
        <v>38</v>
      </c>
      <c r="U112" s="0" t="n">
        <v>1.473708728</v>
      </c>
      <c r="W112" s="0" t="n">
        <f aca="false">0.000122783*T112^2 + 0.0191158*T112+ 0.564601</f>
        <v>1.468300052</v>
      </c>
      <c r="X112" s="0" t="n">
        <f aca="false">U112-W112</f>
        <v>0.00540867600000006</v>
      </c>
      <c r="AI112" s="0" t="n">
        <f aca="false">AI111+0.2</f>
        <v>294.959999999999</v>
      </c>
      <c r="AJ112" s="0" t="n">
        <f aca="false">AI112-273.16</f>
        <v>21.7999999999988</v>
      </c>
      <c r="AK112" s="0" t="n">
        <f aca="false">AI112*$AR$1*EXP(-$AR$6/8.31/AI112)/(1+EXP($AR$2/8.31*(1-$AR$5/$AR$2/AI112)))</f>
        <v>0.50020077296814</v>
      </c>
      <c r="AL112" s="0" t="n">
        <v>0.298743152566644</v>
      </c>
      <c r="AM112" s="142" t="n">
        <f aca="false">AI112*EXP(-$AR$6/8.31/AI112)/(1+EXP($AR$2/8.31*(1-$AR$5/$AR$2/AI112)))</f>
        <v>9.16944495890834E-014</v>
      </c>
      <c r="AN112" s="0" t="n">
        <f aca="false">IF(AK112=$AL$1,1*AJ112,0)</f>
        <v>0</v>
      </c>
    </row>
    <row r="113" customFormat="false" ht="15.75" hidden="false" customHeight="false" outlineLevel="0" collapsed="false">
      <c r="T113" s="0" t="n">
        <v>39</v>
      </c>
      <c r="U113" s="0" t="n">
        <v>1.501917252</v>
      </c>
      <c r="W113" s="0" t="n">
        <f aca="false">0.000122783*T113^2 + 0.0191158*T113+ 0.564601</f>
        <v>1.496870143</v>
      </c>
      <c r="X113" s="0" t="n">
        <f aca="false">U113-W113</f>
        <v>0.00504710900000016</v>
      </c>
      <c r="AI113" s="0" t="n">
        <f aca="false">AI112+0.2</f>
        <v>295.159999999999</v>
      </c>
      <c r="AJ113" s="0" t="n">
        <f aca="false">AI113-273.16</f>
        <v>21.9999999999987</v>
      </c>
      <c r="AK113" s="0" t="n">
        <f aca="false">AI113*$AR$1*EXP(-$AR$6/8.31/AI113)/(1+EXP($AR$2/8.31*(1-$AR$5/$AR$2/AI113)))</f>
        <v>0.512344965249165</v>
      </c>
      <c r="AL113" s="0" t="n">
        <v>0.283276745695358</v>
      </c>
      <c r="AM113" s="142" t="n">
        <f aca="false">AI113*EXP(-$AR$6/8.31/AI113)/(1+EXP($AR$2/8.31*(1-$AR$5/$AR$2/AI113)))</f>
        <v>9.39206657148698E-014</v>
      </c>
      <c r="AN113" s="0" t="n">
        <f aca="false">IF(AK113=$AL$1,1*AJ113,0)</f>
        <v>0</v>
      </c>
    </row>
    <row r="114" customFormat="false" ht="15.75" hidden="false" customHeight="false" outlineLevel="0" collapsed="false">
      <c r="T114" s="0" t="n">
        <v>40</v>
      </c>
      <c r="U114" s="0" t="n">
        <v>1.5303282</v>
      </c>
      <c r="W114" s="0" t="n">
        <f aca="false">0.000122783*T114^2 + 0.0191158*T114+ 0.564601</f>
        <v>1.5256858</v>
      </c>
      <c r="X114" s="0" t="n">
        <f aca="false">U114-W114</f>
        <v>0.00464240000000005</v>
      </c>
      <c r="AI114" s="0" t="n">
        <f aca="false">AI113+0.2</f>
        <v>295.359999999999</v>
      </c>
      <c r="AJ114" s="0" t="n">
        <f aca="false">AI114-273.16</f>
        <v>22.1999999999987</v>
      </c>
      <c r="AK114" s="0" t="n">
        <f aca="false">AI114*$AR$1*EXP(-$AR$6/8.31/AI114)/(1+EXP($AR$2/8.31*(1-$AR$5/$AR$2/AI114)))</f>
        <v>0.524723316247396</v>
      </c>
      <c r="AL114" s="0" t="n">
        <v>0.268487357630759</v>
      </c>
      <c r="AM114" s="142" t="n">
        <f aca="false">AI114*EXP(-$AR$6/8.31/AI114)/(1+EXP($AR$2/8.31*(1-$AR$5/$AR$2/AI114)))</f>
        <v>9.61898067137295E-014</v>
      </c>
      <c r="AN114" s="0" t="n">
        <f aca="false">IF(AK114=$AL$1,1*AJ114,0)</f>
        <v>0</v>
      </c>
    </row>
    <row r="115" customFormat="false" ht="15.75" hidden="false" customHeight="false" outlineLevel="0" collapsed="false">
      <c r="T115" s="0" t="n">
        <v>41</v>
      </c>
      <c r="U115" s="0" t="n">
        <v>1.558941572</v>
      </c>
      <c r="W115" s="0" t="n">
        <f aca="false">0.000122783*T115^2 + 0.0191158*T115+ 0.564601</f>
        <v>1.554747023</v>
      </c>
      <c r="X115" s="0" t="n">
        <f aca="false">U115-W115</f>
        <v>0.00419454900000016</v>
      </c>
      <c r="AI115" s="0" t="n">
        <f aca="false">AI114+0.2</f>
        <v>295.559999999999</v>
      </c>
      <c r="AJ115" s="0" t="n">
        <f aca="false">AI115-273.16</f>
        <v>22.3999999999987</v>
      </c>
      <c r="AK115" s="0" t="n">
        <f aca="false">AI115*$AR$1*EXP(-$AR$6/8.31/AI115)/(1+EXP($AR$2/8.31*(1-$AR$5/$AR$2/AI115)))</f>
        <v>0.537334582868422</v>
      </c>
      <c r="AL115" s="0" t="n">
        <v>0.254362379548205</v>
      </c>
      <c r="AM115" s="142" t="n">
        <f aca="false">AI115*EXP(-$AR$6/8.31/AI115)/(1+EXP($AR$2/8.31*(1-$AR$5/$AR$2/AI115)))</f>
        <v>9.850164470745E-014</v>
      </c>
      <c r="AN115" s="0" t="n">
        <f aca="false">IF(AK115=$AL$1,1*AJ115,0)</f>
        <v>0</v>
      </c>
    </row>
    <row r="116" customFormat="false" ht="15.75" hidden="false" customHeight="false" outlineLevel="0" collapsed="false">
      <c r="T116" s="0" t="n">
        <v>42</v>
      </c>
      <c r="U116" s="0" t="n">
        <v>1.587757368</v>
      </c>
      <c r="W116" s="0" t="n">
        <f aca="false">0.000122783*T116^2 + 0.0191158*T116+ 0.564601</f>
        <v>1.584053812</v>
      </c>
      <c r="X116" s="0" t="n">
        <f aca="false">U116-W116</f>
        <v>0.00370355600000005</v>
      </c>
      <c r="AI116" s="0" t="n">
        <f aca="false">AI115+0.2</f>
        <v>295.759999999999</v>
      </c>
      <c r="AJ116" s="0" t="n">
        <f aca="false">AI116-273.16</f>
        <v>22.5999999999987</v>
      </c>
      <c r="AK116" s="0" t="n">
        <f aca="false">AI116*$AR$1*EXP(-$AR$6/8.31/AI116)/(1+EXP($AR$2/8.31*(1-$AR$5/$AR$2/AI116)))</f>
        <v>0.55017676167348</v>
      </c>
      <c r="AL116" s="0" t="n">
        <v>0.240886944939792</v>
      </c>
      <c r="AM116" s="142" t="n">
        <f aca="false">AI116*EXP(-$AR$6/8.31/AI116)/(1+EXP($AR$2/8.31*(1-$AR$5/$AR$2/AI116)))</f>
        <v>1.00855812435075E-013</v>
      </c>
      <c r="AN116" s="0" t="n">
        <f aca="false">IF(AK116=$AL$1,1*AJ116,0)</f>
        <v>0</v>
      </c>
    </row>
    <row r="117" customFormat="false" ht="15.75" hidden="false" customHeight="false" outlineLevel="0" collapsed="false">
      <c r="T117" s="0" t="n">
        <v>43</v>
      </c>
      <c r="U117" s="0" t="n">
        <v>1.616775588</v>
      </c>
      <c r="W117" s="0" t="n">
        <f aca="false">0.000122783*T117^2 + 0.0191158*T117+ 0.564601</f>
        <v>1.613606167</v>
      </c>
      <c r="X117" s="0" t="n">
        <f aca="false">U117-W117</f>
        <v>0.00316942099999995</v>
      </c>
      <c r="AI117" s="0" t="n">
        <f aca="false">AI116+0.2</f>
        <v>295.959999999999</v>
      </c>
      <c r="AJ117" s="0" t="n">
        <f aca="false">AI117-273.16</f>
        <v>22.7999999999987</v>
      </c>
      <c r="AK117" s="0" t="n">
        <f aca="false">AI117*$AR$1*EXP(-$AR$6/8.31/AI117)/(1+EXP($AR$2/8.31*(1-$AR$5/$AR$2/AI117)))</f>
        <v>0.563246997123453</v>
      </c>
      <c r="AL117" s="0" t="n">
        <v>0.228044340458373</v>
      </c>
      <c r="AM117" s="142" t="n">
        <f aca="false">AI117*EXP(-$AR$6/8.31/AI117)/(1+EXP($AR$2/8.31*(1-$AR$5/$AR$2/AI117)))</f>
        <v>1.03251786432622E-013</v>
      </c>
      <c r="AN117" s="0" t="n">
        <f aca="false">IF(AK117=$AL$1,1*AJ117,0)</f>
        <v>0</v>
      </c>
    </row>
    <row r="118" customFormat="false" ht="15.75" hidden="false" customHeight="false" outlineLevel="0" collapsed="false">
      <c r="T118" s="0" t="n">
        <v>44</v>
      </c>
      <c r="U118" s="0" t="n">
        <v>1.645996232</v>
      </c>
      <c r="W118" s="0" t="n">
        <f aca="false">0.000122783*T118^2 + 0.0191158*T118+ 0.564601</f>
        <v>1.643404088</v>
      </c>
      <c r="X118" s="0" t="n">
        <f aca="false">U118-W118</f>
        <v>0.00259214399999985</v>
      </c>
      <c r="AI118" s="0" t="n">
        <f aca="false">AI117+0.2</f>
        <v>296.159999999999</v>
      </c>
      <c r="AJ118" s="0" t="n">
        <f aca="false">AI118-273.16</f>
        <v>22.9999999999987</v>
      </c>
      <c r="AK118" s="0" t="n">
        <f aca="false">AI118*$AR$1*EXP(-$AR$6/8.31/AI118)/(1+EXP($AR$2/8.31*(1-$AR$5/$AR$2/AI118)))</f>
        <v>0.576541481366118</v>
      </c>
      <c r="AL118" s="0" t="n">
        <v>0.215816377760096</v>
      </c>
      <c r="AM118" s="142" t="n">
        <f aca="false">AI118*EXP(-$AR$6/8.31/AI118)/(1+EXP($AR$2/8.31*(1-$AR$5/$AR$2/AI118)))</f>
        <v>1.0568886866256E-013</v>
      </c>
      <c r="AN118" s="0" t="n">
        <f aca="false">IF(AK118=$AL$1,1*AJ118,0)</f>
        <v>0</v>
      </c>
    </row>
    <row r="119" customFormat="false" ht="15.75" hidden="false" customHeight="false" outlineLevel="0" collapsed="false">
      <c r="T119" s="0" t="n">
        <v>45</v>
      </c>
      <c r="U119" s="0" t="n">
        <v>1.6754193</v>
      </c>
      <c r="W119" s="0" t="n">
        <f aca="false">0.000122783*T119^2 + 0.0191158*T119+ 0.564601</f>
        <v>1.673447575</v>
      </c>
      <c r="X119" s="0" t="n">
        <f aca="false">U119-W119</f>
        <v>0.0019717250000002</v>
      </c>
      <c r="AI119" s="0" t="n">
        <f aca="false">AI118+0.2</f>
        <v>296.359999999999</v>
      </c>
      <c r="AJ119" s="0" t="n">
        <f aca="false">AI119-273.16</f>
        <v>23.1999999999987</v>
      </c>
      <c r="AK119" s="0" t="n">
        <f aca="false">AI119*$AR$1*EXP(-$AR$6/8.31/AI119)/(1+EXP($AR$2/8.31*(1-$AR$5/$AR$2/AI119)))</f>
        <v>0.590055345096119</v>
      </c>
      <c r="AL119" s="0" t="n">
        <v>0.204183726968139</v>
      </c>
      <c r="AM119" s="142" t="n">
        <f aca="false">AI119*EXP(-$AR$6/8.31/AI119)/(1+EXP($AR$2/8.31*(1-$AR$5/$AR$2/AI119)))</f>
        <v>1.08166166506767E-013</v>
      </c>
      <c r="AN119" s="0" t="n">
        <f aca="false">IF(AK119=$AL$1,1*AJ119,0)</f>
        <v>0</v>
      </c>
    </row>
    <row r="120" customFormat="false" ht="15.75" hidden="false" customHeight="false" outlineLevel="0" collapsed="false">
      <c r="T120" s="0" t="n">
        <v>46</v>
      </c>
      <c r="U120" s="0" t="n">
        <v>1.705044792</v>
      </c>
      <c r="W120" s="0" t="n">
        <f aca="false">0.000122783*T120^2 + 0.0191158*T120+ 0.564601</f>
        <v>1.703736628</v>
      </c>
      <c r="X120" s="0" t="n">
        <f aca="false">U120-W120</f>
        <v>0.00130816399999967</v>
      </c>
      <c r="AI120" s="0" t="n">
        <f aca="false">AI119+0.2</f>
        <v>296.559999999999</v>
      </c>
      <c r="AJ120" s="0" t="n">
        <f aca="false">AI120-273.16</f>
        <v>23.3999999999987</v>
      </c>
      <c r="AK120" s="0" t="n">
        <f aca="false">AI120*$AR$1*EXP(-$AR$6/8.31/AI120)/(1+EXP($AR$2/8.31*(1-$AR$5/$AR$2/AI120)))</f>
        <v>0.60378253906026</v>
      </c>
      <c r="AL120" s="0" t="n">
        <v>0.193126213072551</v>
      </c>
      <c r="AM120" s="142" t="n">
        <f aca="false">AI120*EXP(-$AR$6/8.31/AI120)/(1+EXP($AR$2/8.31*(1-$AR$5/$AR$2/AI120)))</f>
        <v>1.1068257104464E-013</v>
      </c>
      <c r="AN120" s="0" t="n">
        <f aca="false">IF(AK120=$AL$1,1*AJ120,0)</f>
        <v>0</v>
      </c>
    </row>
    <row r="121" customFormat="false" ht="15.75" hidden="false" customHeight="false" outlineLevel="0" collapsed="false">
      <c r="T121" s="0" t="n">
        <v>47</v>
      </c>
      <c r="U121" s="0" t="n">
        <v>1.734872708</v>
      </c>
      <c r="W121" s="0" t="n">
        <f aca="false">0.000122783*T121^2 + 0.0191158*T121+ 0.564601</f>
        <v>1.734271247</v>
      </c>
      <c r="X121" s="0" t="n">
        <f aca="false">U121-W121</f>
        <v>0.000601461000000025</v>
      </c>
      <c r="AI121" s="0" t="n">
        <f aca="false">AI120+0.2</f>
        <v>296.759999999999</v>
      </c>
      <c r="AJ121" s="0" t="n">
        <f aca="false">AI121-273.16</f>
        <v>23.5999999999987</v>
      </c>
      <c r="AK121" s="0" t="n">
        <f aca="false">AI121*$AR$1*EXP(-$AR$6/8.31/AI121)/(1+EXP($AR$2/8.31*(1-$AR$5/$AR$2/AI121)))</f>
        <v>0.617715705845452</v>
      </c>
      <c r="AL121" s="0" t="n">
        <v>0.182623077088613</v>
      </c>
      <c r="AM121" s="142" t="n">
        <f aca="false">AI121*EXP(-$AR$6/8.31/AI121)/(1+EXP($AR$2/8.31*(1-$AR$5/$AR$2/AI121)))</f>
        <v>1.13236733549867E-013</v>
      </c>
      <c r="AN121" s="0" t="n">
        <f aca="false">IF(AK121=$AL$1,1*AJ121,0)</f>
        <v>0</v>
      </c>
    </row>
    <row r="122" customFormat="false" ht="15.75" hidden="false" customHeight="false" outlineLevel="0" collapsed="false">
      <c r="T122" s="0" t="n">
        <v>48</v>
      </c>
      <c r="U122" s="0" t="n">
        <v>1.764903048</v>
      </c>
      <c r="W122" s="0" t="n">
        <f aca="false">0.000122783*T122^2 + 0.0191158*T122+ 0.564601</f>
        <v>1.765051432</v>
      </c>
      <c r="X122" s="0" t="n">
        <f aca="false">U122-W122</f>
        <v>-0.000148384000000057</v>
      </c>
      <c r="AI122" s="0" t="n">
        <f aca="false">AI121+0.2</f>
        <v>296.959999999999</v>
      </c>
      <c r="AJ122" s="0" t="n">
        <f aca="false">AI122-273.16</f>
        <v>23.7999999999986</v>
      </c>
      <c r="AK122" s="0" t="n">
        <f aca="false">AI122*$AR$1*EXP(-$AR$6/8.31/AI122)/(1+EXP($AR$2/8.31*(1-$AR$5/$AR$2/AI122)))</f>
        <v>0.631846041677043</v>
      </c>
      <c r="AL122" s="0" t="n">
        <v>0.172653204146912</v>
      </c>
      <c r="AM122" s="142" t="n">
        <f aca="false">AI122*EXP(-$AR$6/8.31/AI122)/(1+EXP($AR$2/8.31*(1-$AR$5/$AR$2/AI122)))</f>
        <v>1.15827040155949E-013</v>
      </c>
      <c r="AN122" s="0" t="n">
        <f aca="false">IF(AK122=$AL$1,1*AJ122,0)</f>
        <v>0</v>
      </c>
    </row>
    <row r="123" customFormat="false" ht="15.75" hidden="false" customHeight="false" outlineLevel="0" collapsed="false">
      <c r="T123" s="0" t="n">
        <v>49</v>
      </c>
      <c r="U123" s="0" t="n">
        <v>1.795135812</v>
      </c>
      <c r="W123" s="0" t="n">
        <f aca="false">0.000122783*T123^2 + 0.0191158*T123+ 0.564601</f>
        <v>1.796077183</v>
      </c>
      <c r="X123" s="0" t="n">
        <f aca="false">U123-W123</f>
        <v>-0.000941370999999691</v>
      </c>
      <c r="AI123" s="0" t="n">
        <f aca="false">AI122+0.2</f>
        <v>297.159999999999</v>
      </c>
      <c r="AJ123" s="0" t="n">
        <f aca="false">AI123-273.16</f>
        <v>23.9999999999986</v>
      </c>
      <c r="AK123" s="0" t="n">
        <f aca="false">AI123*$AR$1*EXP(-$AR$6/8.31/AI123)/(1+EXP($AR$2/8.31*(1-$AR$5/$AR$2/AI123)))</f>
        <v>0.646163148077378</v>
      </c>
      <c r="AL123" s="0" t="n">
        <v>0.163195320908179</v>
      </c>
      <c r="AM123" s="142" t="n">
        <f aca="false">AI123*EXP(-$AR$6/8.31/AI123)/(1+EXP($AR$2/8.31*(1-$AR$5/$AR$2/AI123)))</f>
        <v>1.18451584662942E-013</v>
      </c>
      <c r="AN123" s="0" t="n">
        <f aca="false">IF(AK123=$AL$1,1*AJ123,0)</f>
        <v>0</v>
      </c>
    </row>
    <row r="124" customFormat="false" ht="15.75" hidden="false" customHeight="false" outlineLevel="0" collapsed="false">
      <c r="T124" s="0" t="n">
        <v>50</v>
      </c>
      <c r="U124" s="0" t="n">
        <v>1.825571</v>
      </c>
      <c r="W124" s="0" t="n">
        <f aca="false">0.000122783*T124^2 + 0.0191158*T124+ 0.564601</f>
        <v>1.8273485</v>
      </c>
      <c r="X124" s="0" t="n">
        <f aca="false">U124-W124</f>
        <v>-0.00177749999999977</v>
      </c>
      <c r="AI124" s="0" t="n">
        <f aca="false">AI123+0.2</f>
        <v>297.359999999999</v>
      </c>
      <c r="AJ124" s="0" t="n">
        <f aca="false">AI124-273.16</f>
        <v>24.1999999999986</v>
      </c>
      <c r="AK124" s="0" t="n">
        <f aca="false">AI124*$AR$1*EXP(-$AR$6/8.31/AI124)/(1+EXP($AR$2/8.31*(1-$AR$5/$AR$2/AI124)))</f>
        <v>0.660654873393133</v>
      </c>
      <c r="AL124" s="0" t="n">
        <v>0.122849351718896</v>
      </c>
      <c r="AM124" s="142" t="n">
        <f aca="false">AI124*EXP(-$AR$6/8.31/AI124)/(1+EXP($AR$2/8.31*(1-$AR$5/$AR$2/AI124)))</f>
        <v>1.21108139486996E-013</v>
      </c>
      <c r="AN124" s="0" t="n">
        <f aca="false">IF(AK124=$AL$1,1*AJ124,0)</f>
        <v>0</v>
      </c>
    </row>
    <row r="125" customFormat="false" ht="15.75" hidden="false" customHeight="false" outlineLevel="0" collapsed="false">
      <c r="T125" s="0" t="n">
        <v>51</v>
      </c>
      <c r="U125" s="0" t="n">
        <v>1.856208612</v>
      </c>
      <c r="W125" s="0" t="n">
        <f aca="false">0.000122783*T125^2 + 0.0191158*T125+ 0.564601</f>
        <v>1.858865383</v>
      </c>
      <c r="X125" s="0" t="n">
        <f aca="false">U125-W125</f>
        <v>-0.00265677099999984</v>
      </c>
      <c r="AI125" s="0" t="n">
        <f aca="false">AI124+0.2</f>
        <v>297.559999999999</v>
      </c>
      <c r="AJ125" s="0" t="n">
        <f aca="false">AI125-273.16</f>
        <v>24.3999999999986</v>
      </c>
      <c r="AK125" s="0" t="n">
        <f aca="false">AI125*$AR$1*EXP(-$AR$6/8.31/AI125)/(1+EXP($AR$2/8.31*(1-$AR$5/$AR$2/AI125)))</f>
        <v>0.675307144402695</v>
      </c>
      <c r="AL125" s="0" t="n">
        <v>0.0922526123817019</v>
      </c>
      <c r="AM125" s="142" t="n">
        <f aca="false">AI125*EXP(-$AR$6/8.31/AI125)/(1+EXP($AR$2/8.31*(1-$AR$5/$AR$2/AI125)))</f>
        <v>1.23794124791416E-013</v>
      </c>
      <c r="AN125" s="0" t="n">
        <f aca="false">IF(AK125=$AL$1,1*AJ125,0)</f>
        <v>0</v>
      </c>
    </row>
    <row r="126" customFormat="false" ht="15.75" hidden="false" customHeight="false" outlineLevel="0" collapsed="false">
      <c r="T126" s="0" t="n">
        <v>52</v>
      </c>
      <c r="U126" s="0" t="n">
        <v>1.887048648</v>
      </c>
      <c r="W126" s="0" t="n">
        <f aca="false">0.000122783*T126^2 + 0.0191158*T126+ 0.564601</f>
        <v>1.890627832</v>
      </c>
      <c r="X126" s="0" t="n">
        <f aca="false">U126-W126</f>
        <v>-0.0035791839999999</v>
      </c>
      <c r="AI126" s="0" t="n">
        <f aca="false">AI125+0.2</f>
        <v>297.759999999999</v>
      </c>
      <c r="AJ126" s="0" t="n">
        <f aca="false">AI126-273.16</f>
        <v>24.5999999999986</v>
      </c>
      <c r="AK126" s="0" t="n">
        <f aca="false">AI126*$AR$1*EXP(-$AR$6/8.31/AI126)/(1+EXP($AR$2/8.31*(1-$AR$5/$AR$2/AI126)))</f>
        <v>0.690103788467469</v>
      </c>
      <c r="AL126" s="0" t="n">
        <v>0.0692049619326702</v>
      </c>
      <c r="AM126" s="142" t="n">
        <f aca="false">AI126*EXP(-$AR$6/8.31/AI126)/(1+EXP($AR$2/8.31*(1-$AR$5/$AR$2/AI126)))</f>
        <v>1.26506575884273E-013</v>
      </c>
      <c r="AN126" s="0" t="n">
        <f aca="false">IF(AK126=$AL$1,1*AJ126,0)</f>
        <v>0</v>
      </c>
    </row>
    <row r="127" customFormat="false" ht="15.75" hidden="false" customHeight="false" outlineLevel="0" collapsed="false">
      <c r="T127" s="0" t="n">
        <v>53</v>
      </c>
      <c r="U127" s="0" t="n">
        <v>1.918091108</v>
      </c>
      <c r="W127" s="0" t="n">
        <f aca="false">0.000122783*T127^2 + 0.0191158*T127+ 0.564601</f>
        <v>1.922635847</v>
      </c>
      <c r="X127" s="0" t="n">
        <f aca="false">U127-W127</f>
        <v>-0.00454473899999996</v>
      </c>
      <c r="AI127" s="0" t="n">
        <f aca="false">AI126+0.2</f>
        <v>297.959999999999</v>
      </c>
      <c r="AJ127" s="0" t="n">
        <f aca="false">AI127-273.16</f>
        <v>24.7999999999986</v>
      </c>
      <c r="AK127" s="0" t="n">
        <f aca="false">AI127*$AR$1*EXP(-$AR$6/8.31/AI127)/(1+EXP($AR$2/8.31*(1-$AR$5/$AR$2/AI127)))</f>
        <v>0.705026347001551</v>
      </c>
      <c r="AL127" s="0" t="n">
        <v>0.0519110111082861</v>
      </c>
      <c r="AM127" s="142" t="n">
        <f aca="false">AI127*EXP(-$AR$6/8.31/AI127)/(1+EXP($AR$2/8.31*(1-$AR$5/$AR$2/AI127)))</f>
        <v>1.29242109024543E-013</v>
      </c>
      <c r="AN127" s="0" t="n">
        <f aca="false">IF(AK127=$AL$1,1*AJ127,0)</f>
        <v>0</v>
      </c>
    </row>
    <row r="128" customFormat="false" ht="15.75" hidden="false" customHeight="false" outlineLevel="0" collapsed="false">
      <c r="T128" s="0" t="n">
        <v>54</v>
      </c>
      <c r="U128" s="0" t="n">
        <v>1.949335992</v>
      </c>
      <c r="W128" s="0" t="n">
        <f aca="false">0.000122783*T128^2 + 0.0191158*T128+ 0.564601</f>
        <v>1.954889428</v>
      </c>
      <c r="X128" s="0" t="n">
        <f aca="false">U128-W128</f>
        <v>-0.00555343600000002</v>
      </c>
      <c r="AI128" s="0" t="n">
        <f aca="false">AI127+0.2</f>
        <v>298.159999999999</v>
      </c>
      <c r="AJ128" s="0" t="n">
        <f aca="false">AI128-273.16</f>
        <v>24.9999999999986</v>
      </c>
      <c r="AK128" s="0" t="n">
        <f aca="false">AI128*$AR$1*EXP(-$AR$6/8.31/AI128)/(1+EXP($AR$2/8.31*(1-$AR$5/$AR$2/AI128)))</f>
        <v>0.720053881409427</v>
      </c>
      <c r="AL128" s="0" t="n">
        <v>0.0389599558668998</v>
      </c>
      <c r="AM128" s="142" t="n">
        <f aca="false">AI128*EXP(-$AR$6/8.31/AI128)/(1+EXP($AR$2/8.31*(1-$AR$5/$AR$2/AI128)))</f>
        <v>1.31996885847527E-013</v>
      </c>
      <c r="AN128" s="0" t="n">
        <f aca="false">IF(AK128=$AL$1,1*AJ128,0)</f>
        <v>0</v>
      </c>
    </row>
    <row r="129" customFormat="false" ht="15.75" hidden="false" customHeight="false" outlineLevel="0" collapsed="false">
      <c r="T129" s="0" t="n">
        <v>55</v>
      </c>
      <c r="U129" s="0" t="n">
        <v>1.9807833</v>
      </c>
      <c r="W129" s="0" t="n">
        <f aca="false">0.000122783*T129^2 + 0.0191158*T129+ 0.564601</f>
        <v>1.987388575</v>
      </c>
      <c r="X129" s="0" t="n">
        <f aca="false">U129-W129</f>
        <v>-0.00660527500000008</v>
      </c>
      <c r="AI129" s="0" t="n">
        <f aca="false">AI128+0.2</f>
        <v>298.359999999999</v>
      </c>
      <c r="AJ129" s="0" t="n">
        <f aca="false">AI129-273.16</f>
        <v>25.1999999999986</v>
      </c>
      <c r="AK129" s="0" t="n">
        <f aca="false">AI129*$AR$1*EXP(-$AR$6/8.31/AI129)/(1+EXP($AR$2/8.31*(1-$AR$5/$AR$2/AI129)))</f>
        <v>0.735162773088579</v>
      </c>
      <c r="AL129" s="0" t="n">
        <v>0.0292680625600359</v>
      </c>
      <c r="AM129" s="142" t="n">
        <f aca="false">AI129*EXP(-$AR$6/8.31/AI129)/(1+EXP($AR$2/8.31*(1-$AR$5/$AR$2/AI129)))</f>
        <v>1.34766576702262E-013</v>
      </c>
      <c r="AN129" s="0" t="n">
        <f aca="false">IF(AK129=$AL$1,1*AJ129,0)</f>
        <v>0</v>
      </c>
    </row>
    <row r="130" customFormat="false" ht="15.75" hidden="false" customHeight="false" outlineLevel="0" collapsed="false">
      <c r="T130" s="0" t="n">
        <v>56</v>
      </c>
      <c r="U130" s="0" t="n">
        <v>2.012433032</v>
      </c>
      <c r="W130" s="0" t="n">
        <f aca="false">0.000122783*T130^2 + 0.0191158*T130+ 0.564601</f>
        <v>2.020133288</v>
      </c>
      <c r="X130" s="0" t="n">
        <f aca="false">U130-W130</f>
        <v>-0.00770025600000013</v>
      </c>
      <c r="AI130" s="0" t="n">
        <f aca="false">AI129+0.2</f>
        <v>298.559999999999</v>
      </c>
      <c r="AJ130" s="0" t="n">
        <f aca="false">AI130-273.16</f>
        <v>25.3999999999986</v>
      </c>
      <c r="AK130" s="0" t="n">
        <f aca="false">AI130*$AR$1*EXP(-$AR$6/8.31/AI130)/(1+EXP($AR$2/8.31*(1-$AR$5/$AR$2/AI130)))</f>
        <v>0.750326519619109</v>
      </c>
      <c r="AL130" s="0" t="n">
        <v>0.0220142281439842</v>
      </c>
      <c r="AM130" s="142" t="n">
        <f aca="false">AI130*EXP(-$AR$6/8.31/AI130)/(1+EXP($AR$2/8.31*(1-$AR$5/$AR$2/AI130)))</f>
        <v>1.37546323289966E-013</v>
      </c>
      <c r="AN130" s="0" t="n">
        <f aca="false">IF(AK130=$AL$1,1*AJ130,0)</f>
        <v>0</v>
      </c>
    </row>
    <row r="131" customFormat="false" ht="15.75" hidden="false" customHeight="false" outlineLevel="0" collapsed="false">
      <c r="T131" s="0" t="n">
        <v>57</v>
      </c>
      <c r="U131" s="0" t="n">
        <v>2.044285188</v>
      </c>
      <c r="W131" s="0" t="n">
        <f aca="false">0.000122783*T131^2 + 0.0191158*T131+ 0.564601</f>
        <v>2.053123567</v>
      </c>
      <c r="X131" s="0" t="n">
        <f aca="false">U131-W131</f>
        <v>-0.00883837900000017</v>
      </c>
      <c r="AI131" s="0" t="n">
        <f aca="false">AI130+0.2</f>
        <v>298.759999999999</v>
      </c>
      <c r="AJ131" s="0" t="n">
        <f aca="false">AI131-273.16</f>
        <v>25.5999999999985</v>
      </c>
      <c r="AK131" s="0" t="n">
        <f aca="false">AI131*$AR$1*EXP(-$AR$6/8.31/AI131)/(1+EXP($AR$2/8.31*(1-$AR$5/$AR$2/AI131)))</f>
        <v>0.765515529870972</v>
      </c>
      <c r="AL131" s="0" t="n">
        <v>0.0165814590817086</v>
      </c>
      <c r="AM131" s="142" t="n">
        <f aca="false">AI131*EXP(-$AR$6/8.31/AI131)/(1+EXP($AR$2/8.31*(1-$AR$5/$AR$2/AI131)))</f>
        <v>1.40330701104065E-013</v>
      </c>
      <c r="AN131" s="0" t="n">
        <f aca="false">IF(AK131=$AL$1,1*AJ131,0)</f>
        <v>0</v>
      </c>
    </row>
    <row r="132" customFormat="false" ht="15.75" hidden="false" customHeight="false" outlineLevel="0" collapsed="false">
      <c r="T132" s="0" t="n">
        <v>58</v>
      </c>
      <c r="U132" s="0" t="n">
        <v>2.076339768</v>
      </c>
      <c r="W132" s="0" t="n">
        <f aca="false">0.000122783*T132^2 + 0.0191158*T132+ 0.564601</f>
        <v>2.086359412</v>
      </c>
      <c r="X132" s="0" t="n">
        <f aca="false">U132-W132</f>
        <v>-0.0100196439999998</v>
      </c>
      <c r="AI132" s="0" t="n">
        <f aca="false">AI131+0.2</f>
        <v>298.959999999999</v>
      </c>
      <c r="AJ132" s="0" t="n">
        <f aca="false">AI132-273.16</f>
        <v>25.7999999999985</v>
      </c>
      <c r="AK132" s="0" t="n">
        <f aca="false">AI132*$AR$1*EXP(-$AR$6/8.31/AI132)/(1+EXP($AR$2/8.31*(1-$AR$5/$AR$2/AI132)))</f>
        <v>0.780696921453648</v>
      </c>
      <c r="AL132" s="0" t="n">
        <v>0.0125083490080366</v>
      </c>
      <c r="AM132" s="142" t="n">
        <f aca="false">AI132*EXP(-$AR$6/8.31/AI132)/(1+EXP($AR$2/8.31*(1-$AR$5/$AR$2/AI132)))</f>
        <v>1.43113682299615E-013</v>
      </c>
      <c r="AN132" s="0" t="n">
        <f aca="false">IF(AK132=$AL$1,1*AJ132,0)</f>
        <v>0</v>
      </c>
    </row>
    <row r="133" customFormat="false" ht="15.75" hidden="false" customHeight="false" outlineLevel="0" collapsed="false">
      <c r="T133" s="0" t="n">
        <v>59</v>
      </c>
      <c r="U133" s="0" t="n">
        <v>2.108596772</v>
      </c>
      <c r="W133" s="0" t="n">
        <f aca="false">0.000122783*T133^2 + 0.0191158*T133+ 0.564601</f>
        <v>2.119840823</v>
      </c>
      <c r="X133" s="0" t="n">
        <f aca="false">U133-W133</f>
        <v>-0.0112440510000003</v>
      </c>
      <c r="AI133" s="0" t="n">
        <f aca="false">AI132+0.2</f>
        <v>299.159999999999</v>
      </c>
      <c r="AJ133" s="0" t="n">
        <f aca="false">AI133-273.16</f>
        <v>25.9999999999985</v>
      </c>
      <c r="AK133" s="0" t="n">
        <f aca="false">AI133*$AR$1*EXP(-$AR$6/8.31/AI133)/(1+EXP($AR$2/8.31*(1-$AR$5/$AR$2/AI133)))</f>
        <v>0.795834324712558</v>
      </c>
      <c r="AL133" s="0" t="n">
        <v>0.00945072276657346</v>
      </c>
      <c r="AM133" s="142" t="n">
        <f aca="false">AI133*EXP(-$AR$6/8.31/AI133)/(1+EXP($AR$2/8.31*(1-$AR$5/$AR$2/AI133)))</f>
        <v>1.45888599762851E-013</v>
      </c>
      <c r="AN133" s="0" t="n">
        <f aca="false">IF(AK133=$AL$1,1*AJ133,0)</f>
        <v>0</v>
      </c>
    </row>
    <row r="134" customFormat="false" ht="15.75" hidden="false" customHeight="false" outlineLevel="0" collapsed="false">
      <c r="T134" s="0" t="n">
        <v>60</v>
      </c>
      <c r="U134" s="0" t="n">
        <v>2.1410562</v>
      </c>
      <c r="W134" s="0" t="n">
        <f aca="false">0.000122783*T134^2 + 0.0191158*T134+ 0.564601</f>
        <v>2.1535678</v>
      </c>
      <c r="X134" s="0" t="n">
        <f aca="false">U134-W134</f>
        <v>-0.0125115999999998</v>
      </c>
      <c r="AI134" s="0" t="n">
        <f aca="false">AI133+0.2</f>
        <v>299.359999999999</v>
      </c>
      <c r="AJ134" s="0" t="n">
        <f aca="false">AI134-273.16</f>
        <v>26.1999999999985</v>
      </c>
      <c r="AK134" s="0" t="n">
        <f aca="false">AI134*$AR$1*EXP(-$AR$6/8.31/AI134)/(1+EXP($AR$2/8.31*(1-$AR$5/$AR$2/AI134)))</f>
        <v>0.810887698336916</v>
      </c>
      <c r="AL134" s="0" t="n">
        <v>0.0071521313785829</v>
      </c>
      <c r="AM134" s="142" t="n">
        <f aca="false">AI134*EXP(-$AR$6/8.31/AI134)/(1+EXP($AR$2/8.31*(1-$AR$5/$AR$2/AI134)))</f>
        <v>1.48648113309289E-013</v>
      </c>
      <c r="AN134" s="0" t="n">
        <f aca="false">IF(AK134=$AL$1,1*AJ134,0)</f>
        <v>0</v>
      </c>
    </row>
    <row r="135" customFormat="false" ht="15.75" hidden="false" customHeight="false" outlineLevel="0" collapsed="false">
      <c r="AI135" s="0" t="n">
        <f aca="false">AI134+0.2</f>
        <v>299.559999999999</v>
      </c>
      <c r="AJ135" s="0" t="n">
        <f aca="false">AI135-273.16</f>
        <v>26.3999999999985</v>
      </c>
      <c r="AK135" s="0" t="n">
        <f aca="false">AI135*$AR$1*EXP(-$AR$6/8.31/AI135)/(1+EXP($AR$2/8.31*(1-$AR$5/$AR$2/AI135)))</f>
        <v>0.825813162573743</v>
      </c>
      <c r="AL135" s="0" t="n">
        <v>0.00542151832986825</v>
      </c>
      <c r="AM135" s="142" t="n">
        <f aca="false">AI135*EXP(-$AR$6/8.31/AI135)/(1+EXP($AR$2/8.31*(1-$AR$5/$AR$2/AI135)))</f>
        <v>1.51384179109301E-013</v>
      </c>
      <c r="AN135" s="0" t="n">
        <f aca="false">IF(AK135=$AL$1,1*AJ135,0)</f>
        <v>0</v>
      </c>
    </row>
    <row r="136" customFormat="false" ht="15.75" hidden="false" customHeight="false" outlineLevel="0" collapsed="false">
      <c r="AI136" s="0" t="n">
        <f aca="false">AI135+0.2</f>
        <v>299.759999999998</v>
      </c>
      <c r="AJ136" s="0" t="n">
        <f aca="false">AI136-273.16</f>
        <v>26.5999999999985</v>
      </c>
      <c r="AK136" s="0" t="n">
        <f aca="false">AI136*$AR$1*EXP(-$AR$6/8.31/AI136)/(1+EXP($AR$2/8.31*(1-$AR$5/$AR$2/AI136)))</f>
        <v>0.840562857025426</v>
      </c>
      <c r="AL136" s="0" t="n">
        <v>0.00411647577372759</v>
      </c>
      <c r="AM136" s="142" t="n">
        <f aca="false">AI136*EXP(-$AR$6/8.31/AI136)/(1+EXP($AR$2/8.31*(1-$AR$5/$AR$2/AI136)))</f>
        <v>1.54088023620233E-013</v>
      </c>
      <c r="AN136" s="0" t="n">
        <f aca="false">IF(AK136=$AL$1,1*AJ136,0)</f>
        <v>0</v>
      </c>
    </row>
    <row r="137" customFormat="false" ht="15.75" hidden="false" customHeight="false" outlineLevel="0" collapsed="false">
      <c r="AI137" s="0" t="n">
        <f aca="false">AI136+0.2</f>
        <v>299.959999999998</v>
      </c>
      <c r="AJ137" s="0" t="n">
        <f aca="false">AI137-273.16</f>
        <v>26.7999999999985</v>
      </c>
      <c r="AK137" s="0" t="n">
        <f aca="false">AI137*$AR$1*EXP(-$AR$6/8.31/AI137)/(1+EXP($AR$2/8.31*(1-$AR$5/$AR$2/AI137)))</f>
        <v>0.855084831015695</v>
      </c>
      <c r="AL137" s="0" t="n">
        <v>0.00313076182500765</v>
      </c>
      <c r="AM137" s="142" t="n">
        <f aca="false">AI137*EXP(-$AR$6/8.31/AI137)/(1+EXP($AR$2/8.31*(1-$AR$5/$AR$2/AI137)))</f>
        <v>1.56750123488819E-013</v>
      </c>
      <c r="AN137" s="0" t="n">
        <f aca="false">IF(AK137=$AL$1,1*AJ137,0)</f>
        <v>0</v>
      </c>
    </row>
    <row r="138" customFormat="false" ht="15.75" hidden="false" customHeight="false" outlineLevel="0" collapsed="false">
      <c r="AI138" s="0" t="n">
        <f aca="false">AI137+0.2</f>
        <v>300.159999999998</v>
      </c>
      <c r="AJ138" s="0" t="n">
        <f aca="false">AI138-273.16</f>
        <v>26.9999999999985</v>
      </c>
      <c r="AK138" s="0" t="n">
        <f aca="false">AI138*$AR$1*EXP(-$AR$6/8.31/AI138)/(1+EXP($AR$2/8.31*(1-$AR$5/$AR$2/AI138)))</f>
        <v>0.86932297550472</v>
      </c>
      <c r="AL138" s="0" t="n">
        <v>0.00238502327626001</v>
      </c>
      <c r="AM138" s="142" t="n">
        <f aca="false">AI138*EXP(-$AR$6/8.31/AI138)/(1+EXP($AR$2/8.31*(1-$AR$5/$AR$2/AI138)))</f>
        <v>1.59360193070167E-013</v>
      </c>
      <c r="AN138" s="0" t="n">
        <f aca="false">IF(AK138=$AL$1,1*AJ138,0)</f>
        <v>0</v>
      </c>
    </row>
    <row r="139" customFormat="false" ht="15.75" hidden="false" customHeight="false" outlineLevel="0" collapsed="false">
      <c r="AI139" s="0" t="n">
        <f aca="false">AI138+0.2</f>
        <v>300.359999999998</v>
      </c>
      <c r="AJ139" s="0" t="n">
        <f aca="false">AI139-273.16</f>
        <v>27.1999999999985</v>
      </c>
      <c r="AK139" s="0" t="n">
        <f aca="false">AI139*$AR$1*EXP(-$AR$6/8.31/AI139)/(1+EXP($AR$2/8.31*(1-$AR$5/$AR$2/AI139)))</f>
        <v>0.883217006467856</v>
      </c>
      <c r="AL139" s="0" t="n">
        <v>0.0018199107209723</v>
      </c>
      <c r="AM139" s="142" t="n">
        <f aca="false">AI139*EXP(-$AR$6/8.31/AI139)/(1+EXP($AR$2/8.31*(1-$AR$5/$AR$2/AI139)))</f>
        <v>1.61907181380838E-013</v>
      </c>
      <c r="AN139" s="0" t="n">
        <f aca="false">IF(AK139=$AL$1,1*AJ139,0)</f>
        <v>0</v>
      </c>
    </row>
    <row r="140" customFormat="false" ht="15.75" hidden="false" customHeight="false" outlineLevel="0" collapsed="false">
      <c r="AI140" s="0" t="n">
        <f aca="false">AI139+0.2</f>
        <v>300.559999999998</v>
      </c>
      <c r="AJ140" s="0" t="n">
        <f aca="false">AI140-273.16</f>
        <v>27.3999999999984</v>
      </c>
      <c r="AK140" s="0" t="n">
        <f aca="false">AI140*$AR$1*EXP(-$AR$6/8.31/AI140)/(1+EXP($AR$2/8.31*(1-$AR$5/$AR$2/AI140)))</f>
        <v>0.896702510462056</v>
      </c>
      <c r="AL140" s="0" t="n">
        <v>0.00139097120684418</v>
      </c>
      <c r="AM140" s="142" t="n">
        <f aca="false">AI140*EXP(-$AR$6/8.31/AI140)/(1+EXP($AR$2/8.31*(1-$AR$5/$AR$2/AI140)))</f>
        <v>1.64379280451861E-013</v>
      </c>
      <c r="AN140" s="0" t="n">
        <f aca="false">IF(AK140=$AL$1,1*AJ140,0)</f>
        <v>0</v>
      </c>
    </row>
    <row r="141" customFormat="false" ht="15.75" hidden="false" customHeight="false" outlineLevel="0" collapsed="false">
      <c r="AI141" s="0" t="n">
        <f aca="false">AI140+0.2</f>
        <v>300.759999999998</v>
      </c>
      <c r="AJ141" s="0" t="n">
        <f aca="false">AI141-273.16</f>
        <v>27.5999999999984</v>
      </c>
      <c r="AK141" s="0" t="n">
        <f aca="false">AI141*$AR$1*EXP(-$AR$6/8.31/AI141)/(1+EXP($AR$2/8.31*(1-$AR$5/$AR$2/AI141)))</f>
        <v>0.909711063712224</v>
      </c>
      <c r="AL141" s="0" t="n">
        <v>0.00106485839224199</v>
      </c>
      <c r="AM141" s="142" t="n">
        <f aca="false">AI141*EXP(-$AR$6/8.31/AI141)/(1+EXP($AR$2/8.31*(1-$AR$5/$AR$2/AI141)))</f>
        <v>1.66763947159084E-013</v>
      </c>
      <c r="AN141" s="0" t="n">
        <f aca="false">IF(AK141=$AL$1,1*AJ141,0)</f>
        <v>0</v>
      </c>
    </row>
    <row r="142" customFormat="false" ht="15.75" hidden="false" customHeight="false" outlineLevel="0" collapsed="false">
      <c r="AI142" s="0" t="n">
        <f aca="false">AI141+0.2</f>
        <v>300.959999999998</v>
      </c>
      <c r="AJ142" s="0" t="n">
        <f aca="false">AI142-273.16</f>
        <v>27.7999999999984</v>
      </c>
      <c r="AK142" s="0" t="n">
        <f aca="false">AI142*$AR$1*EXP(-$AR$6/8.31/AI142)/(1+EXP($AR$2/8.31*(1-$AR$5/$AR$2/AI142)))</f>
        <v>0.922170436367637</v>
      </c>
      <c r="AL142" s="0" t="n">
        <v>0.00081651822269779</v>
      </c>
      <c r="AM142" s="142" t="n">
        <f aca="false">AI142*EXP(-$AR$6/8.31/AI142)/(1+EXP($AR$2/8.31*(1-$AR$5/$AR$2/AI142)))</f>
        <v>1.69047940666499E-013</v>
      </c>
      <c r="AN142" s="0" t="n">
        <f aca="false">IF(AK142=$AL$1,1*AJ142,0)</f>
        <v>0</v>
      </c>
    </row>
    <row r="143" customFormat="false" ht="15.75" hidden="false" customHeight="false" outlineLevel="0" collapsed="false">
      <c r="AI143" s="0" t="n">
        <f aca="false">AI142+0.2</f>
        <v>301.159999999998</v>
      </c>
      <c r="AJ143" s="0" t="n">
        <f aca="false">AI143-273.16</f>
        <v>27.9999999999984</v>
      </c>
      <c r="AK143" s="0" t="n">
        <f aca="false">AI143*$AR$1*EXP(-$AR$6/8.31/AI143)/(1+EXP($AR$2/8.31*(1-$AR$5/$AR$2/AI143)))</f>
        <v>0.93400489350434</v>
      </c>
      <c r="AL143" s="0" t="n">
        <v>0.000627096815145512</v>
      </c>
      <c r="AM143" s="142" t="n">
        <f aca="false">AI143*EXP(-$AR$6/8.31/AI143)/(1+EXP($AR$2/8.31*(1-$AR$5/$AR$2/AI143)))</f>
        <v>1.71217377604584E-013</v>
      </c>
      <c r="AN143" s="0" t="n">
        <f aca="false">IF(AK143=$AL$1,1*AJ143,0)</f>
        <v>0</v>
      </c>
    </row>
    <row r="144" customFormat="false" ht="15.75" hidden="false" customHeight="false" outlineLevel="0" collapsed="false">
      <c r="AI144" s="0" t="n">
        <f aca="false">AI143+0.2</f>
        <v>301.359999999998</v>
      </c>
      <c r="AJ144" s="0" t="n">
        <f aca="false">AI144-273.16</f>
        <v>28.1999999999984</v>
      </c>
      <c r="AK144" s="0" t="n">
        <f aca="false">AI144*$AR$1*EXP(-$AR$6/8.31/AI144)/(1+EXP($AR$2/8.31*(1-$AR$5/$AR$2/AI144)))</f>
        <v>0.945135603875013</v>
      </c>
      <c r="AL144" s="0" t="n">
        <v>0.0307260419299691</v>
      </c>
      <c r="AM144" s="142" t="n">
        <f aca="false">AI144*EXP(-$AR$6/8.31/AI144)/(1+EXP($AR$2/8.31*(1-$AR$5/$AR$2/AI144)))</f>
        <v>1.73257807000401E-013</v>
      </c>
      <c r="AN144" s="0" t="n">
        <f aca="false">IF(AK144=$AL$1,1*AJ144,0)</f>
        <v>0</v>
      </c>
    </row>
    <row r="145" customFormat="false" ht="15.75" hidden="false" customHeight="false" outlineLevel="0" collapsed="false">
      <c r="AI145" s="0" t="n">
        <f aca="false">AI144+0.2</f>
        <v>301.559999999998</v>
      </c>
      <c r="AJ145" s="0" t="n">
        <f aca="false">AI145-273.16</f>
        <v>28.3999999999984</v>
      </c>
      <c r="AK145" s="0" t="n">
        <f aca="false">AI145*$AR$1*EXP(-$AR$6/8.31/AI145)/(1+EXP($AR$2/8.31*(1-$AR$5/$AR$2/AI145)))</f>
        <v>0.955481166222571</v>
      </c>
      <c r="AL145" s="0" t="n">
        <v>0.0354573098797822</v>
      </c>
      <c r="AM145" s="142" t="n">
        <f aca="false">AI145*EXP(-$AR$6/8.31/AI145)/(1+EXP($AR$2/8.31*(1-$AR$5/$AR$2/AI145)))</f>
        <v>1.75154306758927E-013</v>
      </c>
      <c r="AN145" s="0" t="n">
        <f aca="false">IF(AK145=$AL$1,1*AJ145,0)</f>
        <v>0</v>
      </c>
    </row>
    <row r="146" customFormat="false" ht="15.75" hidden="false" customHeight="false" outlineLevel="0" collapsed="false">
      <c r="AI146" s="0" t="n">
        <f aca="false">AI145+0.2</f>
        <v>301.759999999998</v>
      </c>
      <c r="AJ146" s="0" t="n">
        <f aca="false">AI146-273.16</f>
        <v>28.5999999999984</v>
      </c>
      <c r="AK146" s="0" t="n">
        <f aca="false">AI146*$AR$1*EXP(-$AR$6/8.31/AI146)/(1+EXP($AR$2/8.31*(1-$AR$5/$AR$2/AI146)))</f>
        <v>0.964958261073144</v>
      </c>
      <c r="AL146" s="0" t="n">
        <v>0.0408752234765796</v>
      </c>
      <c r="AM146" s="142" t="n">
        <f aca="false">AI146*EXP(-$AR$6/8.31/AI146)/(1+EXP($AR$2/8.31*(1-$AR$5/$AR$2/AI146)))</f>
        <v>1.76891603146676E-013</v>
      </c>
      <c r="AN146" s="0" t="n">
        <f aca="false">IF(AK146=$AL$1,1*AJ146,0)</f>
        <v>0</v>
      </c>
    </row>
    <row r="147" customFormat="false" ht="15.75" hidden="false" customHeight="false" outlineLevel="0" collapsed="false">
      <c r="AI147" s="0" t="n">
        <f aca="false">AI146+0.2</f>
        <v>301.959999999998</v>
      </c>
      <c r="AJ147" s="0" t="n">
        <f aca="false">AI147-273.16</f>
        <v>28.7999999999984</v>
      </c>
      <c r="AK147" s="0" t="n">
        <f aca="false">AI147*$AR$1*EXP(-$AR$6/8.31/AI147)/(1+EXP($AR$2/8.31*(1-$AR$5/$AR$2/AI147)))</f>
        <v>0.973482433221474</v>
      </c>
      <c r="AL147" s="0" t="n">
        <v>0.0470732778818408</v>
      </c>
      <c r="AM147" s="142" t="n">
        <f aca="false">AI147*EXP(-$AR$6/8.31/AI147)/(1+EXP($AR$2/8.31*(1-$AR$5/$AR$2/AI147)))</f>
        <v>1.78454214233232E-013</v>
      </c>
      <c r="AN147" s="0" t="n">
        <f aca="false">IF(AK147=$AL$1,1*AJ147,0)</f>
        <v>0</v>
      </c>
    </row>
    <row r="148" customFormat="false" ht="15.75" hidden="false" customHeight="false" outlineLevel="0" collapsed="false">
      <c r="AI148" s="0" t="n">
        <f aca="false">AI147+0.2</f>
        <v>302.159999999998</v>
      </c>
      <c r="AJ148" s="0" t="n">
        <f aca="false">AI148-273.16</f>
        <v>28.9999999999984</v>
      </c>
      <c r="AK148" s="0" t="n">
        <f aca="false">AI148*$AR$1*EXP(-$AR$6/8.31/AI148)/(1+EXP($AR$2/8.31*(1-$AR$5/$AR$2/AI148)))</f>
        <v>0.980969006559021</v>
      </c>
      <c r="AL148" s="0" t="n">
        <v>0.0541568428776223</v>
      </c>
      <c r="AM148" s="142" t="n">
        <f aca="false">AI148*EXP(-$AR$6/8.31/AI148)/(1+EXP($AR$2/8.31*(1-$AR$5/$AR$2/AI148)))</f>
        <v>1.79826617593229E-013</v>
      </c>
      <c r="AN148" s="0" t="n">
        <f aca="false">IF(AK148=$AL$1,1*AJ148,0)</f>
        <v>0</v>
      </c>
    </row>
    <row r="149" customFormat="false" ht="15.75" hidden="false" customHeight="false" outlineLevel="0" collapsed="false">
      <c r="AI149" s="0" t="n">
        <f aca="false">AI148+0.2</f>
        <v>302.359999999998</v>
      </c>
      <c r="AJ149" s="0" t="n">
        <f aca="false">AI149-273.16</f>
        <v>29.1999999999983</v>
      </c>
      <c r="AK149" s="0" t="n">
        <f aca="false">AI149*$AR$1*EXP(-$AR$6/8.31/AI149)/(1+EXP($AR$2/8.31*(1-$AR$5/$AR$2/AI149)))</f>
        <v>0.987334128459131</v>
      </c>
      <c r="AL149" s="0" t="n">
        <v>0.0622445561113419</v>
      </c>
      <c r="AM149" s="142" t="n">
        <f aca="false">AI149*EXP(-$AR$6/8.31/AI149)/(1+EXP($AR$2/8.31*(1-$AR$5/$AR$2/AI149)))</f>
        <v>1.80993441758123E-013</v>
      </c>
      <c r="AN149" s="0" t="n">
        <f aca="false">IF(AK149=$AL$1,1*AJ149,0)</f>
        <v>0</v>
      </c>
    </row>
    <row r="150" customFormat="false" ht="15.75" hidden="false" customHeight="false" outlineLevel="0" collapsed="false">
      <c r="AI150" s="0" t="n">
        <f aca="false">AI149+0.2</f>
        <v>302.559999999998</v>
      </c>
      <c r="AJ150" s="0" t="n">
        <f aca="false">AI150-273.16</f>
        <v>29.3999999999983</v>
      </c>
      <c r="AK150" s="0" t="n">
        <f aca="false">AI150*$AR$1*EXP(-$AR$6/8.31/AI150)/(1+EXP($AR$2/8.31*(1-$AR$5/$AR$2/AI150)))</f>
        <v>0.992495935670305</v>
      </c>
      <c r="AL150" s="0" t="n">
        <v>0.0714698623660532</v>
      </c>
      <c r="AM150" s="142" t="n">
        <f aca="false">AI150*EXP(-$AR$6/8.31/AI150)/(1+EXP($AR$2/8.31*(1-$AR$5/$AR$2/AI150)))</f>
        <v>1.81939679942253E-013</v>
      </c>
      <c r="AN150" s="0" t="n">
        <f aca="false">IF(AK150=$AL$1,1*AJ150,0)</f>
        <v>0</v>
      </c>
    </row>
    <row r="151" customFormat="false" ht="15.75" hidden="false" customHeight="false" outlineLevel="0" collapsed="false">
      <c r="AI151" s="0" t="n">
        <f aca="false">AI150+0.2</f>
        <v>302.759999999998</v>
      </c>
      <c r="AJ151" s="0" t="n">
        <f aca="false">AI151-273.16</f>
        <v>29.5999999999983</v>
      </c>
      <c r="AK151" s="0" t="n">
        <f aca="false">AI151*$AR$1*EXP(-$AR$6/8.31/AI151)/(1+EXP($AR$2/8.31*(1-$AR$5/$AR$2/AI151)))</f>
        <v>0.996375827696943</v>
      </c>
      <c r="AL151" s="0" t="n">
        <v>0.08198270908904</v>
      </c>
      <c r="AM151" s="142" t="n">
        <f aca="false">AI151*EXP(-$AR$6/8.31/AI151)/(1+EXP($AR$2/8.31*(1-$AR$5/$AR$2/AI151)))</f>
        <v>1.82650923472999E-013</v>
      </c>
      <c r="AN151" s="0" t="n">
        <f aca="false">IF(AK151=$AL$1,1*AJ151,0)</f>
        <v>0</v>
      </c>
    </row>
    <row r="152" customFormat="false" ht="15.75" hidden="false" customHeight="false" outlineLevel="0" collapsed="false">
      <c r="AI152" s="0" t="n">
        <f aca="false">AI151+0.2</f>
        <v>302.959999999998</v>
      </c>
      <c r="AJ152" s="0" t="n">
        <f aca="false">AI152-273.16</f>
        <v>29.7999999999983</v>
      </c>
      <c r="AK152" s="0" t="n">
        <f aca="false">AI152*$AR$1*EXP(-$AR$6/8.31/AI152)/(1+EXP($AR$2/8.31*(1-$AR$5/$AR$2/AI152)))</f>
        <v>0.998899827167993</v>
      </c>
      <c r="AL152" s="0" t="n">
        <v>0.0939514058344541</v>
      </c>
      <c r="AM152" s="142" t="n">
        <f aca="false">AI152*EXP(-$AR$6/8.31/AI152)/(1+EXP($AR$2/8.31*(1-$AR$5/$AR$2/AI152)))</f>
        <v>1.83113611167157E-013</v>
      </c>
      <c r="AN152" s="0" t="n">
        <f aca="false">IF(AK152=$AL$1,1*AJ152,0)</f>
        <v>0</v>
      </c>
    </row>
    <row r="153" customFormat="false" ht="15.75" hidden="false" customHeight="false" outlineLevel="0" collapsed="false">
      <c r="AI153" s="0" t="n">
        <f aca="false">AI152+0.2</f>
        <v>303.159999999998</v>
      </c>
      <c r="AJ153" s="0" t="n">
        <f aca="false">AI153-273.16</f>
        <v>29.9999999999983</v>
      </c>
      <c r="AK153" s="0" t="n">
        <f aca="false">AI153*$AR$1*EXP(-$AR$6/8.31/AI153)/(1+EXP($AR$2/8.31*(1-$AR$5/$AR$2/AI153)))</f>
        <v>1</v>
      </c>
      <c r="AL153" s="0" t="n">
        <v>0.107564649637406</v>
      </c>
      <c r="AM153" s="142" t="n">
        <f aca="false">AI153*EXP(-$AR$6/8.31/AI153)/(1+EXP($AR$2/8.31*(1-$AR$5/$AR$2/AI153)))</f>
        <v>1.83315289668542E-013</v>
      </c>
      <c r="AN153" s="0" t="n">
        <f aca="false">IF(AK153=$AL$1,1*AJ153,0)</f>
        <v>29.9999999999983</v>
      </c>
    </row>
    <row r="154" customFormat="false" ht="15.75" hidden="false" customHeight="false" outlineLevel="0" collapsed="false">
      <c r="AI154" s="0" t="n">
        <f aca="false">AI153+0.2</f>
        <v>303.359999999998</v>
      </c>
      <c r="AJ154" s="0" t="n">
        <f aca="false">AI154-273.16</f>
        <v>30.1999999999983</v>
      </c>
      <c r="AK154" s="0" t="n">
        <f aca="false">AI154*$AR$1*EXP(-$AR$6/8.31/AI154)/(1+EXP($AR$2/8.31*(1-$AR$5/$AR$2/AI154)))</f>
        <v>0.999615901625279</v>
      </c>
      <c r="AL154" s="0" t="n">
        <v>0.123033707132568</v>
      </c>
      <c r="AM154" s="142" t="n">
        <f aca="false">AI154*EXP(-$AR$6/8.31/AI154)/(1+EXP($AR$2/8.31*(1-$AR$5/$AR$2/AI154)))</f>
        <v>1.83244878563719E-013</v>
      </c>
      <c r="AN154" s="0" t="n">
        <f aca="false">IF(AK154=$AL$1,1*AJ154,0)</f>
        <v>0</v>
      </c>
    </row>
    <row r="155" customFormat="false" ht="15.75" hidden="false" customHeight="false" outlineLevel="0" collapsed="false">
      <c r="AI155" s="0" t="n">
        <f aca="false">AI154+0.2</f>
        <v>303.559999999998</v>
      </c>
      <c r="AJ155" s="0" t="n">
        <f aca="false">AI155-273.16</f>
        <v>30.3999999999983</v>
      </c>
      <c r="AK155" s="0" t="n">
        <f aca="false">AI155*$AR$1*EXP(-$AR$6/8.31/AI155)/(1+EXP($AR$2/8.31*(1-$AR$5/$AR$2/AI155)))</f>
        <v>0.997696009627397</v>
      </c>
      <c r="AL155" s="0" t="n">
        <v>0.140594723010304</v>
      </c>
      <c r="AM155" s="142" t="n">
        <f aca="false">AI155*EXP(-$AR$6/8.31/AI155)/(1+EXP($AR$2/8.31*(1-$AR$5/$AR$2/AI155)))</f>
        <v>1.82892933005995E-013</v>
      </c>
      <c r="AN155" s="0" t="n">
        <f aca="false">IF(AK155=$AL$1,1*AJ155,0)</f>
        <v>0</v>
      </c>
    </row>
    <row r="156" customFormat="false" ht="15.75" hidden="false" customHeight="false" outlineLevel="0" collapsed="false">
      <c r="AI156" s="0" t="n">
        <f aca="false">AI155+0.2</f>
        <v>303.759999999998</v>
      </c>
      <c r="AJ156" s="0" t="n">
        <f aca="false">AI156-273.16</f>
        <v>30.5999999999983</v>
      </c>
      <c r="AK156" s="0" t="n">
        <f aca="false">AI156*$AR$1*EXP(-$AR$6/8.31/AI156)/(1+EXP($AR$2/8.31*(1-$AR$5/$AR$2/AI156)))</f>
        <v>0.994199098295713</v>
      </c>
      <c r="AL156" s="0" t="n">
        <v>0.160511085308462</v>
      </c>
      <c r="AM156" s="142" t="n">
        <f aca="false">AI156*EXP(-$AR$6/8.31/AI156)/(1+EXP($AR$2/8.31*(1-$AR$5/$AR$2/AI156)))</f>
        <v>1.82251895692282E-013</v>
      </c>
      <c r="AN156" s="0" t="n">
        <f aca="false">IF(AK156=$AL$1,1*AJ156,0)</f>
        <v>0</v>
      </c>
    </row>
    <row r="157" customFormat="false" ht="15.75" hidden="false" customHeight="false" outlineLevel="0" collapsed="false">
      <c r="AI157" s="0" t="n">
        <f aca="false">AI156+0.2</f>
        <v>303.959999999998</v>
      </c>
      <c r="AJ157" s="0" t="n">
        <f aca="false">AI157-273.16</f>
        <v>30.7999999999982</v>
      </c>
      <c r="AK157" s="0" t="n">
        <f aca="false">AI157*$AR$1*EXP(-$AR$6/8.31/AI157)/(1+EXP($AR$2/8.31*(1-$AR$5/$AR$2/AI157)))</f>
        <v>0.989095507381985</v>
      </c>
      <c r="AL157" s="0" t="n">
        <v>0.183075707275909</v>
      </c>
      <c r="AM157" s="142" t="n">
        <f aca="false">AI157*EXP(-$AR$6/8.31/AI157)/(1+EXP($AR$2/8.31*(1-$AR$5/$AR$2/AI157)))</f>
        <v>1.81316329445582E-013</v>
      </c>
      <c r="AN157" s="0" t="n">
        <f aca="false">IF(AK157=$AL$1,1*AJ157,0)</f>
        <v>0</v>
      </c>
    </row>
    <row r="158" customFormat="false" ht="15.75" hidden="false" customHeight="false" outlineLevel="0" collapsed="false">
      <c r="AI158" s="0" t="n">
        <f aca="false">AI157+0.2</f>
        <v>304.159999999998</v>
      </c>
      <c r="AJ158" s="0" t="n">
        <f aca="false">AI158-273.16</f>
        <v>30.9999999999982</v>
      </c>
      <c r="AK158" s="0" t="n">
        <f aca="false">AI158*$AR$1*EXP(-$AR$6/8.31/AI158)/(1+EXP($AR$2/8.31*(1-$AR$5/$AR$2/AI158)))</f>
        <v>0.982368256179969</v>
      </c>
      <c r="AL158" s="0" t="n">
        <v>0.208612959084417</v>
      </c>
      <c r="AM158" s="142" t="n">
        <f aca="false">AI158*EXP(-$AR$6/8.31/AI158)/(1+EXP($AR$2/8.31*(1-$AR$5/$AR$2/AI158)))</f>
        <v>1.80083121442812E-013</v>
      </c>
      <c r="AN158" s="0" t="n">
        <f aca="false">IF(AK158=$AL$1,1*AJ158,0)</f>
        <v>0</v>
      </c>
    </row>
    <row r="159" customFormat="false" ht="15.75" hidden="false" customHeight="false" outlineLevel="0" collapsed="false">
      <c r="AI159" s="0" t="n">
        <f aca="false">AI158+0.2</f>
        <v>304.359999999998</v>
      </c>
      <c r="AJ159" s="0" t="n">
        <f aca="false">AI159-273.16</f>
        <v>31.1999999999982</v>
      </c>
      <c r="AK159" s="0" t="n">
        <f aca="false">AI159*$AR$1*EXP(-$AR$6/8.31/AI159)/(1+EXP($AR$2/8.31*(1-$AR$5/$AR$2/AI159)))</f>
        <v>0.974013955328884</v>
      </c>
      <c r="AL159" s="0" t="n">
        <v>0.237479759021002</v>
      </c>
      <c r="AM159" s="142" t="n">
        <f aca="false">AI159*EXP(-$AR$6/8.31/AI159)/(1+EXP($AR$2/8.31*(1-$AR$5/$AR$2/AI159)))</f>
        <v>1.78551650362317E-013</v>
      </c>
      <c r="AN159" s="0" t="n">
        <f aca="false">IF(AK159=$AL$1,1*AJ159,0)</f>
        <v>0</v>
      </c>
    </row>
    <row r="160" customFormat="false" ht="15.75" hidden="false" customHeight="false" outlineLevel="0" collapsed="false">
      <c r="AI160" s="0" t="n">
        <f aca="false">AI159+0.2</f>
        <v>304.559999999998</v>
      </c>
      <c r="AJ160" s="0" t="n">
        <f aca="false">AI160-273.16</f>
        <v>31.3999999999982</v>
      </c>
      <c r="AK160" s="0" t="n">
        <f aca="false">AI160*$AR$1*EXP(-$AR$6/8.31/AI160)/(1+EXP($AR$2/8.31*(1-$AR$5/$AR$2/AI160)))</f>
        <v>0.964043472699467</v>
      </c>
      <c r="AL160" s="0" t="n">
        <v>0.270064942196463</v>
      </c>
      <c r="AM160" s="142" t="n">
        <f aca="false">AI160*EXP(-$AR$6/8.31/AI160)/(1+EXP($AR$2/8.31*(1-$AR$5/$AR$2/AI160)))</f>
        <v>1.7672390845097E-013</v>
      </c>
      <c r="AN160" s="0" t="n">
        <f aca="false">IF(AK160=$AL$1,1*AJ160,0)</f>
        <v>0</v>
      </c>
    </row>
    <row r="161" customFormat="false" ht="15.75" hidden="false" customHeight="false" outlineLevel="0" collapsed="false">
      <c r="AI161" s="0" t="n">
        <f aca="false">AI160+0.2</f>
        <v>304.759999999998</v>
      </c>
      <c r="AJ161" s="0" t="n">
        <f aca="false">AI161-273.16</f>
        <v>31.5999999999982</v>
      </c>
      <c r="AK161" s="0" t="n">
        <f aca="false">AI161*$AR$1*EXP(-$AR$6/8.31/AI161)/(1+EXP($AR$2/8.31*(1-$AR$5/$AR$2/AI161)))</f>
        <v>0.952482316402966</v>
      </c>
      <c r="AL161" s="0" t="n">
        <v>0.306785346620406</v>
      </c>
      <c r="AM161" s="142" t="n">
        <f aca="false">AI161*EXP(-$AR$6/8.31/AI161)/(1+EXP($AR$2/8.31*(1-$AR$5/$AR$2/AI161)))</f>
        <v>1.74604571735574E-013</v>
      </c>
      <c r="AN161" s="0" t="n">
        <f aca="false">IF(AK161=$AL$1,1*AJ161,0)</f>
        <v>0</v>
      </c>
    </row>
    <row r="162" customFormat="false" ht="15.75" hidden="false" customHeight="false" outlineLevel="0" collapsed="false">
      <c r="AI162" s="0" t="n">
        <f aca="false">AI161+0.2</f>
        <v>304.959999999998</v>
      </c>
      <c r="AJ162" s="0" t="n">
        <f aca="false">AI162-273.16</f>
        <v>31.7999999999982</v>
      </c>
      <c r="AK162" s="0" t="n">
        <f aca="false">AI162*$AR$1*EXP(-$AR$6/8.31/AI162)/(1+EXP($AR$2/8.31*(1-$AR$5/$AR$2/AI162)))</f>
        <v>0.939370707200143</v>
      </c>
      <c r="AL162" s="0" t="n">
        <v>0.348075898019276</v>
      </c>
      <c r="AM162" s="142" t="n">
        <f aca="false">AI162*EXP(-$AR$6/8.31/AI162)/(1+EXP($AR$2/8.31*(1-$AR$5/$AR$2/AI162)))</f>
        <v>1.72201013296538E-013</v>
      </c>
      <c r="AN162" s="0" t="n">
        <f aca="false">IF(AK162=$AL$1,1*AJ162,0)</f>
        <v>0</v>
      </c>
    </row>
    <row r="163" customFormat="false" ht="15.75" hidden="false" customHeight="false" outlineLevel="0" collapsed="false">
      <c r="AI163" s="0" t="n">
        <f aca="false">AI162+0.2</f>
        <v>305.159999999998</v>
      </c>
      <c r="AJ163" s="0" t="n">
        <f aca="false">AI163-273.16</f>
        <v>31.9999999999982</v>
      </c>
      <c r="AK163" s="0" t="n">
        <f aca="false">AI163*$AR$1*EXP(-$AR$6/8.31/AI163)/(1+EXP($AR$2/8.31*(1-$AR$5/$AR$2/AI163)))</f>
        <v>0.924763323979789</v>
      </c>
      <c r="AL163" s="0" t="n">
        <v>0.394369033195156</v>
      </c>
      <c r="AM163" s="142" t="n">
        <f aca="false">AI163*EXP(-$AR$6/8.31/AI163)/(1+EXP($AR$2/8.31*(1-$AR$5/$AR$2/AI163)))</f>
        <v>1.69523256610199E-013</v>
      </c>
      <c r="AN163" s="0" t="n">
        <f aca="false">IF(AK163=$AL$1,1*AJ163,0)</f>
        <v>0</v>
      </c>
    </row>
    <row r="164" customFormat="false" ht="15.75" hidden="false" customHeight="false" outlineLevel="0" collapsed="false">
      <c r="AI164" s="0" t="n">
        <f aca="false">AI163+0.2</f>
        <v>305.359999999998</v>
      </c>
      <c r="AJ164" s="0" t="n">
        <f aca="false">AI164-273.16</f>
        <v>32.1999999999982</v>
      </c>
      <c r="AK164" s="0" t="n">
        <f aca="false">AI164*$AR$1*EXP(-$AR$6/8.31/AI164)/(1+EXP($AR$2/8.31*(1-$AR$5/$AR$2/AI164)))</f>
        <v>0.908728718915089</v>
      </c>
      <c r="AL164" s="0" t="n">
        <v>0.404263751566885</v>
      </c>
      <c r="AM164" s="142" t="n">
        <f aca="false">AI164*EXP(-$AR$6/8.31/AI164)/(1+EXP($AR$2/8.31*(1-$AR$5/$AR$2/AI164)))</f>
        <v>1.66583868338043E-013</v>
      </c>
      <c r="AN164" s="0" t="n">
        <f aca="false">IF(AK164=$AL$1,1*AJ164,0)</f>
        <v>0</v>
      </c>
    </row>
    <row r="165" customFormat="false" ht="15.75" hidden="false" customHeight="false" outlineLevel="0" collapsed="false">
      <c r="AI165" s="0" t="n">
        <f aca="false">AI164+0.2</f>
        <v>305.559999999998</v>
      </c>
      <c r="AJ165" s="0" t="n">
        <f aca="false">AI165-273.16</f>
        <v>32.3999999999982</v>
      </c>
      <c r="AK165" s="0" t="n">
        <f aca="false">AI165*$AR$1*EXP(-$AR$6/8.31/AI165)/(1+EXP($AR$2/8.31*(1-$AR$5/$AR$2/AI165)))</f>
        <v>0.891348412608698</v>
      </c>
      <c r="AL165" s="0" t="n">
        <v>0.414377315730302</v>
      </c>
      <c r="AM165" s="142" t="n">
        <f aca="false">AI165*EXP(-$AR$6/8.31/AI165)/(1+EXP($AR$2/8.31*(1-$AR$5/$AR$2/AI165)))</f>
        <v>1.63397792452959E-013</v>
      </c>
      <c r="AN165" s="0" t="n">
        <f aca="false">IF(AK165=$AL$1,1*AJ165,0)</f>
        <v>0</v>
      </c>
    </row>
    <row r="166" customFormat="false" ht="15.75" hidden="false" customHeight="false" outlineLevel="0" collapsed="false">
      <c r="AI166" s="0" t="n">
        <f aca="false">AI165+0.2</f>
        <v>305.759999999998</v>
      </c>
      <c r="AJ166" s="0" t="n">
        <f aca="false">AI166-273.16</f>
        <v>32.5999999999981</v>
      </c>
      <c r="AK166" s="0" t="n">
        <f aca="false">AI166*$AR$1*EXP(-$AR$6/8.31/AI166)/(1+EXP($AR$2/8.31*(1-$AR$5/$AR$2/AI166)))</f>
        <v>0.872715693118566</v>
      </c>
      <c r="AL166" s="0" t="n">
        <v>0.424712299651247</v>
      </c>
      <c r="AM166" s="142" t="n">
        <f aca="false">AI166*EXP(-$AR$6/8.31/AI166)/(1+EXP($AR$2/8.31*(1-$AR$5/$AR$2/AI166)))</f>
        <v>1.59982130082312E-013</v>
      </c>
      <c r="AN166" s="0" t="n">
        <f aca="false">IF(AK166=$AL$1,1*AJ166,0)</f>
        <v>0</v>
      </c>
    </row>
    <row r="167" customFormat="false" ht="15.75" hidden="false" customHeight="false" outlineLevel="0" collapsed="false">
      <c r="AI167" s="0" t="n">
        <f aca="false">AI166+0.2</f>
        <v>305.959999999998</v>
      </c>
      <c r="AJ167" s="0" t="n">
        <f aca="false">AI167-273.16</f>
        <v>32.7999999999981</v>
      </c>
      <c r="AK167" s="0" t="n">
        <f aca="false">AI167*$AR$1*EXP(-$AR$6/8.31/AI167)/(1+EXP($AR$2/8.31*(1-$AR$5/$AR$2/AI167)))</f>
        <v>0.852934155304106</v>
      </c>
      <c r="AL167" s="0" t="n">
        <v>0.435271048033287</v>
      </c>
      <c r="AM167" s="142" t="n">
        <f aca="false">AI167*EXP(-$AR$6/8.31/AI167)/(1+EXP($AR$2/8.31*(1-$AR$5/$AR$2/AI167)))</f>
        <v>1.56355871747766E-013</v>
      </c>
      <c r="AN167" s="0" t="n">
        <f aca="false">IF(AK167=$AL$1,1*AJ167,0)</f>
        <v>0</v>
      </c>
    </row>
    <row r="168" customFormat="false" ht="15.75" hidden="false" customHeight="false" outlineLevel="0" collapsed="false">
      <c r="AI168" s="0" t="n">
        <f aca="false">AI167+0.2</f>
        <v>306.159999999998</v>
      </c>
      <c r="AJ168" s="0" t="n">
        <f aca="false">AI168-273.16</f>
        <v>32.9999999999981</v>
      </c>
      <c r="AK168" s="0" t="n">
        <f aca="false">AI168*$AR$1*EXP(-$AR$6/8.31/AI168)/(1+EXP($AR$2/8.31*(1-$AR$5/$AR$2/AI168)))</f>
        <v>0.832116027600539</v>
      </c>
      <c r="AL168" s="0" t="n">
        <v>0.446055639326316</v>
      </c>
      <c r="AM168" s="142" t="n">
        <f aca="false">AI168*EXP(-$AR$6/8.31/AI168)/(1+EXP($AR$2/8.31*(1-$AR$5/$AR$2/AI168)))</f>
        <v>1.5253959063743E-013</v>
      </c>
      <c r="AN168" s="0" t="n">
        <f aca="false">IF(AK168=$AL$1,1*AJ168,0)</f>
        <v>0</v>
      </c>
    </row>
    <row r="169" customFormat="false" ht="15.75" hidden="false" customHeight="false" outlineLevel="0" collapsed="false">
      <c r="AI169" s="0" t="n">
        <f aca="false">AI168+0.2</f>
        <v>306.359999999998</v>
      </c>
      <c r="AJ169" s="0" t="n">
        <f aca="false">AI169-273.16</f>
        <v>33.1999999999981</v>
      </c>
      <c r="AK169" s="0" t="n">
        <f aca="false">AI169*$AR$1*EXP(-$AR$6/8.31/AI169)/(1+EXP($AR$2/8.31*(1-$AR$5/$AR$2/AI169)))</f>
        <v>0.810380341417346</v>
      </c>
      <c r="AL169" s="0" t="n">
        <v>0.457067844590791</v>
      </c>
      <c r="AM169" s="142" t="n">
        <f aca="false">AI169*EXP(-$AR$6/8.31/AI169)/(1+EXP($AR$2/8.31*(1-$AR$5/$AR$2/AI169)))</f>
        <v>1.48555107028613E-013</v>
      </c>
      <c r="AN169" s="0" t="n">
        <f aca="false">IF(AK169=$AL$1,1*AJ169,0)</f>
        <v>0</v>
      </c>
    </row>
    <row r="170" customFormat="false" ht="15.75" hidden="false" customHeight="false" outlineLevel="0" collapsed="false">
      <c r="AI170" s="0" t="n">
        <f aca="false">AI169+0.2</f>
        <v>306.559999999998</v>
      </c>
      <c r="AJ170" s="0" t="n">
        <f aca="false">AI170-273.16</f>
        <v>33.3999999999981</v>
      </c>
      <c r="AK170" s="0" t="n">
        <f aca="false">AI170*$AR$1*EXP(-$AR$6/8.31/AI170)/(1+EXP($AR$2/8.31*(1-$AR$5/$AR$2/AI170)))</f>
        <v>0.787851003379565</v>
      </c>
      <c r="AL170" s="0" t="n">
        <v>0.468309081826966</v>
      </c>
      <c r="AM170" s="142" t="n">
        <f aca="false">AI170*EXP(-$AR$6/8.31/AI170)/(1+EXP($AR$2/8.31*(1-$AR$5/$AR$2/AI170)))</f>
        <v>1.44425134900177E-013</v>
      </c>
      <c r="AN170" s="0" t="n">
        <f aca="false">IF(AK170=$AL$1,1*AJ170,0)</f>
        <v>0</v>
      </c>
    </row>
    <row r="171" customFormat="false" ht="15.75" hidden="false" customHeight="false" outlineLevel="0" collapsed="false">
      <c r="AI171" s="0" t="n">
        <f aca="false">AI170+0.2</f>
        <v>306.759999999998</v>
      </c>
      <c r="AJ171" s="0" t="n">
        <f aca="false">AI171-273.16</f>
        <v>33.5999999999981</v>
      </c>
      <c r="AK171" s="0" t="n">
        <f aca="false">AI171*$AR$1*EXP(-$AR$6/8.31/AI171)/(1+EXP($AR$2/8.31*(1-$AR$5/$AR$2/AI171)))</f>
        <v>0.76465483235652</v>
      </c>
      <c r="AL171" s="0" t="n">
        <v>0.479780365353689</v>
      </c>
      <c r="AM171" s="142" t="n">
        <f aca="false">AI171*EXP(-$AR$6/8.31/AI171)/(1+EXP($AR$2/8.31*(1-$AR$5/$AR$2/AI171)))</f>
        <v>1.40172922089886E-013</v>
      </c>
      <c r="AN171" s="0" t="n">
        <f aca="false">IF(AK171=$AL$1,1*AJ171,0)</f>
        <v>0</v>
      </c>
    </row>
    <row r="172" customFormat="false" ht="15.75" hidden="false" customHeight="false" outlineLevel="0" collapsed="false">
      <c r="AI172" s="0" t="n">
        <f aca="false">AI171+0.2</f>
        <v>306.959999999998</v>
      </c>
      <c r="AJ172" s="0" t="n">
        <f aca="false">AI172-273.16</f>
        <v>33.7999999999981</v>
      </c>
      <c r="AK172" s="0" t="n">
        <f aca="false">AI172*$AR$1*EXP(-$AR$6/8.31/AI172)/(1+EXP($AR$2/8.31*(1-$AR$5/$AR$2/AI172)))</f>
        <v>0.740919621690006</v>
      </c>
      <c r="AL172" s="0" t="n">
        <v>0.491482249797553</v>
      </c>
      <c r="AM172" s="142" t="n">
        <f aca="false">AI172*EXP(-$AR$6/8.31/AI172)/(1+EXP($AR$2/8.31*(1-$AR$5/$AR$2/AI172)))</f>
        <v>1.3582189507121E-013</v>
      </c>
      <c r="AN172" s="0" t="n">
        <f aca="false">IF(AK172=$AL$1,1*AJ172,0)</f>
        <v>0</v>
      </c>
    </row>
    <row r="173" customFormat="false" ht="15.75" hidden="false" customHeight="false" outlineLevel="0" collapsed="false">
      <c r="AI173" s="0" t="n">
        <f aca="false">AI172+0.2</f>
        <v>307.159999999998</v>
      </c>
      <c r="AJ173" s="0" t="n">
        <f aca="false">AI173-273.16</f>
        <v>33.9999999999981</v>
      </c>
      <c r="AK173" s="0" t="n">
        <f aca="false">AI173*$AR$1*EXP(-$AR$6/8.31/AI173)/(1+EXP($AR$2/8.31*(1-$AR$5/$AR$2/AI173)))</f>
        <v>0.716772282530017</v>
      </c>
      <c r="AL173" s="0" t="n">
        <v>0.503414768231773</v>
      </c>
      <c r="AM173" s="142" t="n">
        <f aca="false">AI173*EXP(-$AR$6/8.31/AI173)/(1+EXP($AR$2/8.31*(1-$AR$5/$AR$2/AI173)))</f>
        <v>1.31395318598372E-013</v>
      </c>
      <c r="AN173" s="0" t="n">
        <f aca="false">IF(AK173=$AL$1,1*AJ173,0)</f>
        <v>0</v>
      </c>
    </row>
    <row r="174" customFormat="false" ht="15.75" hidden="false" customHeight="false" outlineLevel="0" collapsed="false">
      <c r="AI174" s="0" t="n">
        <f aca="false">AI173+0.2</f>
        <v>307.359999999998</v>
      </c>
      <c r="AJ174" s="0" t="n">
        <f aca="false">AI174-273.16</f>
        <v>34.1999999999981</v>
      </c>
      <c r="AK174" s="0" t="n">
        <f aca="false">AI174*$AR$1*EXP(-$AR$6/8.31/AI174)/(1+EXP($AR$2/8.31*(1-$AR$5/$AR$2/AI174)))</f>
        <v>0.692337117204731</v>
      </c>
      <c r="AL174" s="0" t="n">
        <v>0.515577363985659</v>
      </c>
      <c r="AM174" s="142" t="n">
        <f aca="false">AI174*EXP(-$AR$6/8.31/AI174)/(1+EXP($AR$2/8.31*(1-$AR$5/$AR$2/AI174)))</f>
        <v>1.26915979188669E-013</v>
      </c>
      <c r="AN174" s="0" t="n">
        <f aca="false">IF(AK174=$AL$1,1*AJ174,0)</f>
        <v>0</v>
      </c>
    </row>
    <row r="175" customFormat="false" ht="15.75" hidden="false" customHeight="false" outlineLevel="0" collapsed="false">
      <c r="AI175" s="0" t="n">
        <f aca="false">AI174+0.2</f>
        <v>307.559999999998</v>
      </c>
      <c r="AJ175" s="0" t="n">
        <f aca="false">AI175-273.16</f>
        <v>34.399999999998</v>
      </c>
      <c r="AK175" s="0" t="n">
        <f aca="false">AI175*$AR$1*EXP(-$AR$6/8.31/AI175)/(1+EXP($AR$2/8.31*(1-$AR$5/$AR$2/AI175)))</f>
        <v>0.66773426273215</v>
      </c>
      <c r="AL175" s="0" t="n">
        <v>0.527968815632006</v>
      </c>
      <c r="AM175" s="142" t="n">
        <f aca="false">AI175*EXP(-$AR$6/8.31/AI175)/(1+EXP($AR$2/8.31*(1-$AR$5/$AR$2/AI175)))</f>
        <v>1.22405899794355E-013</v>
      </c>
      <c r="AN175" s="0" t="n">
        <f aca="false">IF(AK175=$AL$1,1*AJ175,0)</f>
        <v>0</v>
      </c>
    </row>
    <row r="176" customFormat="false" ht="15.75" hidden="false" customHeight="false" outlineLevel="0" collapsed="false">
      <c r="AI176" s="0" t="n">
        <f aca="false">AI175+0.2</f>
        <v>307.759999999998</v>
      </c>
      <c r="AJ176" s="0" t="n">
        <f aca="false">AI176-273.16</f>
        <v>34.599999999998</v>
      </c>
      <c r="AK176" s="0" t="n">
        <f aca="false">AI176*$AR$1*EXP(-$AR$6/8.31/AI176)/(1+EXP($AR$2/8.31*(1-$AR$5/$AR$2/AI176)))</f>
        <v>0.643078334634296</v>
      </c>
      <c r="AL176" s="0" t="n">
        <v>0.540587154652071</v>
      </c>
      <c r="AM176" s="142" t="n">
        <f aca="false">AI176*EXP(-$AR$6/8.31/AI176)/(1+EXP($AR$2/8.31*(1-$AR$5/$AR$2/AI176)))</f>
        <v>1.1788609119305E-013</v>
      </c>
      <c r="AN176" s="0" t="n">
        <f aca="false">IF(AK176=$AL$1,1*AJ176,0)</f>
        <v>0</v>
      </c>
    </row>
    <row r="177" customFormat="false" ht="15.75" hidden="false" customHeight="false" outlineLevel="0" collapsed="false">
      <c r="AI177" s="0" t="n">
        <f aca="false">AI176+0.2</f>
        <v>307.959999999998</v>
      </c>
      <c r="AJ177" s="0" t="n">
        <f aca="false">AI177-273.16</f>
        <v>34.799999999998</v>
      </c>
      <c r="AK177" s="0" t="n">
        <f aca="false">AI177*$AR$1*EXP(-$AR$6/8.31/AI177)/(1+EXP($AR$2/8.31*(1-$AR$5/$AR$2/AI177)))</f>
        <v>0.618477290856429</v>
      </c>
      <c r="AL177" s="0" t="n">
        <v>0.553429575278928</v>
      </c>
      <c r="AM177" s="142" t="n">
        <f aca="false">AI177*EXP(-$AR$6/8.31/AI177)/(1+EXP($AR$2/8.31*(1-$AR$5/$AR$2/AI177)))</f>
        <v>1.13376343726761E-013</v>
      </c>
      <c r="AN177" s="0" t="n">
        <f aca="false">IF(AK177=$AL$1,1*AJ177,0)</f>
        <v>0</v>
      </c>
    </row>
    <row r="178" customFormat="false" ht="15.75" hidden="false" customHeight="false" outlineLevel="0" collapsed="false">
      <c r="AI178" s="0" t="n">
        <f aca="false">AI177+0.2</f>
        <v>308.159999999998</v>
      </c>
      <c r="AJ178" s="0" t="n">
        <f aca="false">AI178-273.16</f>
        <v>34.999999999998</v>
      </c>
      <c r="AK178" s="0" t="n">
        <f aca="false">AI178*$AR$1*EXP(-$AR$6/8.31/AI178)/(1+EXP($AR$2/8.31*(1-$AR$5/$AR$2/AI178)))</f>
        <v>0.59403152547863</v>
      </c>
      <c r="AL178" s="0" t="n">
        <v>0.566492336031398</v>
      </c>
      <c r="AM178" s="142" t="n">
        <f aca="false">AI178*EXP(-$AR$6/8.31/AI178)/(1+EXP($AR$2/8.31*(1-$AR$5/$AR$2/AI178)))</f>
        <v>1.08895061165361E-013</v>
      </c>
      <c r="AN178" s="0" t="n">
        <f aca="false">IF(AK178=$AL$1,1*AJ178,0)</f>
        <v>0</v>
      </c>
    </row>
    <row r="179" customFormat="false" ht="15.75" hidden="false" customHeight="false" outlineLevel="0" collapsed="false">
      <c r="AI179" s="0" t="n">
        <f aca="false">AI178+0.2</f>
        <v>308.359999999998</v>
      </c>
      <c r="AJ179" s="0" t="n">
        <f aca="false">AI179-273.16</f>
        <v>35.199999999998</v>
      </c>
      <c r="AK179" s="0" t="n">
        <f aca="false">AI179*$AR$1*EXP(-$AR$6/8.31/AI179)/(1+EXP($AR$2/8.31*(1-$AR$5/$AR$2/AI179)))</f>
        <v>0.569833192585049</v>
      </c>
      <c r="AL179" s="0" t="n">
        <v>0.579770652476345</v>
      </c>
      <c r="AM179" s="142" t="n">
        <f aca="false">AI179*EXP(-$AR$6/8.31/AI179)/(1+EXP($AR$2/8.31*(1-$AR$5/$AR$2/AI179)))</f>
        <v>1.04459136761478E-013</v>
      </c>
      <c r="AN179" s="0" t="n">
        <f aca="false">IF(AK179=$AL$1,1*AJ179,0)</f>
        <v>0</v>
      </c>
    </row>
    <row r="180" customFormat="false" ht="15.75" hidden="false" customHeight="false" outlineLevel="0" collapsed="false">
      <c r="AI180" s="0" t="n">
        <f aca="false">AI179+0.2</f>
        <v>308.559999999998</v>
      </c>
      <c r="AJ180" s="0" t="n">
        <f aca="false">AI180-273.16</f>
        <v>35.399999999998</v>
      </c>
      <c r="AK180" s="0" t="n">
        <f aca="false">AI180*$AR$1*EXP(-$AR$6/8.31/AI180)/(1+EXP($AR$2/8.31*(1-$AR$5/$AR$2/AI180)))</f>
        <v>0.545965752541237</v>
      </c>
      <c r="AL180" s="0" t="n">
        <v>0.593258580799344</v>
      </c>
      <c r="AM180" s="142" t="n">
        <f aca="false">AI180*EXP(-$AR$6/8.31/AI180)/(1+EXP($AR$2/8.31*(1-$AR$5/$AR$2/AI180)))</f>
        <v>1.00083870076201E-013</v>
      </c>
      <c r="AN180" s="0" t="n">
        <f aca="false">IF(AK180=$AL$1,1*AJ180,0)</f>
        <v>0</v>
      </c>
    </row>
    <row r="181" customFormat="false" ht="15.75" hidden="false" customHeight="false" outlineLevel="0" collapsed="false">
      <c r="AI181" s="0" t="n">
        <f aca="false">AI180+0.2</f>
        <v>308.759999999998</v>
      </c>
      <c r="AJ181" s="0" t="n">
        <f aca="false">AI181-273.16</f>
        <v>35.599999999998</v>
      </c>
      <c r="AK181" s="0" t="n">
        <f aca="false">AI181*$AR$1*EXP(-$AR$6/8.31/AI181)/(1+EXP($AR$2/8.31*(1-$AR$5/$AR$2/AI181)))</f>
        <v>0.522503726290493</v>
      </c>
      <c r="AL181" s="0" t="n">
        <v>0.606948891827365</v>
      </c>
      <c r="AM181" s="142" t="n">
        <f aca="false">AI181*EXP(-$AR$6/8.31/AI181)/(1+EXP($AR$2/8.31*(1-$AR$5/$AR$2/AI181)))</f>
        <v>9.57829219378345E-014</v>
      </c>
      <c r="AN181" s="0" t="n">
        <f aca="false">IF(AK181=$AL$1,1*AJ181,0)</f>
        <v>0</v>
      </c>
    </row>
    <row r="182" customFormat="false" ht="15.75" hidden="false" customHeight="false" outlineLevel="0" collapsed="false">
      <c r="AI182" s="0" t="n">
        <f aca="false">AI181+0.2</f>
        <v>308.959999999998</v>
      </c>
      <c r="AJ182" s="0" t="n">
        <f aca="false">AI182-273.16</f>
        <v>35.799999999998</v>
      </c>
      <c r="AK182" s="0" t="n">
        <f aca="false">AI182*$AR$1*EXP(-$AR$6/8.31/AI182)/(1+EXP($AR$2/8.31*(1-$AR$5/$AR$2/AI182)))</f>
        <v>0.499512638241663</v>
      </c>
      <c r="AL182" s="0" t="n">
        <v>0.620832935235966</v>
      </c>
      <c r="AM182" s="142" t="n">
        <f aca="false">AI182*EXP(-$AR$6/8.31/AI182)/(1+EXP($AR$2/8.31*(1-$AR$5/$AR$2/AI182)))</f>
        <v>9.15683039723682E-014</v>
      </c>
      <c r="AN182" s="0" t="n">
        <f aca="false">IF(AK182=$AL$1,1*AJ182,0)</f>
        <v>0</v>
      </c>
    </row>
    <row r="183" customFormat="false" ht="15.75" hidden="false" customHeight="false" outlineLevel="0" collapsed="false">
      <c r="AI183" s="0" t="n">
        <f aca="false">AI182+0.2</f>
        <v>309.159999999998</v>
      </c>
      <c r="AJ183" s="0" t="n">
        <f aca="false">AI183-273.16</f>
        <v>35.999999999998</v>
      </c>
      <c r="AK183" s="0" t="n">
        <f aca="false">AI183*$AR$1*EXP(-$AR$6/8.31/AI183)/(1+EXP($AR$2/8.31*(1-$AR$5/$AR$2/AI183)))</f>
        <v>0.477049124883221</v>
      </c>
      <c r="AL183" s="0" t="n">
        <v>0.634900493793447</v>
      </c>
      <c r="AM183" s="142" t="n">
        <f aca="false">AI183*EXP(-$AR$6/8.31/AI183)/(1+EXP($AR$2/8.31*(1-$AR$5/$AR$2/AI183)))</f>
        <v>8.74503985140923E-014</v>
      </c>
      <c r="AN183" s="0" t="n">
        <f aca="false">IF(AK183=$AL$1,1*AJ183,0)</f>
        <v>0</v>
      </c>
    </row>
    <row r="184" customFormat="false" ht="15.75" hidden="false" customHeight="false" outlineLevel="0" collapsed="false">
      <c r="AI184" s="0" t="n">
        <f aca="false">AI183+0.2</f>
        <v>309.359999999998</v>
      </c>
      <c r="AJ184" s="0" t="n">
        <f aca="false">AI184-273.16</f>
        <v>36.1999999999979</v>
      </c>
      <c r="AK184" s="0" t="n">
        <f aca="false">AI184*$AR$1*EXP(-$AR$6/8.31/AI184)/(1+EXP($AR$2/8.31*(1-$AR$5/$AR$2/AI184)))</f>
        <v>0.455161184321343</v>
      </c>
      <c r="AL184" s="0" t="n">
        <v>0.649139627650381</v>
      </c>
      <c r="AM184" s="142" t="n">
        <f aca="false">AI184*EXP(-$AR$6/8.31/AI184)/(1+EXP($AR$2/8.31*(1-$AR$5/$AR$2/AI184)))</f>
        <v>8.34380043497437E-014</v>
      </c>
      <c r="AN184" s="0" t="n">
        <f aca="false">IF(AK184=$AL$1,1*AJ184,0)</f>
        <v>0</v>
      </c>
    </row>
    <row r="185" customFormat="false" ht="15.75" hidden="false" customHeight="false" outlineLevel="0" collapsed="false">
      <c r="AI185" s="0" t="n">
        <f aca="false">AI184+0.2</f>
        <v>309.559999999998</v>
      </c>
      <c r="AJ185" s="0" t="n">
        <f aca="false">AI185-273.16</f>
        <v>36.3999999999979</v>
      </c>
      <c r="AK185" s="0" t="n">
        <f aca="false">AI185*$AR$1*EXP(-$AR$6/8.31/AI185)/(1+EXP($AR$2/8.31*(1-$AR$5/$AR$2/AI185)))</f>
        <v>0.433888541328971</v>
      </c>
      <c r="AL185" s="0" t="n">
        <v>0.663536508882072</v>
      </c>
      <c r="AM185" s="142" t="n">
        <f aca="false">AI185*EXP(-$AR$6/8.31/AI185)/(1+EXP($AR$2/8.31*(1-$AR$5/$AR$2/AI185)))</f>
        <v>7.95384036375816E-014</v>
      </c>
      <c r="AN185" s="0" t="n">
        <f aca="false">IF(AK185=$AL$1,1*AJ185,0)</f>
        <v>0</v>
      </c>
    </row>
    <row r="186" customFormat="false" ht="15.75" hidden="false" customHeight="false" outlineLevel="0" collapsed="false">
      <c r="AI186" s="0" t="n">
        <f aca="false">AI185+0.2</f>
        <v>309.759999999998</v>
      </c>
      <c r="AJ186" s="0" t="n">
        <f aca="false">AI186-273.16</f>
        <v>36.5999999999979</v>
      </c>
      <c r="AK186" s="0" t="n">
        <f aca="false">AI186*$AR$1*EXP(-$AR$6/8.31/AI186)/(1+EXP($AR$2/8.31*(1-$AR$5/$AR$2/AI186)))</f>
        <v>0.413263102989476</v>
      </c>
      <c r="AL186" s="0" t="n">
        <v>0.678075246739784</v>
      </c>
      <c r="AM186" s="142" t="n">
        <f aca="false">AI186*EXP(-$AR$6/8.31/AI186)/(1+EXP($AR$2/8.31*(1-$AR$5/$AR$2/AI186)))</f>
        <v>7.57574454338365E-014</v>
      </c>
      <c r="AN186" s="0" t="n">
        <f aca="false">IF(AK186=$AL$1,1*AJ186,0)</f>
        <v>0</v>
      </c>
    </row>
    <row r="187" customFormat="false" ht="15.75" hidden="false" customHeight="false" outlineLevel="0" collapsed="false">
      <c r="AI187" s="0" t="n">
        <f aca="false">AI186+0.2</f>
        <v>309.959999999998</v>
      </c>
      <c r="AJ187" s="0" t="n">
        <f aca="false">AI187-273.16</f>
        <v>36.7999999999979</v>
      </c>
      <c r="AK187" s="0" t="n">
        <f aca="false">AI187*$AR$1*EXP(-$AR$6/8.31/AI187)/(1+EXP($AR$2/8.31*(1-$AR$5/$AR$2/AI187)))</f>
        <v>0.393309481384299</v>
      </c>
      <c r="AL187" s="0" t="n">
        <v>0.692737704371636</v>
      </c>
      <c r="AM187" s="142" t="n">
        <f aca="false">AI187*EXP(-$AR$6/8.31/AI187)/(1+EXP($AR$2/8.31*(1-$AR$5/$AR$2/AI187)))</f>
        <v>7.20996415093468E-014</v>
      </c>
      <c r="AN187" s="0" t="n">
        <f aca="false">IF(AK187=$AL$1,1*AJ187,0)</f>
        <v>0</v>
      </c>
    </row>
    <row r="188" customFormat="false" ht="15.75" hidden="false" customHeight="false" outlineLevel="0" collapsed="false">
      <c r="AI188" s="0" t="n">
        <f aca="false">AI187+0.2</f>
        <v>310.159999999998</v>
      </c>
      <c r="AJ188" s="0" t="n">
        <f aca="false">AI188-273.16</f>
        <v>36.9999999999979</v>
      </c>
      <c r="AK188" s="0" t="n">
        <f aca="false">AI188*$AR$1*EXP(-$AR$6/8.31/AI188)/(1+EXP($AR$2/8.31*(1-$AR$5/$AR$2/AI188)))</f>
        <v>0.3740455617712</v>
      </c>
      <c r="AL188" s="0" t="n">
        <v>0.707503308142831</v>
      </c>
      <c r="AM188" s="142" t="n">
        <f aca="false">AI188*EXP(-$AR$6/8.31/AI188)/(1+EXP($AR$2/8.31*(1-$AR$5/$AR$2/AI188)))</f>
        <v>6.85682705053201E-014</v>
      </c>
      <c r="AN188" s="0" t="n">
        <f aca="false">IF(AK188=$AL$1,1*AJ188,0)</f>
        <v>0</v>
      </c>
    </row>
    <row r="189" customFormat="false" ht="15.75" hidden="false" customHeight="false" outlineLevel="0" collapsed="false">
      <c r="AI189" s="0" t="n">
        <f aca="false">AI188+0.2</f>
        <v>310.359999999998</v>
      </c>
      <c r="AJ189" s="0" t="n">
        <f aca="false">AI189-273.16</f>
        <v>37.1999999999979</v>
      </c>
      <c r="AK189" s="0" t="n">
        <f aca="false">AI189*$AR$1*EXP(-$AR$6/8.31/AI189)/(1+EXP($AR$2/8.31*(1-$AR$5/$AR$2/AI189)))</f>
        <v>0.355483097108366</v>
      </c>
      <c r="AL189" s="0" t="n">
        <v>0.722348851124208</v>
      </c>
      <c r="AM189" s="142" t="n">
        <f aca="false">AI189*EXP(-$AR$6/8.31/AI189)/(1+EXP($AR$2/8.31*(1-$AR$5/$AR$2/AI189)))</f>
        <v>6.51654869186906E-014</v>
      </c>
      <c r="AN189" s="0" t="n">
        <f aca="false">IF(AK189=$AL$1,1*AJ189,0)</f>
        <v>0</v>
      </c>
    </row>
    <row r="190" customFormat="false" ht="15.75" hidden="false" customHeight="false" outlineLevel="0" collapsed="false">
      <c r="AI190" s="0" t="n">
        <f aca="false">AI189+0.2</f>
        <v>310.559999999998</v>
      </c>
      <c r="AJ190" s="0" t="n">
        <f aca="false">AI190-273.16</f>
        <v>37.3999999999979</v>
      </c>
      <c r="AK190" s="0" t="n">
        <f aca="false">AI190*$AR$1*EXP(-$AR$6/8.31/AI190)/(1+EXP($AR$2/8.31*(1-$AR$5/$AR$2/AI190)))</f>
        <v>0.337628312405663</v>
      </c>
      <c r="AL190" s="0" t="n">
        <v>0.737248292834304</v>
      </c>
      <c r="AM190" s="142" t="n">
        <f aca="false">AI190*EXP(-$AR$6/8.31/AI190)/(1+EXP($AR$2/8.31*(1-$AR$5/$AR$2/AI190)))</f>
        <v>6.18924318889452E-014</v>
      </c>
      <c r="AN190" s="0" t="n">
        <f aca="false">IF(AK190=$AL$1,1*AJ190,0)</f>
        <v>0</v>
      </c>
    </row>
    <row r="191" customFormat="false" ht="15.75" hidden="false" customHeight="false" outlineLevel="0" collapsed="false">
      <c r="AI191" s="0" t="n">
        <f aca="false">AI190+0.2</f>
        <v>310.759999999998</v>
      </c>
      <c r="AJ191" s="0" t="n">
        <f aca="false">AI191-273.16</f>
        <v>37.5999999999979</v>
      </c>
      <c r="AK191" s="0" t="n">
        <f aca="false">AI191*$AR$1*EXP(-$AR$6/8.31/AI191)/(1+EXP($AR$2/8.31*(1-$AR$5/$AR$2/AI191)))</f>
        <v>0.320482505068239</v>
      </c>
      <c r="AL191" s="0" t="n">
        <v>0.752172557917874</v>
      </c>
      <c r="AM191" s="142" t="n">
        <f aca="false">AI191*EXP(-$AR$6/8.31/AI191)/(1+EXP($AR$2/8.31*(1-$AR$5/$AR$2/AI191)))</f>
        <v>5.87493432502842E-014</v>
      </c>
      <c r="AN191" s="0" t="n">
        <f aca="false">IF(AK191=$AL$1,1*AJ191,0)</f>
        <v>0</v>
      </c>
    </row>
    <row r="192" customFormat="false" ht="15.75" hidden="false" customHeight="false" outlineLevel="0" collapsed="false">
      <c r="AI192" s="0" t="n">
        <f aca="false">AI191+0.2</f>
        <v>310.959999999998</v>
      </c>
      <c r="AJ192" s="0" t="n">
        <f aca="false">AI192-273.16</f>
        <v>37.7999999999979</v>
      </c>
      <c r="AK192" s="0" t="n">
        <f aca="false">AI192*$AR$1*EXP(-$AR$6/8.31/AI192)/(1+EXP($AR$2/8.31*(1-$AR$5/$AR$2/AI192)))</f>
        <v>0.304042630012359</v>
      </c>
      <c r="AL192" s="0" t="n">
        <v>0.76708933712602</v>
      </c>
      <c r="AM192" s="142" t="n">
        <f aca="false">AI192*EXP(-$AR$6/8.31/AI192)/(1+EXP($AR$2/8.31*(1-$AR$5/$AR$2/AI192)))</f>
        <v>5.5735662792301E-014</v>
      </c>
      <c r="AN192" s="0" t="n">
        <f aca="false">IF(AK192=$AL$1,1*AJ192,0)</f>
        <v>0</v>
      </c>
    </row>
    <row r="193" customFormat="false" ht="15.75" hidden="false" customHeight="false" outlineLevel="0" collapsed="false">
      <c r="AI193" s="0" t="n">
        <f aca="false">AI192+0.2</f>
        <v>311.159999999998</v>
      </c>
      <c r="AJ193" s="0" t="n">
        <f aca="false">AI193-273.16</f>
        <v>37.9999999999978</v>
      </c>
      <c r="AK193" s="0" t="n">
        <f aca="false">AI193*$AR$1*EXP(-$AR$6/8.31/AI193)/(1+EXP($AR$2/8.31*(1-$AR$5/$AR$2/AI193)))</f>
        <v>0.288301860787739</v>
      </c>
      <c r="AL193" s="0" t="n">
        <v>0.781962894728969</v>
      </c>
      <c r="AM193" s="142" t="n">
        <f aca="false">AI193*EXP(-$AR$6/8.31/AI193)/(1+EXP($AR$2/8.31*(1-$AR$5/$AR$2/AI193)))</f>
        <v>5.28501391222842E-014</v>
      </c>
      <c r="AN193" s="0" t="n">
        <f aca="false">IF(AK193=$AL$1,1*AJ193,0)</f>
        <v>0</v>
      </c>
    </row>
    <row r="194" customFormat="false" ht="15.75" hidden="false" customHeight="false" outlineLevel="0" collapsed="false">
      <c r="AI194" s="0" t="n">
        <f aca="false">AI193+0.2</f>
        <v>311.359999999998</v>
      </c>
      <c r="AJ194" s="0" t="n">
        <f aca="false">AI194-273.16</f>
        <v>38.1999999999978</v>
      </c>
      <c r="AK194" s="0" t="n">
        <f aca="false">AI194*$AR$1*EXP(-$AR$6/8.31/AI194)/(1+EXP($AR$2/8.31*(1-$AR$5/$AR$2/AI194)))</f>
        <v>0.273250120171092</v>
      </c>
      <c r="AL194" s="0" t="n">
        <v>0.796753887337869</v>
      </c>
      <c r="AM194" s="142" t="n">
        <f aca="false">AI194*EXP(-$AR$6/8.31/AI194)/(1+EXP($AR$2/8.31*(1-$AR$5/$AR$2/AI194)))</f>
        <v>5.00909249311278E-014</v>
      </c>
      <c r="AN194" s="0" t="n">
        <f aca="false">IF(AK194=$AL$1,1*AJ194,0)</f>
        <v>0</v>
      </c>
    </row>
    <row r="195" customFormat="false" ht="15.75" hidden="false" customHeight="false" outlineLevel="0" collapsed="false">
      <c r="AI195" s="0" t="n">
        <f aca="false">AI194+0.2</f>
        <v>311.559999999998</v>
      </c>
      <c r="AJ195" s="0" t="n">
        <f aca="false">AI195-273.16</f>
        <v>38.3999999999978</v>
      </c>
      <c r="AK195" s="0" t="n">
        <f aca="false">AI195*$AR$1*EXP(-$AR$6/8.31/AI195)/(1+EXP($AR$2/8.31*(1-$AR$5/$AR$2/AI195)))</f>
        <v>0.258874575666756</v>
      </c>
      <c r="AL195" s="0" t="n">
        <v>0.81141920002593</v>
      </c>
      <c r="AM195" s="142" t="n">
        <f aca="false">AI195*EXP(-$AR$6/8.31/AI195)/(1+EXP($AR$2/8.31*(1-$AR$5/$AR$2/AI195)))</f>
        <v>4.74556678261723E-014</v>
      </c>
      <c r="AN195" s="0" t="n">
        <f aca="false">IF(AK195=$AL$1,1*AJ195,0)</f>
        <v>0</v>
      </c>
    </row>
    <row r="196" customFormat="false" ht="15.75" hidden="false" customHeight="false" outlineLevel="0" collapsed="false">
      <c r="AI196" s="0" t="n">
        <f aca="false">AI195+0.2</f>
        <v>311.759999999998</v>
      </c>
      <c r="AJ196" s="0" t="n">
        <f aca="false">AI196-273.16</f>
        <v>38.5999999999978</v>
      </c>
      <c r="AK196" s="0" t="n">
        <f aca="false">AI196*$AR$1*EXP(-$AR$6/8.31/AI196)/(1+EXP($AR$2/8.31*(1-$AR$5/$AR$2/AI196)))</f>
        <v>0.245160097046236</v>
      </c>
      <c r="AL196" s="0" t="n">
        <v>0.825911806604535</v>
      </c>
      <c r="AM196" s="142" t="n">
        <f aca="false">AI196*EXP(-$AR$6/8.31/AI196)/(1+EXP($AR$2/8.31*(1-$AR$5/$AR$2/AI196)))</f>
        <v>4.49415942051987E-014</v>
      </c>
      <c r="AN196" s="0" t="n">
        <f aca="false">IF(AK196=$AL$1,1*AJ196,0)</f>
        <v>0</v>
      </c>
    </row>
    <row r="197" customFormat="false" ht="15.75" hidden="false" customHeight="false" outlineLevel="0" collapsed="false">
      <c r="AI197" s="0" t="n">
        <f aca="false">AI196+0.2</f>
        <v>311.959999999998</v>
      </c>
      <c r="AJ197" s="0" t="n">
        <f aca="false">AI197-273.16</f>
        <v>38.7999999999978</v>
      </c>
      <c r="AK197" s="0" t="n">
        <f aca="false">AI197*$AR$1*EXP(-$AR$6/8.31/AI197)/(1+EXP($AR$2/8.31*(1-$AR$5/$AR$2/AI197)))</f>
        <v>0.232089674480258</v>
      </c>
      <c r="AL197" s="0" t="n">
        <v>0.840180661900151</v>
      </c>
      <c r="AM197" s="142" t="n">
        <f aca="false">AI197*EXP(-$AR$6/8.31/AI197)/(1+EXP($AR$2/8.31*(1-$AR$5/$AR$2/AI197)))</f>
        <v>4.25455859064262E-014</v>
      </c>
      <c r="AN197" s="0" t="n">
        <f aca="false">IF(AK197=$AL$1,1*AJ197,0)</f>
        <v>0</v>
      </c>
    </row>
    <row r="198" customFormat="false" ht="15.75" hidden="false" customHeight="false" outlineLevel="0" collapsed="false">
      <c r="AI198" s="0" t="n">
        <f aca="false">AI197+0.2</f>
        <v>312.159999999998</v>
      </c>
      <c r="AJ198" s="0" t="n">
        <f aca="false">AI198-273.16</f>
        <v>38.9999999999978</v>
      </c>
      <c r="AK198" s="0" t="n">
        <f aca="false">AI198*$AR$1*EXP(-$AR$6/8.31/AI198)/(1+EXP($AR$2/8.31*(1-$AR$5/$AR$2/AI198)))</f>
        <v>0.219644796977507</v>
      </c>
      <c r="AL198" s="0" t="n">
        <v>0.854170634856173</v>
      </c>
      <c r="AM198" s="142" t="n">
        <f aca="false">AI198*EXP(-$AR$6/8.31/AI198)/(1+EXP($AR$2/8.31*(1-$AR$5/$AR$2/AI198)))</f>
        <v>4.02642495821198E-014</v>
      </c>
      <c r="AN198" s="0" t="n">
        <f aca="false">IF(AK198=$AL$1,1*AJ198,0)</f>
        <v>0</v>
      </c>
    </row>
    <row r="199" customFormat="false" ht="15.75" hidden="false" customHeight="false" outlineLevel="0" collapsed="false">
      <c r="AI199" s="0" t="n">
        <f aca="false">AI198+0.2</f>
        <v>312.359999999998</v>
      </c>
      <c r="AJ199" s="0" t="n">
        <f aca="false">AI199-273.16</f>
        <v>39.1999999999978</v>
      </c>
      <c r="AK199" s="0" t="n">
        <f aca="false">AI199*$AR$1*EXP(-$AR$6/8.31/AI199)/(1+EXP($AR$2/8.31*(1-$AR$5/$AR$2/AI199)))</f>
        <v>0.207805791763781</v>
      </c>
      <c r="AL199" s="0" t="n">
        <v>0.86782249220137</v>
      </c>
      <c r="AM199" s="142" t="n">
        <f aca="false">AI199*EXP(-$AR$6/8.31/AI199)/(1+EXP($AR$2/8.31*(1-$AR$5/$AR$2/AI199)))</f>
        <v>3.80939789119784E-014</v>
      </c>
      <c r="AN199" s="0" t="n">
        <f aca="false">IF(AK199=$AL$1,1*AJ199,0)</f>
        <v>0</v>
      </c>
    </row>
    <row r="200" customFormat="false" ht="15.75" hidden="false" customHeight="false" outlineLevel="0" collapsed="false">
      <c r="AI200" s="0" t="n">
        <f aca="false">AI199+0.2</f>
        <v>312.559999999998</v>
      </c>
      <c r="AJ200" s="0" t="n">
        <f aca="false">AI200-273.16</f>
        <v>39.3999999999978</v>
      </c>
      <c r="AK200" s="0" t="n">
        <f aca="false">AI200*$AR$1*EXP(-$AR$6/8.31/AI200)/(1+EXP($AR$2/8.31*(1-$AR$5/$AR$2/AI200)))</f>
        <v>0.196552125939716</v>
      </c>
      <c r="AL200" s="0" t="n">
        <v>0.881072943222048</v>
      </c>
      <c r="AM200" s="142" t="n">
        <f aca="false">AI200*EXP(-$AR$6/8.31/AI200)/(1+EXP($AR$2/8.31*(1-$AR$5/$AR$2/AI200)))</f>
        <v>3.60310099016068E-014</v>
      </c>
      <c r="AN200" s="0" t="n">
        <f aca="false">IF(AK200=$AL$1,1*AJ200,0)</f>
        <v>0</v>
      </c>
    </row>
    <row r="201" customFormat="false" ht="15.75" hidden="false" customHeight="false" outlineLevel="0" collapsed="false">
      <c r="AI201" s="0" t="n">
        <f aca="false">AI200+0.2</f>
        <v>312.759999999998</v>
      </c>
      <c r="AJ201" s="0" t="n">
        <f aca="false">AI201-273.16</f>
        <v>39.5999999999977</v>
      </c>
      <c r="AK201" s="0" t="n">
        <f aca="false">AI201*$AR$1*EXP(-$AR$6/8.31/AI201)/(1+EXP($AR$2/8.31*(1-$AR$5/$AR$2/AI201)))</f>
        <v>0.185862672271915</v>
      </c>
      <c r="AL201" s="0" t="n">
        <v>0.893854756772762</v>
      </c>
      <c r="AM201" s="142" t="n">
        <f aca="false">AI201*EXP(-$AR$6/8.31/AI201)/(1+EXP($AR$2/8.31*(1-$AR$5/$AR$2/AI201)))</f>
        <v>3.40714696060955E-014</v>
      </c>
      <c r="AN201" s="0" t="n">
        <f aca="false">IF(AK201=$AL$1,1*AJ201,0)</f>
        <v>0</v>
      </c>
    </row>
    <row r="202" customFormat="false" ht="15.75" hidden="false" customHeight="false" outlineLevel="0" collapsed="false">
      <c r="AI202" s="0" t="n">
        <f aca="false">AI201+0.2</f>
        <v>312.959999999998</v>
      </c>
      <c r="AJ202" s="0" t="n">
        <f aca="false">AI202-273.16</f>
        <v>39.7999999999977</v>
      </c>
      <c r="AK202" s="0" t="n">
        <f aca="false">AI202*$AR$1*EXP(-$AR$6/8.31/AI202)/(1+EXP($AR$2/8.31*(1-$AR$5/$AR$2/AI202)))</f>
        <v>0.175715941329161</v>
      </c>
      <c r="AL202" s="0" t="n">
        <v>0.906096961972505</v>
      </c>
      <c r="AM202" s="142" t="n">
        <f aca="false">AI202*EXP(-$AR$6/8.31/AI202)/(1+EXP($AR$2/8.31*(1-$AR$5/$AR$2/AI202)))</f>
        <v>3.22114186841358E-014</v>
      </c>
      <c r="AN202" s="0" t="n">
        <f aca="false">IF(AK202=$AL$1,1*AJ202,0)</f>
        <v>0</v>
      </c>
    </row>
    <row r="203" customFormat="false" ht="15.75" hidden="false" customHeight="false" outlineLevel="0" collapsed="false">
      <c r="AI203" s="0" t="n">
        <f aca="false">AI202+0.2</f>
        <v>313.159999999998</v>
      </c>
      <c r="AJ203" s="0" t="n">
        <f aca="false">AI203-273.16</f>
        <v>39.9999999999977</v>
      </c>
      <c r="AK203" s="0" t="n">
        <f aca="false">AI203*$AR$1*EXP(-$AR$6/8.31/AI203)/(1+EXP($AR$2/8.31*(1-$AR$5/$AR$2/AI203)))</f>
        <v>0.166090282399244</v>
      </c>
      <c r="AL203" s="0" t="n">
        <v>0.917725143960632</v>
      </c>
      <c r="AM203" s="142" t="n">
        <f aca="false">AI203*EXP(-$AR$6/8.31/AI203)/(1+EXP($AR$2/8.31*(1-$AR$5/$AR$2/AI203)))</f>
        <v>3.04468882291474E-014</v>
      </c>
      <c r="AN203" s="0" t="n">
        <f aca="false">IF(AK203=$AL$1,1*AJ203,0)</f>
        <v>0</v>
      </c>
    </row>
    <row r="204" customFormat="false" ht="15.75" hidden="false" customHeight="false" outlineLevel="0" collapsed="false">
      <c r="AI204" s="0" t="n">
        <f aca="false">AI203+0.2</f>
        <v>313.359999999998</v>
      </c>
      <c r="AJ204" s="0" t="n">
        <f aca="false">AI204-273.16</f>
        <v>40.1999999999977</v>
      </c>
      <c r="AK204" s="0" t="n">
        <f aca="false">AI204*$AR$1*EXP(-$AR$6/8.31/AI204)/(1+EXP($AR$2/8.31*(1-$AR$5/$AR$2/AI204)))</f>
        <v>0.156964055737826</v>
      </c>
      <c r="AL204" s="0" t="n">
        <v>0.928661845522208</v>
      </c>
      <c r="AM204" s="142" t="n">
        <f aca="false">AI204*EXP(-$AR$6/8.31/AI204)/(1+EXP($AR$2/8.31*(1-$AR$5/$AR$2/AI204)))</f>
        <v>2.87739113451287E-014</v>
      </c>
      <c r="AN204" s="0" t="n">
        <f aca="false">IF(AK204=$AL$1,1*AJ204,0)</f>
        <v>0</v>
      </c>
    </row>
    <row r="205" customFormat="false" ht="15.75" hidden="false" customHeight="false" outlineLevel="0" collapsed="false">
      <c r="AI205" s="0" t="n">
        <f aca="false">AI204+0.2</f>
        <v>313.559999999998</v>
      </c>
      <c r="AJ205" s="0" t="n">
        <f aca="false">AI205-273.16</f>
        <v>40.3999999999977</v>
      </c>
      <c r="AK205" s="0" t="n">
        <f aca="false">AI205*$AR$1*EXP(-$AR$6/8.31/AI205)/(1+EXP($AR$2/8.31*(1-$AR$5/$AR$2/AI205)))</f>
        <v>0.148315778730669</v>
      </c>
      <c r="AL205" s="0" t="n">
        <v>0.938827084227909</v>
      </c>
      <c r="AM205" s="142" t="n">
        <f aca="false">AI205*EXP(-$AR$6/8.31/AI205)/(1+EXP($AR$2/8.31*(1-$AR$5/$AR$2/AI205)))</f>
        <v>2.71885499404281E-014</v>
      </c>
      <c r="AN205" s="0" t="n">
        <f aca="false">IF(AK205=$AL$1,1*AJ205,0)</f>
        <v>0</v>
      </c>
    </row>
    <row r="206" customFormat="false" ht="15.75" hidden="false" customHeight="false" outlineLevel="0" collapsed="false">
      <c r="AI206" s="0" t="n">
        <f aca="false">AI205+0.2</f>
        <v>313.759999999998</v>
      </c>
      <c r="AJ206" s="0" t="n">
        <f aca="false">AI206-273.16</f>
        <v>40.5999999999977</v>
      </c>
      <c r="AK206" s="0" t="n">
        <f aca="false">AI206*$AR$1*EXP(-$AR$6/8.31/AI206)/(1+EXP($AR$2/8.31*(1-$AR$5/$AR$2/AI206)))</f>
        <v>0.14012424851451</v>
      </c>
      <c r="AL206" s="0" t="n">
        <v>0.948138992866232</v>
      </c>
      <c r="AM206" s="142" t="n">
        <f aca="false">AI206*EXP(-$AR$6/8.31/AI206)/(1+EXP($AR$2/8.31*(1-$AR$5/$AR$2/AI206)))</f>
        <v>2.56869172060242E-014</v>
      </c>
      <c r="AN206" s="0" t="n">
        <f aca="false">IF(AK206=$AL$1,1*AJ206,0)</f>
        <v>0</v>
      </c>
    </row>
    <row r="207" customFormat="false" ht="15.75" hidden="false" customHeight="false" outlineLevel="0" collapsed="false">
      <c r="AI207" s="0" t="n">
        <f aca="false">AI206+0.2</f>
        <v>313.959999999998</v>
      </c>
      <c r="AJ207" s="0" t="n">
        <f aca="false">AI207-273.16</f>
        <v>40.7999999999977</v>
      </c>
      <c r="AK207" s="0" t="n">
        <f aca="false">AI207*$AR$1*EXP(-$AR$6/8.31/AI207)/(1+EXP($AR$2/8.31*(1-$AR$5/$AR$2/AI207)))</f>
        <v>0.132368643516237</v>
      </c>
      <c r="AL207" s="0" t="n">
        <v>0.956514588290165</v>
      </c>
      <c r="AM207" s="142" t="n">
        <f aca="false">AI207*EXP(-$AR$6/8.31/AI207)/(1+EXP($AR$2/8.31*(1-$AR$5/$AR$2/AI207)))</f>
        <v>2.42651962292109E-014</v>
      </c>
      <c r="AN207" s="0" t="n">
        <f aca="false">IF(AK207=$AL$1,1*AJ207,0)</f>
        <v>0</v>
      </c>
    </row>
    <row r="208" customFormat="false" ht="15.75" hidden="false" customHeight="false" outlineLevel="0" collapsed="false">
      <c r="AI208" s="0" t="n">
        <f aca="false">AI207+0.2</f>
        <v>314.159999999998</v>
      </c>
      <c r="AJ208" s="0" t="n">
        <f aca="false">AI208-273.16</f>
        <v>40.9999999999977</v>
      </c>
      <c r="AK208" s="0" t="n">
        <f aca="false">AI208*$AR$1*EXP(-$AR$6/8.31/AI208)/(1+EXP($AR$2/8.31*(1-$AR$5/$AR$2/AI208)))</f>
        <v>0.125028606249294</v>
      </c>
      <c r="AL208" s="0" t="n">
        <v>0.963870670299751</v>
      </c>
      <c r="AM208" s="142" t="n">
        <f aca="false">AI208*EXP(-$AR$6/8.31/AI208)/(1+EXP($AR$2/8.31*(1-$AR$5/$AR$2/AI208)))</f>
        <v>2.29196551714435E-014</v>
      </c>
      <c r="AN208" s="0" t="n">
        <f aca="false">IF(AK208=$AL$1,1*AJ208,0)</f>
        <v>0</v>
      </c>
    </row>
    <row r="209" customFormat="false" ht="15.75" hidden="false" customHeight="false" outlineLevel="0" collapsed="false">
      <c r="AI209" s="0" t="n">
        <f aca="false">AI208+0.2</f>
        <v>314.359999999998</v>
      </c>
      <c r="AJ209" s="0" t="n">
        <f aca="false">AI209-273.16</f>
        <v>41.1999999999977</v>
      </c>
      <c r="AK209" s="0" t="n">
        <f aca="false">AI209*$AR$1*EXP(-$AR$6/8.31/AI209)/(1+EXP($AR$2/8.31*(1-$AR$5/$AR$2/AI209)))</f>
        <v>0.118084309561716</v>
      </c>
      <c r="AL209" s="0" t="n">
        <v>0.970124847823571</v>
      </c>
      <c r="AM209" s="142" t="n">
        <f aca="false">AI209*EXP(-$AR$6/8.31/AI209)/(1+EXP($AR$2/8.31*(1-$AR$5/$AR$2/AI209)))</f>
        <v>2.16466594126157E-014</v>
      </c>
      <c r="AN209" s="0" t="n">
        <f aca="false">IF(AK209=$AL$1,1*AJ209,0)</f>
        <v>0</v>
      </c>
    </row>
    <row r="210" customFormat="false" ht="15.75" hidden="false" customHeight="false" outlineLevel="0" collapsed="false">
      <c r="AI210" s="0" t="n">
        <f aca="false">AI209+0.2</f>
        <v>314.559999999998</v>
      </c>
      <c r="AJ210" s="0" t="n">
        <f aca="false">AI210-273.16</f>
        <v>41.3999999999976</v>
      </c>
      <c r="AK210" s="0" t="n">
        <f aca="false">AI210*$AR$1*EXP(-$AR$6/8.31/AI210)/(1+EXP($AR$2/8.31*(1-$AR$5/$AR$2/AI210)))</f>
        <v>0.111516508371377</v>
      </c>
      <c r="AL210" s="0" t="n">
        <v>0.975196684490498</v>
      </c>
      <c r="AM210" s="142" t="n">
        <f aca="false">AI210*EXP(-$AR$6/8.31/AI210)/(1+EXP($AR$2/8.31*(1-$AR$5/$AR$2/AI210)))</f>
        <v>2.04426810349235E-014</v>
      </c>
      <c r="AN210" s="0" t="n">
        <f aca="false">IF(AK210=$AL$1,1*AJ210,0)</f>
        <v>0</v>
      </c>
    </row>
    <row r="211" customFormat="false" ht="15.75" hidden="false" customHeight="false" outlineLevel="0" collapsed="false">
      <c r="AI211" s="0" t="n">
        <f aca="false">AI210+0.2</f>
        <v>314.759999999998</v>
      </c>
      <c r="AJ211" s="0" t="n">
        <f aca="false">AI211-273.16</f>
        <v>41.5999999999976</v>
      </c>
      <c r="AK211" s="0" t="n">
        <f aca="false">AI211*$AR$1*EXP(-$AR$6/8.31/AI211)/(1+EXP($AR$2/8.31*(1-$AR$5/$AR$2/AI211)))</f>
        <v>0.105306578758418</v>
      </c>
      <c r="AL211" s="0" t="n">
        <v>0.979008949815288</v>
      </c>
      <c r="AM211" s="142" t="n">
        <f aca="false">AI211*EXP(-$AR$6/8.31/AI211)/(1+EXP($AR$2/8.31*(1-$AR$5/$AR$2/AI211)))</f>
        <v>1.93043059891026E-014</v>
      </c>
      <c r="AN211" s="0" t="n">
        <f aca="false">IF(AK211=$AL$1,1*AJ211,0)</f>
        <v>0</v>
      </c>
    </row>
    <row r="212" customFormat="false" ht="15.75" hidden="false" customHeight="false" outlineLevel="0" collapsed="false">
      <c r="AI212" s="0" t="n">
        <f aca="false">AI211+0.2</f>
        <v>314.959999999998</v>
      </c>
      <c r="AJ212" s="0" t="n">
        <f aca="false">AI212-273.16</f>
        <v>41.7999999999976</v>
      </c>
      <c r="AK212" s="0" t="n">
        <f aca="false">AI212*$AR$1*EXP(-$AR$6/8.31/AI212)/(1+EXP($AR$2/8.31*(1-$AR$5/$AR$2/AI212)))</f>
        <v>0.0994365461177805</v>
      </c>
      <c r="AL212" s="0" t="n">
        <v>0.981488955855979</v>
      </c>
      <c r="AM212" s="142" t="n">
        <f aca="false">AI212*EXP(-$AR$6/8.31/AI212)/(1+EXP($AR$2/8.31*(1-$AR$5/$AR$2/AI212)))</f>
        <v>1.82282392552203E-014</v>
      </c>
      <c r="AN212" s="0" t="n">
        <f aca="false">IF(AK212=$AL$1,1*AJ212,0)</f>
        <v>0</v>
      </c>
    </row>
    <row r="213" customFormat="false" ht="15.75" hidden="false" customHeight="false" outlineLevel="0" collapsed="false">
      <c r="AI213" s="0" t="n">
        <f aca="false">AI212+0.2</f>
        <v>315.159999999998</v>
      </c>
      <c r="AJ213" s="0" t="n">
        <f aca="false">AI213-273.16</f>
        <v>41.9999999999976</v>
      </c>
      <c r="AK213" s="0" t="n">
        <f aca="false">AI213*$AR$1*EXP(-$AR$6/8.31/AI213)/(1+EXP($AR$2/8.31*(1-$AR$5/$AR$2/AI213)))</f>
        <v>0.0938891039110519</v>
      </c>
      <c r="AL213" s="0" t="n">
        <v>0.982569952623386</v>
      </c>
      <c r="AM213" s="142" t="n">
        <f aca="false">AI213*EXP(-$AR$6/8.31/AI213)/(1+EXP($AR$2/8.31*(1-$AR$5/$AR$2/AI213)))</f>
        <v>1.72113082801744E-014</v>
      </c>
      <c r="AN213" s="0" t="n">
        <f aca="false">IF(AK213=$AL$1,1*AJ213,0)</f>
        <v>0</v>
      </c>
    </row>
    <row r="214" customFormat="false" ht="15.75" hidden="false" customHeight="false" outlineLevel="0" collapsed="false">
      <c r="AI214" s="0" t="n">
        <f aca="false">AI213+0.2</f>
        <v>315.359999999998</v>
      </c>
      <c r="AJ214" s="0" t="n">
        <f aca="false">AI214-273.16</f>
        <v>42.1999999999976</v>
      </c>
      <c r="AK214" s="0" t="n">
        <f aca="false">AI214*$AR$1*EXP(-$AR$6/8.31/AI214)/(1+EXP($AR$2/8.31*(1-$AR$5/$AR$2/AI214)))</f>
        <v>0.0886476243991018</v>
      </c>
      <c r="AL214" s="0" t="n">
        <v>0.982192549101525</v>
      </c>
      <c r="AM214" s="142" t="n">
        <f aca="false">AI214*EXP(-$AR$6/8.31/AI214)/(1+EXP($AR$2/8.31*(1-$AR$5/$AR$2/AI214)))</f>
        <v>1.62504649451495E-014</v>
      </c>
      <c r="AN214" s="0" t="n">
        <f aca="false">IF(AK214=$AL$1,1*AJ214,0)</f>
        <v>0</v>
      </c>
    </row>
    <row r="215" customFormat="false" ht="15.75" hidden="false" customHeight="false" outlineLevel="0" collapsed="false">
      <c r="AI215" s="0" t="n">
        <f aca="false">AI214+0.2</f>
        <v>315.559999999998</v>
      </c>
      <c r="AJ215" s="0" t="n">
        <f aca="false">AI215-273.16</f>
        <v>42.3999999999976</v>
      </c>
      <c r="AK215" s="0" t="n">
        <f aca="false">AI215*$AR$1*EXP(-$AR$6/8.31/AI215)/(1+EXP($AR$2/8.31*(1-$AR$5/$AR$2/AI215)))</f>
        <v>0.0836961625876617</v>
      </c>
      <c r="AL215" s="0" t="n">
        <v>0.980306120912123</v>
      </c>
      <c r="AM215" s="142" t="n">
        <f aca="false">AI215*EXP(-$AR$6/8.31/AI215)/(1+EXP($AR$2/8.31*(1-$AR$5/$AR$2/AI215)))</f>
        <v>1.53427862889026E-014</v>
      </c>
      <c r="AN215" s="0" t="n">
        <f aca="false">IF(AK215=$AL$1,1*AJ215,0)</f>
        <v>0</v>
      </c>
    </row>
    <row r="216" customFormat="false" ht="15.75" hidden="false" customHeight="false" outlineLevel="0" collapsed="false">
      <c r="AI216" s="0" t="n">
        <f aca="false">AI215+0.2</f>
        <v>315.759999999998</v>
      </c>
      <c r="AJ216" s="0" t="n">
        <f aca="false">AI216-273.16</f>
        <v>42.5999999999976</v>
      </c>
      <c r="AK216" s="0" t="n">
        <f aca="false">AI216*$AR$1*EXP(-$AR$6/8.31/AI216)/(1+EXP($AR$2/8.31*(1-$AR$5/$AR$2/AI216)))</f>
        <v>0.0790194544783607</v>
      </c>
      <c r="AL216" s="0" t="n">
        <v>0.976870160910606</v>
      </c>
      <c r="AM216" s="142" t="n">
        <f aca="false">AI216*EXP(-$AR$6/8.31/AI216)/(1+EXP($AR$2/8.31*(1-$AR$5/$AR$2/AI216)))</f>
        <v>1.44854741871509E-014</v>
      </c>
      <c r="AN216" s="0" t="n">
        <f aca="false">IF(AK216=$AL$1,1*AJ216,0)</f>
        <v>0</v>
      </c>
    </row>
    <row r="217" customFormat="false" ht="15.75" hidden="false" customHeight="false" outlineLevel="0" collapsed="false">
      <c r="AI217" s="0" t="n">
        <f aca="false">AI216+0.2</f>
        <v>315.959999999998</v>
      </c>
      <c r="AJ217" s="0" t="n">
        <f aca="false">AI217-273.16</f>
        <v>42.7999999999976</v>
      </c>
      <c r="AK217" s="0" t="n">
        <f aca="false">AI217*$AR$1*EXP(-$AR$6/8.31/AI217)/(1+EXP($AR$2/8.31*(1-$AR$5/$AR$2/AI217)))</f>
        <v>0.0746029105885561</v>
      </c>
      <c r="AL217" s="0" t="n">
        <v>0.971855525828285</v>
      </c>
      <c r="AM217" s="142" t="n">
        <f aca="false">AI217*EXP(-$AR$6/8.31/AI217)/(1+EXP($AR$2/8.31*(1-$AR$5/$AR$2/AI217)))</f>
        <v>1.36758541646575E-014</v>
      </c>
      <c r="AN217" s="0" t="n">
        <f aca="false">IF(AK217=$AL$1,1*AJ217,0)</f>
        <v>0</v>
      </c>
    </row>
    <row r="218" customFormat="false" ht="15.75" hidden="false" customHeight="false" outlineLevel="0" collapsed="false">
      <c r="AI218" s="0" t="n">
        <f aca="false">AI217+0.2</f>
        <v>316.159999999998</v>
      </c>
      <c r="AJ218" s="0" t="n">
        <f aca="false">AI218-273.16</f>
        <v>42.9999999999976</v>
      </c>
      <c r="AK218" s="0" t="n">
        <f aca="false">AI218*$AR$1*EXP(-$AR$6/8.31/AI218)/(1+EXP($AR$2/8.31*(1-$AR$5/$AR$2/AI218)))</f>
        <v>0.0704326055848995</v>
      </c>
      <c r="AL218" s="0" t="n">
        <v>0.965245530933426</v>
      </c>
      <c r="AM218" s="142" t="n">
        <f aca="false">AI218*EXP(-$AR$6/8.31/AI218)/(1+EXP($AR$2/8.31*(1-$AR$5/$AR$2/AI218)))</f>
        <v>1.2911373494906E-014</v>
      </c>
      <c r="AN218" s="0" t="n">
        <f aca="false">IF(AK218=$AL$1,1*AJ218,0)</f>
        <v>0</v>
      </c>
    </row>
    <row r="219" customFormat="false" ht="15.75" hidden="false" customHeight="false" outlineLevel="0" collapsed="false">
      <c r="AI219" s="0" t="n">
        <f aca="false">AI218+0.2</f>
        <v>316.359999999998</v>
      </c>
      <c r="AJ219" s="0" t="n">
        <f aca="false">AI219-273.16</f>
        <v>43.1999999999975</v>
      </c>
      <c r="AK219" s="0" t="n">
        <f aca="false">AI219*$AR$1*EXP(-$AR$6/8.31/AI219)/(1+EXP($AR$2/8.31*(1-$AR$5/$AR$2/AI219)))</f>
        <v>0.0664952647679034</v>
      </c>
      <c r="AL219" s="0" t="n">
        <v>0.957036845941965</v>
      </c>
      <c r="AM219" s="142" t="n">
        <f aca="false">AI219*EXP(-$AR$6/8.31/AI219)/(1+EXP($AR$2/8.31*(1-$AR$5/$AR$2/AI219)))</f>
        <v>1.21895987225146E-014</v>
      </c>
      <c r="AN219" s="0" t="n">
        <f aca="false">IF(AK219=$AL$1,1*AJ219,0)</f>
        <v>0</v>
      </c>
    </row>
    <row r="220" customFormat="false" ht="15.75" hidden="false" customHeight="false" outlineLevel="0" collapsed="false">
      <c r="AI220" s="0" t="n">
        <f aca="false">AI219+0.2</f>
        <v>316.559999999998</v>
      </c>
      <c r="AJ220" s="0" t="n">
        <f aca="false">AI220-273.16</f>
        <v>43.3999999999975</v>
      </c>
      <c r="AK220" s="0" t="n">
        <f aca="false">AI220*$AR$1*EXP(-$AR$6/8.31/AI220)/(1+EXP($AR$2/8.31*(1-$AR$5/$AR$2/AI220)))</f>
        <v>0.0627782480476096</v>
      </c>
      <c r="AL220" s="0" t="n">
        <v>0.947240149297138</v>
      </c>
      <c r="AM220" s="142" t="n">
        <f aca="false">AI220*EXP(-$AR$6/8.31/AI220)/(1+EXP($AR$2/8.31*(1-$AR$5/$AR$2/AI220)))</f>
        <v>1.15082127257312E-014</v>
      </c>
      <c r="AN220" s="0" t="n">
        <f aca="false">IF(AK220=$AL$1,1*AJ220,0)</f>
        <v>0</v>
      </c>
    </row>
    <row r="221" customFormat="false" ht="15.75" hidden="false" customHeight="false" outlineLevel="0" collapsed="false">
      <c r="AI221" s="0" t="n">
        <f aca="false">AI220+0.2</f>
        <v>316.759999999998</v>
      </c>
      <c r="AJ221" s="0" t="n">
        <f aca="false">AI221-273.16</f>
        <v>43.5999999999975</v>
      </c>
      <c r="AK221" s="0" t="n">
        <f aca="false">AI221*$AR$1*EXP(-$AR$6/8.31/AI221)/(1+EXP($AR$2/8.31*(1-$AR$5/$AR$2/AI221)))</f>
        <v>0.0592695319631878</v>
      </c>
      <c r="AL221" s="0" t="n">
        <v>0.935880504502616</v>
      </c>
      <c r="AM221" s="142" t="n">
        <f aca="false">AI221*EXP(-$AR$6/8.31/AI221)/(1+EXP($AR$2/8.31*(1-$AR$5/$AR$2/AI221)))</f>
        <v>1.08650114203507E-014</v>
      </c>
      <c r="AN221" s="0" t="n">
        <f aca="false">IF(AK221=$AL$1,1*AJ221,0)</f>
        <v>0</v>
      </c>
    </row>
    <row r="222" customFormat="false" ht="15.75" hidden="false" customHeight="false" outlineLevel="0" collapsed="false">
      <c r="AI222" s="0" t="n">
        <f aca="false">AI221+0.2</f>
        <v>316.959999999998</v>
      </c>
      <c r="AJ222" s="0" t="n">
        <f aca="false">AI222-273.16</f>
        <v>43.7999999999975</v>
      </c>
      <c r="AK222" s="0" t="n">
        <f aca="false">AI222*$AR$1*EXP(-$AR$6/8.31/AI222)/(1+EXP($AR$2/8.31*(1-$AR$5/$AR$2/AI222)))</f>
        <v>0.0559576902214907</v>
      </c>
      <c r="AL222" s="0" t="n">
        <v>0.922997431269361</v>
      </c>
      <c r="AM222" s="142" t="n">
        <f aca="false">AI222*EXP(-$AR$6/8.31/AI222)/(1+EXP($AR$2/8.31*(1-$AR$5/$AR$2/AI222)))</f>
        <v>1.02579001921351E-014</v>
      </c>
      <c r="AN222" s="0" t="n">
        <f aca="false">IF(AK222=$AL$1,1*AJ222,0)</f>
        <v>0</v>
      </c>
    </row>
    <row r="223" customFormat="false" ht="15.75" hidden="false" customHeight="false" outlineLevel="0" collapsed="false">
      <c r="AI223" s="0" t="n">
        <f aca="false">AI222+0.2</f>
        <v>317.159999999998</v>
      </c>
      <c r="AJ223" s="0" t="n">
        <f aca="false">AI223-273.16</f>
        <v>43.9999999999975</v>
      </c>
      <c r="AK223" s="0" t="n">
        <f aca="false">AI223*$AR$1*EXP(-$AR$6/8.31/AI223)/(1+EXP($AR$2/8.31*(1-$AR$5/$AR$2/AI223)))</f>
        <v>0.0528318731604888</v>
      </c>
      <c r="AL223" s="0" t="n">
        <v>0.908644655430578</v>
      </c>
      <c r="AM223" s="142" t="n">
        <f aca="false">AI223*EXP(-$AR$6/8.31/AI223)/(1+EXP($AR$2/8.31*(1-$AR$5/$AR$2/AI223)))</f>
        <v>9.68489013214669E-015</v>
      </c>
      <c r="AN223" s="0" t="n">
        <f aca="false">IF(AK223=$AL$1,1*AJ223,0)</f>
        <v>0</v>
      </c>
    </row>
    <row r="224" customFormat="false" ht="15.75" hidden="false" customHeight="false" outlineLevel="0" collapsed="false">
      <c r="AI224" s="0" t="n">
        <f aca="false">AI223+0.2</f>
        <v>317.359999999997</v>
      </c>
      <c r="AJ224" s="0" t="n">
        <f aca="false">AI224-273.16</f>
        <v>44.1999999999975</v>
      </c>
      <c r="AK224" s="0" t="n">
        <f aca="false">AI224*$AR$1*EXP(-$AR$6/8.31/AI224)/(1+EXP($AR$2/8.31*(1-$AR$5/$AR$2/AI224)))</f>
        <v>0.0498817864824665</v>
      </c>
      <c r="AL224" s="0" t="n">
        <v>0.892889534291826</v>
      </c>
      <c r="AM224" s="142" t="n">
        <f aca="false">AI224*EXP(-$AR$6/8.31/AI224)/(1+EXP($AR$2/8.31*(1-$AR$5/$AR$2/AI224)))</f>
        <v>9.14409413821772E-015</v>
      </c>
      <c r="AN224" s="0" t="n">
        <f aca="false">IF(AK224=$AL$1,1*AJ224,0)</f>
        <v>0</v>
      </c>
    </row>
    <row r="225" customFormat="false" ht="15.75" hidden="false" customHeight="false" outlineLevel="0" collapsed="false">
      <c r="AI225" s="0" t="n">
        <f aca="false">AI224+0.2</f>
        <v>317.559999999997</v>
      </c>
      <c r="AJ225" s="0" t="n">
        <f aca="false">AI225-273.16</f>
        <v>44.3999999999975</v>
      </c>
      <c r="AK225" s="0" t="n">
        <f aca="false">AI225*$AR$1*EXP(-$AR$6/8.31/AI225)/(1+EXP($AR$2/8.31*(1-$AR$5/$AR$2/AI225)))</f>
        <v>0.0470976695481569</v>
      </c>
      <c r="AL225" s="0" t="n">
        <v>0.875812167547768</v>
      </c>
      <c r="AM225" s="142" t="n">
        <f aca="false">AI225*EXP(-$AR$6/8.31/AI225)/(1+EXP($AR$2/8.31*(1-$AR$5/$AR$2/AI225)))</f>
        <v>8.63372293593366E-015</v>
      </c>
      <c r="AN225" s="0" t="n">
        <f aca="false">IF(AK225=$AL$1,1*AJ225,0)</f>
        <v>0</v>
      </c>
    </row>
    <row r="226" customFormat="false" ht="15.75" hidden="false" customHeight="false" outlineLevel="0" collapsed="false">
      <c r="AI226" s="0" t="n">
        <f aca="false">AI225+0.2</f>
        <v>317.759999999997</v>
      </c>
      <c r="AJ226" s="0" t="n">
        <f aca="false">AI226-273.16</f>
        <v>44.5999999999975</v>
      </c>
      <c r="AK226" s="0" t="n">
        <f aca="false">AI226*$AR$1*EXP(-$AR$6/8.31/AI226)/(1+EXP($AR$2/8.31*(1-$AR$5/$AR$2/AI226)))</f>
        <v>0.0444702734759661</v>
      </c>
      <c r="AL226" s="0" t="n">
        <v>0.85750421724109</v>
      </c>
      <c r="AM226" s="142" t="n">
        <f aca="false">AI226*EXP(-$AR$6/8.31/AI226)/(1+EXP($AR$2/8.31*(1-$AR$5/$AR$2/AI226)))</f>
        <v>8.15208106388602E-015</v>
      </c>
      <c r="AN226" s="0" t="n">
        <f aca="false">IF(AK226=$AL$1,1*AJ226,0)</f>
        <v>0</v>
      </c>
    </row>
    <row r="227" customFormat="false" ht="15.75" hidden="false" customHeight="false" outlineLevel="0" collapsed="false">
      <c r="AI227" s="0" t="n">
        <f aca="false">AI226+0.2</f>
        <v>317.959999999997</v>
      </c>
      <c r="AJ227" s="0" t="n">
        <f aca="false">AI227-273.16</f>
        <v>44.7999999999975</v>
      </c>
      <c r="AK227" s="0" t="n">
        <f aca="false">AI227*$AR$1*EXP(-$AR$6/8.31/AI227)/(1+EXP($AR$2/8.31*(1-$AR$5/$AR$2/AI227)))</f>
        <v>0.0419908392493962</v>
      </c>
      <c r="AL227" s="0" t="n">
        <v>0.838067472567913</v>
      </c>
      <c r="AM227" s="142" t="n">
        <f aca="false">AI227*EXP(-$AR$6/8.31/AI227)/(1+EXP($AR$2/8.31*(1-$AR$5/$AR$2/AI227)))</f>
        <v>7.69756286042826E-015</v>
      </c>
      <c r="AN227" s="0" t="n">
        <f aca="false">IF(AK227=$AL$1,1*AJ227,0)</f>
        <v>0</v>
      </c>
    </row>
    <row r="228" customFormat="false" ht="15.75" hidden="false" customHeight="false" outlineLevel="0" collapsed="false">
      <c r="AI228" s="0" t="n">
        <f aca="false">AI227+0.2</f>
        <v>318.159999999997</v>
      </c>
      <c r="AJ228" s="0" t="n">
        <f aca="false">AI228-273.16</f>
        <v>44.9999999999974</v>
      </c>
      <c r="AK228" s="0" t="n">
        <f aca="false">AI228*$AR$1*EXP(-$AR$6/8.31/AI228)/(1+EXP($AR$2/8.31*(1-$AR$5/$AR$2/AI228)))</f>
        <v>0.0396510760001318</v>
      </c>
      <c r="AL228" s="0" t="n">
        <v>0.8176122058165</v>
      </c>
      <c r="AM228" s="142" t="n">
        <f aca="false">AI228*EXP(-$AR$6/8.31/AI228)/(1+EXP($AR$2/8.31*(1-$AR$5/$AR$2/AI228)))</f>
        <v>7.26864848263355E-015</v>
      </c>
      <c r="AN228" s="0" t="n">
        <f aca="false">IF(AK228=$AL$1,1*AJ228,0)</f>
        <v>0</v>
      </c>
    </row>
    <row r="229" customFormat="false" ht="15.75" hidden="false" customHeight="false" outlineLevel="0" collapsed="false">
      <c r="AI229" s="0" t="n">
        <f aca="false">AI228+0.2</f>
        <v>318.359999999997</v>
      </c>
      <c r="AJ229" s="0" t="n">
        <f aca="false">AI229-273.16</f>
        <v>45.1999999999974</v>
      </c>
      <c r="AK229" s="0" t="n">
        <f aca="false">AI229*$AR$1*EXP(-$AR$6/8.31/AI229)/(1+EXP($AR$2/8.31*(1-$AR$5/$AR$2/AI229)))</f>
        <v>0.0374431396033808</v>
      </c>
      <c r="AL229" s="0" t="n">
        <v>0.796255373673237</v>
      </c>
      <c r="AM229" s="142" t="n">
        <f aca="false">AI229*EXP(-$AR$6/8.31/AI229)/(1+EXP($AR$2/8.31*(1-$AR$5/$AR$2/AI229)))</f>
        <v>6.86389998249342E-015</v>
      </c>
      <c r="AN229" s="0" t="n">
        <f aca="false">IF(AK229=$AL$1,1*AJ229,0)</f>
        <v>0</v>
      </c>
    </row>
    <row r="230" customFormat="false" ht="15.75" hidden="false" customHeight="false" outlineLevel="0" collapsed="false">
      <c r="AI230" s="0" t="n">
        <f aca="false">AI229+0.2</f>
        <v>318.559999999997</v>
      </c>
      <c r="AJ230" s="0" t="n">
        <f aca="false">AI230-273.16</f>
        <v>45.3999999999974</v>
      </c>
      <c r="AK230" s="0" t="n">
        <f aca="false">AI230*$AR$1*EXP(-$AR$6/8.31/AI230)/(1+EXP($AR$2/8.31*(1-$AR$5/$AR$2/AI230)))</f>
        <v>0.0353596116954592</v>
      </c>
      <c r="AL230" s="0" t="n">
        <v>0.774118723064821</v>
      </c>
      <c r="AM230" s="142" t="n">
        <f aca="false">AI230*EXP(-$AR$6/8.31/AI230)/(1+EXP($AR$2/8.31*(1-$AR$5/$AR$2/AI230)))</f>
        <v>6.48195746052028E-015</v>
      </c>
      <c r="AN230" s="0" t="n">
        <f aca="false">IF(AK230=$AL$1,1*AJ230,0)</f>
        <v>0</v>
      </c>
    </row>
    <row r="231" customFormat="false" ht="15.75" hidden="false" customHeight="false" outlineLevel="0" collapsed="false">
      <c r="AI231" s="0" t="n">
        <f aca="false">AI230+0.2</f>
        <v>318.759999999997</v>
      </c>
      <c r="AJ231" s="0" t="n">
        <f aca="false">AI231-273.16</f>
        <v>45.5999999999974</v>
      </c>
      <c r="AK231" s="0" t="n">
        <f aca="false">AI231*$AR$1*EXP(-$AR$6/8.31/AI231)/(1+EXP($AR$2/8.31*(1-$AR$5/$AR$2/AI231)))</f>
        <v>0.0333934792007575</v>
      </c>
      <c r="AL231" s="0" t="n">
        <v>0.751326862401654</v>
      </c>
      <c r="AM231" s="142" t="n">
        <f aca="false">AI231*EXP(-$AR$6/8.31/AI231)/(1+EXP($AR$2/8.31*(1-$AR$5/$AR$2/AI231)))</f>
        <v>6.12153531272731E-015</v>
      </c>
      <c r="AN231" s="0" t="n">
        <f aca="false">IF(AK231=$AL$1,1*AJ231,0)</f>
        <v>0</v>
      </c>
    </row>
    <row r="232" customFormat="false" ht="15.75" hidden="false" customHeight="false" outlineLevel="0" collapsed="false">
      <c r="AI232" s="0" t="n">
        <f aca="false">AI231+0.2</f>
        <v>318.959999999997</v>
      </c>
      <c r="AJ232" s="0" t="n">
        <f aca="false">AI232-273.16</f>
        <v>45.7999999999974</v>
      </c>
      <c r="AK232" s="0" t="n">
        <f aca="false">AI232*$AR$1*EXP(-$AR$6/8.31/AI232)/(1+EXP($AR$2/8.31*(1-$AR$5/$AR$2/AI232)))</f>
        <v>0.0315381144356878</v>
      </c>
      <c r="AL232" s="0" t="n">
        <v>0.728005357581554</v>
      </c>
      <c r="AM232" s="142" t="n">
        <f aca="false">AI232*EXP(-$AR$6/8.31/AI232)/(1+EXP($AR$2/8.31*(1-$AR$5/$AR$2/AI232)))</f>
        <v>5.78141858337775E-015</v>
      </c>
      <c r="AN232" s="0" t="n">
        <f aca="false">IF(AK232=$AL$1,1*AJ232,0)</f>
        <v>0</v>
      </c>
    </row>
    <row r="233" customFormat="false" ht="15.75" hidden="false" customHeight="false" outlineLevel="0" collapsed="false">
      <c r="AI233" s="0" t="n">
        <f aca="false">AI232+0.2</f>
        <v>319.159999999997</v>
      </c>
      <c r="AJ233" s="0" t="n">
        <f aca="false">AI233-273.16</f>
        <v>45.9999999999974</v>
      </c>
      <c r="AK233" s="0" t="n">
        <f aca="false">AI233*$AR$1*EXP(-$AR$6/8.31/AI233)/(1+EXP($AR$2/8.31*(1-$AR$5/$AR$2/AI233)))</f>
        <v>0.0297872558405688</v>
      </c>
      <c r="AL233" s="0" t="n">
        <v>0.704278907687141</v>
      </c>
      <c r="AM233" s="142" t="n">
        <f aca="false">AI233*EXP(-$AR$6/8.31/AI233)/(1+EXP($AR$2/8.31*(1-$AR$5/$AR$2/AI233)))</f>
        <v>5.46045943284485E-015</v>
      </c>
      <c r="AN233" s="0" t="n">
        <f aca="false">IF(AK233=$AL$1,1*AJ233,0)</f>
        <v>0</v>
      </c>
    </row>
    <row r="234" customFormat="false" ht="15.75" hidden="false" customHeight="false" outlineLevel="0" collapsed="false">
      <c r="AI234" s="0" t="n">
        <f aca="false">AI233+0.2</f>
        <v>319.359999999997</v>
      </c>
      <c r="AJ234" s="0" t="n">
        <f aca="false">AI234-273.16</f>
        <v>46.1999999999974</v>
      </c>
      <c r="AK234" s="0" t="n">
        <f aca="false">AI234*$AR$1*EXP(-$AR$6/8.31/AI234)/(1+EXP($AR$2/8.31*(1-$AR$5/$AR$2/AI234)))</f>
        <v>0.0281349893763192</v>
      </c>
      <c r="AL234" s="0" t="n">
        <v>0.680269648451129</v>
      </c>
      <c r="AM234" s="142" t="n">
        <f aca="false">AI234*EXP(-$AR$6/8.31/AI234)/(1+EXP($AR$2/8.31*(1-$AR$5/$AR$2/AI234)))</f>
        <v>5.15757372734131E-015</v>
      </c>
      <c r="AN234" s="0" t="n">
        <f aca="false">IF(AK234=$AL$1,1*AJ234,0)</f>
        <v>0</v>
      </c>
    </row>
    <row r="235" customFormat="false" ht="15.75" hidden="false" customHeight="false" outlineLevel="0" collapsed="false">
      <c r="AI235" s="0" t="n">
        <f aca="false">AI234+0.2</f>
        <v>319.559999999997</v>
      </c>
      <c r="AJ235" s="0" t="n">
        <f aca="false">AI235-273.16</f>
        <v>46.3999999999974</v>
      </c>
      <c r="AK235" s="0" t="n">
        <f aca="false">AI235*$AR$1*EXP(-$AR$6/8.31/AI235)/(1+EXP($AR$2/8.31*(1-$AR$5/$AR$2/AI235)))</f>
        <v>0.0265757306109345</v>
      </c>
      <c r="AL235" s="0" t="n">
        <v>0.656095622897604</v>
      </c>
      <c r="AM235" s="142" t="n">
        <f aca="false">AI235*EXP(-$AR$6/8.31/AI235)/(1+EXP($AR$2/8.31*(1-$AR$5/$AR$2/AI235)))</f>
        <v>4.8717377550966E-015</v>
      </c>
      <c r="AN235" s="0" t="n">
        <f aca="false">IF(AK235=$AL$1,1*AJ235,0)</f>
        <v>0</v>
      </c>
    </row>
    <row r="236" customFormat="false" ht="15.75" hidden="false" customHeight="false" outlineLevel="0" collapsed="false">
      <c r="AI236" s="0" t="n">
        <f aca="false">AI235+0.2</f>
        <v>319.759999999997</v>
      </c>
      <c r="AJ236" s="0" t="n">
        <f aca="false">AI236-273.16</f>
        <v>46.5999999999974</v>
      </c>
      <c r="AK236" s="0" t="n">
        <f aca="false">AI236*$AR$1*EXP(-$AR$6/8.31/AI236)/(1+EXP($AR$2/8.31*(1-$AR$5/$AR$2/AI236)))</f>
        <v>0.0251042075107674</v>
      </c>
      <c r="AL236" s="0" t="n">
        <v>0.63186944879461</v>
      </c>
      <c r="AM236" s="142" t="n">
        <f aca="false">AI236*EXP(-$AR$6/8.31/AI236)/(1+EXP($AR$2/8.31*(1-$AR$5/$AR$2/AI236)))</f>
        <v>4.60198507173551E-015</v>
      </c>
      <c r="AN236" s="0" t="n">
        <f aca="false">IF(AK236=$AL$1,1*AJ236,0)</f>
        <v>0</v>
      </c>
    </row>
    <row r="237" customFormat="false" ht="15.75" hidden="false" customHeight="false" outlineLevel="0" collapsed="false">
      <c r="AI237" s="0" t="n">
        <f aca="false">AI236+0.2</f>
        <v>319.959999999997</v>
      </c>
      <c r="AJ237" s="0" t="n">
        <f aca="false">AI237-273.16</f>
        <v>46.7999999999973</v>
      </c>
      <c r="AK237" s="0" t="n">
        <f aca="false">AI237*$AR$1*EXP(-$AR$6/8.31/AI237)/(1+EXP($AR$2/8.31*(1-$AR$5/$AR$2/AI237)))</f>
        <v>0.0237154439433298</v>
      </c>
      <c r="AL237" s="0" t="n">
        <v>0.607697202375305</v>
      </c>
      <c r="AM237" s="142" t="n">
        <f aca="false">AI237*EXP(-$AR$6/8.31/AI237)/(1+EXP($AR$2/8.31*(1-$AR$5/$AR$2/AI237)))</f>
        <v>4.34740347608958E-015</v>
      </c>
      <c r="AN237" s="0" t="n">
        <f aca="false">IF(AK237=$AL$1,1*AJ237,0)</f>
        <v>0</v>
      </c>
    </row>
    <row r="238" customFormat="false" ht="15.75" hidden="false" customHeight="false" outlineLevel="0" collapsed="false">
      <c r="AI238" s="0" t="n">
        <f aca="false">AI237+0.2</f>
        <v>320.159999999997</v>
      </c>
      <c r="AJ238" s="0" t="n">
        <f aca="false">AI238-273.16</f>
        <v>46.9999999999973</v>
      </c>
      <c r="AK238" s="0" t="n">
        <f aca="false">AI238*$AR$1*EXP(-$AR$6/8.31/AI238)/(1+EXP($AR$2/8.31*(1-$AR$5/$AR$2/AI238)))</f>
        <v>0.0224047438914836</v>
      </c>
      <c r="AL238" s="0" t="n">
        <v>0.583677527846196</v>
      </c>
      <c r="AM238" s="142" t="n">
        <f aca="false">AI238*EXP(-$AR$6/8.31/AI238)/(1+EXP($AR$2/8.31*(1-$AR$5/$AR$2/AI238)))</f>
        <v>4.10713211641681E-015</v>
      </c>
      <c r="AN238" s="0" t="n">
        <f aca="false">IF(AK238=$AL$1,1*AJ238,0)</f>
        <v>0</v>
      </c>
    </row>
    <row r="239" customFormat="false" ht="15.75" hidden="false" customHeight="false" outlineLevel="0" collapsed="false">
      <c r="AI239" s="0" t="n">
        <f aca="false">AI238+0.2</f>
        <v>320.359999999997</v>
      </c>
      <c r="AJ239" s="0" t="n">
        <f aca="false">AI239-273.16</f>
        <v>47.1999999999973</v>
      </c>
      <c r="AK239" s="0" t="n">
        <f aca="false">AI239*$AR$1*EXP(-$AR$6/8.31/AI239)/(1+EXP($AR$2/8.31*(1-$AR$5/$AR$2/AI239)))</f>
        <v>0.0211676763732628</v>
      </c>
      <c r="AL239" s="0" t="n">
        <v>0.559900973041391</v>
      </c>
      <c r="AM239" s="142" t="n">
        <f aca="false">AI239*EXP(-$AR$6/8.31/AI239)/(1+EXP($AR$2/8.31*(1-$AR$5/$AR$2/AI239)))</f>
        <v>3.88035872597463E-015</v>
      </c>
      <c r="AN239" s="0" t="n">
        <f aca="false">IF(AK239=$AL$1,1*AJ239,0)</f>
        <v>0</v>
      </c>
    </row>
    <row r="240" customFormat="false" ht="15.75" hidden="false" customHeight="false" outlineLevel="0" collapsed="false">
      <c r="AI240" s="0" t="n">
        <f aca="false">AI239+0.2</f>
        <v>320.559999999997</v>
      </c>
      <c r="AJ240" s="0" t="n">
        <f aca="false">AI240-273.16</f>
        <v>47.3999999999973</v>
      </c>
      <c r="AK240" s="0" t="n">
        <f aca="false">AI240*$AR$1*EXP(-$AR$6/8.31/AI240)/(1+EXP($AR$2/8.31*(1-$AR$5/$AR$2/AI240)))</f>
        <v>0.0200000610570135</v>
      </c>
      <c r="AL240" s="0" t="n">
        <v>0.536449543608303</v>
      </c>
      <c r="AM240" s="142" t="n">
        <f aca="false">AI240*EXP(-$AR$6/8.31/AI240)/(1+EXP($AR$2/8.31*(1-$AR$5/$AR$2/AI240)))</f>
        <v>3.66631698605496E-015</v>
      </c>
      <c r="AN240" s="0" t="n">
        <f aca="false">IF(AK240=$AL$1,1*AJ240,0)</f>
        <v>0</v>
      </c>
    </row>
    <row r="241" customFormat="false" ht="15.75" hidden="false" customHeight="false" outlineLevel="0" collapsed="false">
      <c r="AI241" s="0" t="n">
        <f aca="false">AI240+0.2</f>
        <v>320.759999999997</v>
      </c>
      <c r="AJ241" s="0" t="n">
        <f aca="false">AI241-273.16</f>
        <v>47.5999999999973</v>
      </c>
      <c r="AK241" s="0" t="n">
        <f aca="false">AI241*$AR$1*EXP(-$AR$6/8.31/AI241)/(1+EXP($AR$2/8.31*(1-$AR$5/$AR$2/AI241)))</f>
        <v>0.0188979545578953</v>
      </c>
      <c r="AL241" s="0" t="n">
        <v>0.513396461586659</v>
      </c>
      <c r="AM241" s="142" t="n">
        <f aca="false">AI241*EXP(-$AR$6/8.31/AI241)/(1+EXP($AR$2/8.31*(1-$AR$5/$AR$2/AI241)))</f>
        <v>3.46428401392352E-015</v>
      </c>
      <c r="AN241" s="0" t="n">
        <f aca="false">IF(AK241=$AL$1,1*AJ241,0)</f>
        <v>0</v>
      </c>
    </row>
    <row r="242" customFormat="false" ht="15.75" hidden="false" customHeight="false" outlineLevel="0" collapsed="false">
      <c r="AI242" s="0" t="n">
        <f aca="false">AI241+0.2</f>
        <v>320.959999999997</v>
      </c>
      <c r="AJ242" s="0" t="n">
        <f aca="false">AI242-273.16</f>
        <v>47.7999999999973</v>
      </c>
      <c r="AK242" s="0" t="n">
        <f aca="false">AI242*$AR$1*EXP(-$AR$6/8.31/AI242)/(1+EXP($AR$2/8.31*(1-$AR$5/$AR$2/AI242)))</f>
        <v>0.0178576373989095</v>
      </c>
      <c r="AL242" s="0" t="n">
        <v>0.490806109291767</v>
      </c>
      <c r="AM242" s="142" t="n">
        <f aca="false">AI242*EXP(-$AR$6/8.31/AI242)/(1+EXP($AR$2/8.31*(1-$AR$5/$AR$2/AI242)))</f>
        <v>3.27357797257688E-015</v>
      </c>
      <c r="AN242" s="0" t="n">
        <f aca="false">IF(AK242=$AL$1,1*AJ242,0)</f>
        <v>0</v>
      </c>
    </row>
    <row r="243" customFormat="false" ht="15.75" hidden="false" customHeight="false" outlineLevel="0" collapsed="false">
      <c r="AI243" s="0" t="n">
        <f aca="false">AI242+0.2</f>
        <v>321.159999999997</v>
      </c>
      <c r="AJ243" s="0" t="n">
        <f aca="false">AI243-273.16</f>
        <v>47.9999999999973</v>
      </c>
      <c r="AK243" s="0" t="n">
        <f aca="false">AI243*$AR$1*EXP(-$AR$6/8.31/AI243)/(1+EXP($AR$2/8.31*(1-$AR$5/$AR$2/AI243)))</f>
        <v>0.0168756016174167</v>
      </c>
      <c r="AL243" s="0" t="n">
        <v>0.468734136035411</v>
      </c>
      <c r="AM243" s="142" t="n">
        <f aca="false">AI243*EXP(-$AR$6/8.31/AI243)/(1+EXP($AR$2/8.31*(1-$AR$5/$AR$2/AI243)))</f>
        <v>3.09355579882765E-015</v>
      </c>
      <c r="AN243" s="0" t="n">
        <f aca="false">IF(AK243=$AL$1,1*AJ243,0)</f>
        <v>0</v>
      </c>
    </row>
    <row r="244" customFormat="false" ht="15.75" hidden="false" customHeight="false" outlineLevel="0" collapsed="false">
      <c r="AI244" s="0" t="n">
        <f aca="false">AI243+0.2</f>
        <v>321.359999999997</v>
      </c>
      <c r="AJ244" s="0" t="n">
        <f aca="false">AI244-273.16</f>
        <v>48.1999999999973</v>
      </c>
      <c r="AK244" s="0" t="n">
        <f aca="false">AI244*$AR$1*EXP(-$AR$6/8.31/AI244)/(1+EXP($AR$2/8.31*(1-$AR$5/$AR$2/AI244)))</f>
        <v>0.0159485389964421</v>
      </c>
      <c r="AL244" s="0" t="n">
        <v>0.447227703314508</v>
      </c>
      <c r="AM244" s="142" t="n">
        <f aca="false">AI244*EXP(-$AR$6/8.31/AI244)/(1+EXP($AR$2/8.31*(1-$AR$5/$AR$2/AI244)))</f>
        <v>2.92361104592283E-015</v>
      </c>
      <c r="AN244" s="0" t="n">
        <f aca="false">IF(AK244=$AL$1,1*AJ244,0)</f>
        <v>0</v>
      </c>
    </row>
    <row r="245" customFormat="false" ht="15.75" hidden="false" customHeight="false" outlineLevel="0" collapsed="false">
      <c r="AI245" s="0" t="n">
        <f aca="false">AI244+0.2</f>
        <v>321.559999999997</v>
      </c>
      <c r="AJ245" s="0" t="n">
        <f aca="false">AI245-273.16</f>
        <v>48.3999999999972</v>
      </c>
      <c r="AK245" s="0" t="n">
        <f aca="false">AI245*$AR$1*EXP(-$AR$6/8.31/AI245)/(1+EXP($AR$2/8.31*(1-$AR$5/$AR$2/AI245)))</f>
        <v>0.0150733298988868</v>
      </c>
      <c r="AL245" s="0" t="n">
        <v>0.426325843497317</v>
      </c>
      <c r="AM245" s="142" t="n">
        <f aca="false">AI245*EXP(-$AR$6/8.31/AI245)/(1+EXP($AR$2/8.31*(1-$AR$5/$AR$2/AI245)))</f>
        <v>2.76317183668393E-015</v>
      </c>
      <c r="AN245" s="0" t="n">
        <f aca="false">IF(AK245=$AL$1,1*AJ245,0)</f>
        <v>0</v>
      </c>
    </row>
    <row r="246" customFormat="false" ht="15.75" hidden="false" customHeight="false" outlineLevel="0" collapsed="false">
      <c r="AI246" s="0" t="n">
        <f aca="false">AI245+0.2</f>
        <v>321.759999999997</v>
      </c>
      <c r="AJ246" s="0" t="n">
        <f aca="false">AI246-273.16</f>
        <v>48.5999999999972</v>
      </c>
      <c r="AK246" s="0" t="n">
        <f aca="false">AI246*$AR$1*EXP(-$AR$6/8.31/AI246)/(1+EXP($AR$2/8.31*(1-$AR$5/$AR$2/AI246)))</f>
        <v>0.0142470326819677</v>
      </c>
      <c r="AL246" s="0" t="n">
        <v>0.406059907525246</v>
      </c>
      <c r="AM246" s="142" t="n">
        <f aca="false">AI246*EXP(-$AR$6/8.31/AI246)/(1+EXP($AR$2/8.31*(1-$AR$5/$AR$2/AI246)))</f>
        <v>2.6116989230121E-015</v>
      </c>
      <c r="AN246" s="0" t="n">
        <f aca="false">IF(AK246=$AL$1,1*AJ246,0)</f>
        <v>0</v>
      </c>
    </row>
    <row r="247" customFormat="false" ht="15.75" hidden="false" customHeight="false" outlineLevel="0" collapsed="false">
      <c r="AI247" s="0" t="n">
        <f aca="false">AI246+0.2</f>
        <v>321.959999999997</v>
      </c>
      <c r="AJ247" s="0" t="n">
        <f aca="false">AI247-273.16</f>
        <v>48.7999999999972</v>
      </c>
      <c r="AK247" s="0" t="n">
        <f aca="false">AI247*$AR$1*EXP(-$AR$6/8.31/AI247)/(1+EXP($AR$2/8.31*(1-$AR$5/$AR$2/AI247)))</f>
        <v>0.0134668736687528</v>
      </c>
      <c r="AL247" s="0" t="n">
        <v>0.386454078489988</v>
      </c>
      <c r="AM247" s="142" t="n">
        <f aca="false">AI247*EXP(-$AR$6/8.31/AI247)/(1+EXP($AR$2/8.31*(1-$AR$5/$AR$2/AI247)))</f>
        <v>2.46868384751708E-015</v>
      </c>
      <c r="AN247" s="0" t="n">
        <f aca="false">IF(AK247=$AL$1,1*AJ247,0)</f>
        <v>0</v>
      </c>
    </row>
    <row r="248" customFormat="false" ht="15.75" hidden="false" customHeight="false" outlineLevel="0" collapsed="false">
      <c r="AI248" s="0" t="n">
        <f aca="false">AI247+0.2</f>
        <v>322.159999999997</v>
      </c>
      <c r="AJ248" s="0" t="n">
        <f aca="false">AI248-273.16</f>
        <v>48.9999999999972</v>
      </c>
      <c r="AK248" s="0" t="n">
        <f aca="false">AI248*$AR$1*EXP(-$AR$6/8.31/AI248)/(1+EXP($AR$2/8.31*(1-$AR$5/$AR$2/AI248)))</f>
        <v>0.0127302376534575</v>
      </c>
      <c r="AL248" s="0" t="n">
        <v>0.367525929908411</v>
      </c>
      <c r="AM248" s="142" t="n">
        <f aca="false">AI248*EXP(-$AR$6/8.31/AI248)/(1+EXP($AR$2/8.31*(1-$AR$5/$AR$2/AI248)))</f>
        <v>2.33364720299295E-015</v>
      </c>
      <c r="AN248" s="0" t="n">
        <f aca="false">IF(AK248=$AL$1,1*AJ248,0)</f>
        <v>0</v>
      </c>
    </row>
    <row r="249" customFormat="false" ht="15.75" hidden="false" customHeight="false" outlineLevel="0" collapsed="false">
      <c r="AI249" s="0" t="n">
        <f aca="false">AI248+0.2</f>
        <v>322.359999999997</v>
      </c>
      <c r="AJ249" s="0" t="n">
        <f aca="false">AI249-273.16</f>
        <v>49.1999999999972</v>
      </c>
      <c r="AK249" s="0" t="n">
        <f aca="false">AI249*$AR$1*EXP(-$AR$6/8.31/AI249)/(1+EXP($AR$2/8.31*(1-$AR$5/$AR$2/AI249)))</f>
        <v>0.0120346589172077</v>
      </c>
      <c r="AL249" s="0" t="n">
        <v>0.349287009884079</v>
      </c>
      <c r="AM249" s="142" t="n">
        <f aca="false">AI249*EXP(-$AR$6/8.31/AI249)/(1+EXP($AR$2/8.31*(1-$AR$5/$AR$2/AI249)))</f>
        <v>2.20613698547003E-015</v>
      </c>
      <c r="AN249" s="0" t="n">
        <f aca="false">IF(AK249=$AL$1,1*AJ249,0)</f>
        <v>0</v>
      </c>
    </row>
    <row r="250" customFormat="false" ht="15.75" hidden="false" customHeight="false" outlineLevel="0" collapsed="false">
      <c r="AI250" s="0" t="n">
        <f aca="false">AI249+0.2</f>
        <v>322.559999999997</v>
      </c>
      <c r="AJ250" s="0" t="n">
        <f aca="false">AI250-273.16</f>
        <v>49.3999999999972</v>
      </c>
      <c r="AK250" s="0" t="n">
        <f aca="false">AI250*$AR$1*EXP(-$AR$6/8.31/AI250)/(1+EXP($AR$2/8.31*(1-$AR$5/$AR$2/AI250)))</f>
        <v>0.0113778127311844</v>
      </c>
      <c r="AL250" s="0" t="n">
        <v>0.331743434924652</v>
      </c>
      <c r="AM250" s="142" t="n">
        <f aca="false">AI250*EXP(-$AR$6/8.31/AI250)/(1+EXP($AR$2/8.31*(1-$AR$5/$AR$2/AI250)))</f>
        <v>2.0857270366115E-015</v>
      </c>
      <c r="AN250" s="0" t="n">
        <f aca="false">IF(AK250=$AL$1,1*AJ250,0)</f>
        <v>0</v>
      </c>
    </row>
    <row r="251" customFormat="false" ht="15.75" hidden="false" customHeight="false" outlineLevel="0" collapsed="false">
      <c r="AI251" s="0" t="n">
        <f aca="false">AI250+0.2</f>
        <v>322.759999999997</v>
      </c>
      <c r="AJ251" s="0" t="n">
        <f aca="false">AI251-273.16</f>
        <v>49.5999999999972</v>
      </c>
      <c r="AK251" s="0" t="n">
        <f aca="false">AI251*$AR$1*EXP(-$AR$6/8.31/AI251)/(1+EXP($AR$2/8.31*(1-$AR$5/$AR$2/AI251)))</f>
        <v>0.0107575073244349</v>
      </c>
      <c r="AL251" s="0" t="n">
        <v>0.314896479821433</v>
      </c>
      <c r="AM251" s="142" t="n">
        <f aca="false">AI251*EXP(-$AR$6/8.31/AI251)/(1+EXP($AR$2/8.31*(1-$AR$5/$AR$2/AI251)))</f>
        <v>1.97201557129024E-015</v>
      </c>
      <c r="AN251" s="0" t="n">
        <f aca="false">IF(AK251=$AL$1,1*AJ251,0)</f>
        <v>0</v>
      </c>
    </row>
    <row r="252" customFormat="false" ht="15.75" hidden="false" customHeight="false" outlineLevel="0" collapsed="false">
      <c r="AI252" s="0" t="n">
        <f aca="false">AI251+0.2</f>
        <v>322.959999999997</v>
      </c>
      <c r="AJ252" s="0" t="n">
        <f aca="false">AI252-273.16</f>
        <v>49.7999999999972</v>
      </c>
      <c r="AK252" s="0" t="n">
        <f aca="false">AI252*$AR$1*EXP(-$AR$6/8.31/AI252)/(1+EXP($AR$2/8.31*(1-$AR$5/$AR$2/AI252)))</f>
        <v>0.0101716762941011</v>
      </c>
      <c r="AL252" s="0" t="n">
        <v>0.298743152566644</v>
      </c>
      <c r="AM252" s="142" t="n">
        <f aca="false">AI252*EXP(-$AR$6/8.31/AI252)/(1+EXP($AR$2/8.31*(1-$AR$5/$AR$2/AI252)))</f>
        <v>1.86462378626778E-015</v>
      </c>
      <c r="AN252" s="0" t="n">
        <f aca="false">IF(AK252=$AL$1,1*AJ252,0)</f>
        <v>0</v>
      </c>
    </row>
    <row r="253" customFormat="false" ht="15.75" hidden="false" customHeight="false" outlineLevel="0" collapsed="false">
      <c r="AI253" s="0" t="n">
        <f aca="false">AI252+0.2</f>
        <v>323.159999999997</v>
      </c>
      <c r="AJ253" s="0" t="n">
        <f aca="false">AI253-273.16</f>
        <v>49.9999999999972</v>
      </c>
      <c r="AK253" s="0" t="n">
        <f aca="false">AI253*$AR$1*EXP(-$AR$6/8.31/AI253)/(1+EXP($AR$2/8.31*(1-$AR$5/$AR$2/AI253)))</f>
        <v>0.00961837143640031</v>
      </c>
      <c r="AL253" s="0" t="n">
        <v>0.283276745695358</v>
      </c>
      <c r="AM253" s="142" t="n">
        <f aca="false">AI253*EXP(-$AR$6/8.31/AI253)/(1+EXP($AR$2/8.31*(1-$AR$5/$AR$2/AI253)))</f>
        <v>1.76319454600336E-015</v>
      </c>
      <c r="AN253" s="0" t="n">
        <f aca="false">IF(AK253=$AL$1,1*AJ253,0)</f>
        <v>0</v>
      </c>
    </row>
    <row r="254" customFormat="false" ht="15.75" hidden="false" customHeight="false" outlineLevel="0" collapsed="false">
      <c r="AI254" s="0" t="n">
        <f aca="false">AI253+0.2</f>
        <v>323.359999999997</v>
      </c>
      <c r="AJ254" s="0" t="n">
        <f aca="false">AI254-273.16</f>
        <v>50.1999999999971</v>
      </c>
      <c r="AK254" s="0" t="n">
        <f aca="false">AI254*$AR$1*EXP(-$AR$6/8.31/AI254)/(1+EXP($AR$2/8.31*(1-$AR$5/$AR$2/AI254)))</f>
        <v>0.00909575597732183</v>
      </c>
      <c r="AL254" s="0" t="n">
        <v>0.268487357630759</v>
      </c>
      <c r="AM254" s="142" t="n">
        <f aca="false">AI254*EXP(-$AR$6/8.31/AI254)/(1+EXP($AR$2/8.31*(1-$AR$5/$AR$2/AI254)))</f>
        <v>1.66739114173713E-015</v>
      </c>
      <c r="AN254" s="0" t="n">
        <f aca="false">IF(AK254=$AL$1,1*AJ254,0)</f>
        <v>0</v>
      </c>
    </row>
    <row r="255" customFormat="false" ht="15.75" hidden="false" customHeight="false" outlineLevel="0" collapsed="false">
      <c r="AI255" s="0" t="n">
        <f aca="false">AI254+0.2</f>
        <v>323.559999999997</v>
      </c>
      <c r="AJ255" s="0" t="n">
        <f aca="false">AI255-273.16</f>
        <v>50.3999999999971</v>
      </c>
      <c r="AK255" s="0" t="n">
        <f aca="false">AI255*$AR$1*EXP(-$AR$6/8.31/AI255)/(1+EXP($AR$2/8.31*(1-$AR$5/$AR$2/AI255)))</f>
        <v>0.00860209818270399</v>
      </c>
      <c r="AL255" s="0" t="n">
        <v>0.254362379548205</v>
      </c>
      <c r="AM255" s="142" t="n">
        <f aca="false">AI255*EXP(-$AR$6/8.31/AI255)/(1+EXP($AR$2/8.31*(1-$AR$5/$AR$2/AI255)))</f>
        <v>1.57689612011962E-015</v>
      </c>
      <c r="AN255" s="0" t="n">
        <f aca="false">IF(AK255=$AL$1,1*AJ255,0)</f>
        <v>0</v>
      </c>
    </row>
    <row r="256" customFormat="false" ht="15.75" hidden="false" customHeight="false" outlineLevel="0" collapsed="false">
      <c r="AI256" s="0" t="n">
        <f aca="false">AI255+0.2</f>
        <v>323.759999999997</v>
      </c>
      <c r="AJ256" s="0" t="n">
        <f aca="false">AI256-273.16</f>
        <v>50.5999999999971</v>
      </c>
      <c r="AK256" s="0" t="n">
        <f aca="false">AI256*$AR$1*EXP(-$AR$6/8.31/AI256)/(1+EXP($AR$2/8.31*(1-$AR$5/$AR$2/AI256)))</f>
        <v>0.00813576532807668</v>
      </c>
      <c r="AL256" s="0" t="n">
        <v>0.240886944939792</v>
      </c>
      <c r="AM256" s="142" t="n">
        <f aca="false">AI256*EXP(-$AR$6/8.31/AI256)/(1+EXP($AR$2/8.31*(1-$AR$5/$AR$2/AI256)))</f>
        <v>1.49141017779166E-015</v>
      </c>
      <c r="AN256" s="0" t="n">
        <f aca="false">IF(AK256=$AL$1,1*AJ256,0)</f>
        <v>0</v>
      </c>
    </row>
    <row r="257" customFormat="false" ht="15.75" hidden="false" customHeight="false" outlineLevel="0" collapsed="false">
      <c r="AI257" s="0" t="n">
        <f aca="false">AI256+0.2</f>
        <v>323.959999999997</v>
      </c>
      <c r="AJ257" s="0" t="n">
        <f aca="false">AI257-273.16</f>
        <v>50.7999999999971</v>
      </c>
      <c r="AK257" s="0" t="n">
        <f aca="false">AI257*$AR$1*EXP(-$AR$6/8.31/AI257)/(1+EXP($AR$2/8.31*(1-$AR$5/$AR$2/AI257)))</f>
        <v>0.0076952180094137</v>
      </c>
      <c r="AL257" s="0" t="n">
        <v>0.228044340458373</v>
      </c>
      <c r="AM257" s="142" t="n">
        <f aca="false">AI257*EXP(-$AR$6/8.31/AI257)/(1+EXP($AR$2/8.31*(1-$AR$5/$AR$2/AI257)))</f>
        <v>1.41065111845825E-015</v>
      </c>
      <c r="AN257" s="0" t="n">
        <f aca="false">IF(AK257=$AL$1,1*AJ257,0)</f>
        <v>0</v>
      </c>
    </row>
    <row r="258" customFormat="false" ht="15.75" hidden="false" customHeight="false" outlineLevel="0" collapsed="false">
      <c r="AI258" s="0" t="n">
        <f aca="false">AI257+0.2</f>
        <v>324.159999999997</v>
      </c>
      <c r="AJ258" s="0" t="n">
        <f aca="false">AI258-273.16</f>
        <v>50.9999999999971</v>
      </c>
      <c r="AK258" s="0" t="n">
        <f aca="false">AI258*$AR$1*EXP(-$AR$6/8.31/AI258)/(1+EXP($AR$2/8.31*(1-$AR$5/$AR$2/AI258)))</f>
        <v>0.00727900477669883</v>
      </c>
      <c r="AL258" s="0" t="n">
        <v>0.215816377760096</v>
      </c>
      <c r="AM258" s="142" t="n">
        <f aca="false">AI258*EXP(-$AR$6/8.31/AI258)/(1+EXP($AR$2/8.31*(1-$AR$5/$AR$2/AI258)))</f>
        <v>1.33435286913925E-015</v>
      </c>
      <c r="AN258" s="0" t="n">
        <f aca="false">IF(AK258=$AL$1,1*AJ258,0)</f>
        <v>0</v>
      </c>
    </row>
    <row r="259" customFormat="false" ht="15.75" hidden="false" customHeight="false" outlineLevel="0" collapsed="false">
      <c r="AI259" s="0" t="n">
        <f aca="false">AI258+0.2</f>
        <v>324.359999999997</v>
      </c>
      <c r="AJ259" s="0" t="n">
        <f aca="false">AI259-273.16</f>
        <v>51.1999999999971</v>
      </c>
      <c r="AK259" s="0" t="n">
        <f aca="false">AI259*$AR$1*EXP(-$AR$6/8.31/AI259)/(1+EXP($AR$2/8.31*(1-$AR$5/$AR$2/AI259)))</f>
        <v>0.00688575707298329</v>
      </c>
      <c r="AL259" s="0" t="n">
        <v>0.204183726968139</v>
      </c>
      <c r="AM259" s="142" t="n">
        <f aca="false">AI259*EXP(-$AR$6/8.31/AI259)/(1+EXP($AR$2/8.31*(1-$AR$5/$AR$2/AI259)))</f>
        <v>1.26226455242114E-015</v>
      </c>
      <c r="AN259" s="0" t="n">
        <f aca="false">IF(AK259=$AL$1,1*AJ259,0)</f>
        <v>0</v>
      </c>
    </row>
    <row r="260" customFormat="false" ht="15.75" hidden="false" customHeight="false" outlineLevel="0" collapsed="false">
      <c r="AI260" s="0" t="n">
        <f aca="false">AI259+0.2</f>
        <v>324.559999999997</v>
      </c>
      <c r="AJ260" s="0" t="n">
        <f aca="false">AI260-273.16</f>
        <v>51.3999999999971</v>
      </c>
      <c r="AK260" s="0" t="n">
        <f aca="false">AI260*$AR$1*EXP(-$AR$6/8.31/AI260)/(1+EXP($AR$2/8.31*(1-$AR$5/$AR$2/AI260)))</f>
        <v>0.0065141844623775</v>
      </c>
      <c r="AL260" s="0" t="n">
        <v>0.193126213072551</v>
      </c>
      <c r="AM260" s="142" t="n">
        <f aca="false">AI260*EXP(-$AR$6/8.31/AI260)/(1+EXP($AR$2/8.31*(1-$AR$5/$AR$2/AI260)))</f>
        <v>1.19414961167505E-015</v>
      </c>
      <c r="AN260" s="0" t="n">
        <f aca="false">IF(AK260=$AL$1,1*AJ260,0)</f>
        <v>0</v>
      </c>
    </row>
    <row r="261" customFormat="false" ht="15.75" hidden="false" customHeight="false" outlineLevel="0" collapsed="false">
      <c r="AI261" s="0" t="n">
        <f aca="false">AI260+0.2</f>
        <v>324.759999999997</v>
      </c>
      <c r="AJ261" s="0" t="n">
        <f aca="false">AI261-273.16</f>
        <v>51.5999999999971</v>
      </c>
      <c r="AK261" s="0" t="n">
        <f aca="false">AI261*$AR$1*EXP(-$AR$6/8.31/AI261)/(1+EXP($AR$2/8.31*(1-$AR$5/$AR$2/AI261)))</f>
        <v>0.00616307013117977</v>
      </c>
      <c r="AL261" s="0" t="n">
        <v>0.182623077088613</v>
      </c>
      <c r="AM261" s="142" t="n">
        <f aca="false">AI261*EXP(-$AR$6/8.31/AI261)/(1+EXP($AR$2/8.31*(1-$AR$5/$AR$2/AI261)))</f>
        <v>1.12978498634476E-015</v>
      </c>
      <c r="AN261" s="0" t="n">
        <f aca="false">IF(AK261=$AL$1,1*AJ261,0)</f>
        <v>0</v>
      </c>
    </row>
    <row r="262" customFormat="false" ht="15.75" hidden="false" customHeight="false" outlineLevel="0" collapsed="false">
      <c r="AI262" s="0" t="n">
        <f aca="false">AI261+0.2</f>
        <v>324.959999999997</v>
      </c>
      <c r="AJ262" s="0" t="n">
        <f aca="false">AI262-273.16</f>
        <v>51.7999999999971</v>
      </c>
      <c r="AK262" s="0" t="n">
        <f aca="false">AI262*$AR$1*EXP(-$AR$6/8.31/AI262)/(1+EXP($AR$2/8.31*(1-$AR$5/$AR$2/AI262)))</f>
        <v>0.0058312666470894</v>
      </c>
      <c r="AL262" s="0" t="n">
        <v>0.172653204146912</v>
      </c>
      <c r="AM262" s="142" t="n">
        <f aca="false">AI262*EXP(-$AR$6/8.31/AI262)/(1+EXP($AR$2/8.31*(1-$AR$5/$AR$2/AI262)))</f>
        <v>1.0689603345457E-015</v>
      </c>
      <c r="AN262" s="0" t="n">
        <f aca="false">IF(AK262=$AL$1,1*AJ262,0)</f>
        <v>0</v>
      </c>
    </row>
    <row r="263" customFormat="false" ht="15.75" hidden="false" customHeight="false" outlineLevel="0" collapsed="false">
      <c r="AI263" s="0" t="n">
        <f aca="false">AI262+0.2</f>
        <v>325.159999999997</v>
      </c>
      <c r="AJ263" s="0" t="n">
        <f aca="false">AI263-273.16</f>
        <v>51.999999999997</v>
      </c>
      <c r="AK263" s="0" t="n">
        <f aca="false">AI263*$AR$1*EXP(-$AR$6/8.31/AI263)/(1+EXP($AR$2/8.31*(1-$AR$5/$AR$2/AI263)))</f>
        <v>0.00551769196218139</v>
      </c>
      <c r="AL263" s="0" t="n">
        <v>0.163195320908179</v>
      </c>
      <c r="AM263" s="142" t="n">
        <f aca="false">AI263*EXP(-$AR$6/8.31/AI263)/(1+EXP($AR$2/8.31*(1-$AR$5/$AR$2/AI263)))</f>
        <v>1.01147730034907E-015</v>
      </c>
      <c r="AN263" s="0" t="n">
        <f aca="false">IF(AK263=$AL$1,1*AJ263,0)</f>
        <v>0</v>
      </c>
    </row>
    <row r="264" customFormat="false" ht="15.75" hidden="false" customHeight="false" outlineLevel="0" collapsed="false">
      <c r="AI264" s="0" t="n">
        <f aca="false">AI263+0.2</f>
        <v>325.359999999997</v>
      </c>
      <c r="AJ264" s="0" t="n">
        <f aca="false">AI264-273.16</f>
        <v>52.199999999997</v>
      </c>
      <c r="AK264" s="0" t="n">
        <f aca="false">AI264*$AR$1*EXP(-$AR$6/8.31/AI264)/(1+EXP($AR$2/8.31*(1-$AR$5/$AR$2/AI264)))</f>
        <v>0.00522132564602935</v>
      </c>
      <c r="AL264" s="0" t="n">
        <v>0.122849351718896</v>
      </c>
      <c r="AM264" s="142" t="n">
        <f aca="false">AI264*EXP(-$AR$6/8.31/AI264)/(1+EXP($AR$2/8.31*(1-$AR$5/$AR$2/AI264)))</f>
        <v>9.57148823255659E-016</v>
      </c>
      <c r="AN264" s="0" t="n">
        <f aca="false">IF(AK264=$AL$1,1*AJ264,0)</f>
        <v>0</v>
      </c>
    </row>
    <row r="265" customFormat="false" ht="15.75" hidden="false" customHeight="false" outlineLevel="0" collapsed="false">
      <c r="AI265" s="0" t="n">
        <f aca="false">AI264+0.2</f>
        <v>325.559999999997</v>
      </c>
      <c r="AJ265" s="0" t="n">
        <f aca="false">AI265-273.16</f>
        <v>52.399999999997</v>
      </c>
      <c r="AK265" s="0" t="n">
        <f aca="false">AI265*$AR$1*EXP(-$AR$6/8.31/AI265)/(1+EXP($AR$2/8.31*(1-$AR$5/$AR$2/AI265)))</f>
        <v>0.00494120533605006</v>
      </c>
      <c r="AL265" s="0" t="n">
        <v>0.0922526123817019</v>
      </c>
      <c r="AM265" s="142" t="n">
        <f aca="false">AI265*EXP(-$AR$6/8.31/AI265)/(1+EXP($AR$2/8.31*(1-$AR$5/$AR$2/AI265)))</f>
        <v>9.05798487489763E-016</v>
      </c>
      <c r="AN265" s="0" t="n">
        <f aca="false">IF(AK265=$AL$1,1*AJ265,0)</f>
        <v>0</v>
      </c>
    </row>
    <row r="266" customFormat="false" ht="15.75" hidden="false" customHeight="false" outlineLevel="0" collapsed="false">
      <c r="AI266" s="0" t="n">
        <f aca="false">AI265+0.2</f>
        <v>325.759999999997</v>
      </c>
      <c r="AJ266" s="0" t="n">
        <f aca="false">AI266-273.16</f>
        <v>52.599999999997</v>
      </c>
      <c r="AK266" s="0" t="n">
        <f aca="false">AI266*$AR$1*EXP(-$AR$6/8.31/AI266)/(1+EXP($AR$2/8.31*(1-$AR$5/$AR$2/AI266)))</f>
        <v>0.00467642339280787</v>
      </c>
      <c r="AL266" s="0" t="n">
        <v>0.0692049619326702</v>
      </c>
      <c r="AM266" s="142" t="n">
        <f aca="false">AI266*EXP(-$AR$6/8.31/AI266)/(1+EXP($AR$2/8.31*(1-$AR$5/$AR$2/AI266)))</f>
        <v>8.57259908865321E-016</v>
      </c>
      <c r="AN266" s="0" t="n">
        <f aca="false">IF(AK266=$AL$1,1*AJ266,0)</f>
        <v>0</v>
      </c>
    </row>
    <row r="267" customFormat="false" ht="15.75" hidden="false" customHeight="false" outlineLevel="0" collapsed="false">
      <c r="AI267" s="0" t="n">
        <f aca="false">AI266+0.2</f>
        <v>325.959999999997</v>
      </c>
      <c r="AJ267" s="0" t="n">
        <f aca="false">AI267-273.16</f>
        <v>52.799999999997</v>
      </c>
      <c r="AK267" s="0" t="n">
        <f aca="false">AI267*$AR$1*EXP(-$AR$6/8.31/AI267)/(1+EXP($AR$2/8.31*(1-$AR$5/$AR$2/AI267)))</f>
        <v>0.00442612374865716</v>
      </c>
      <c r="AL267" s="0" t="n">
        <v>0.0519110111082861</v>
      </c>
      <c r="AM267" s="142" t="n">
        <f aca="false">AI267*EXP(-$AR$6/8.31/AI267)/(1+EXP($AR$2/8.31*(1-$AR$5/$AR$2/AI267)))</f>
        <v>8.11376157093902E-016</v>
      </c>
      <c r="AN267" s="0" t="n">
        <f aca="false">IF(AK267=$AL$1,1*AJ267,0)</f>
        <v>0</v>
      </c>
    </row>
    <row r="268" customFormat="false" ht="15.75" hidden="false" customHeight="false" outlineLevel="0" collapsed="false">
      <c r="AI268" s="0" t="n">
        <f aca="false">AI267+0.2</f>
        <v>326.159999999997</v>
      </c>
      <c r="AJ268" s="0" t="n">
        <f aca="false">AI268-273.16</f>
        <v>52.999999999997</v>
      </c>
      <c r="AK268" s="0" t="n">
        <f aca="false">AI268*$AR$1*EXP(-$AR$6/8.31/AI268)/(1+EXP($AR$2/8.31*(1-$AR$5/$AR$2/AI268)))</f>
        <v>0.00418949893871583</v>
      </c>
      <c r="AL268" s="0" t="n">
        <v>0.0389599558668998</v>
      </c>
      <c r="AM268" s="142" t="n">
        <f aca="false">AI268*EXP(-$AR$6/8.31/AI268)/(1+EXP($AR$2/8.31*(1-$AR$5/$AR$2/AI268)))</f>
        <v>7.67999211516743E-016</v>
      </c>
      <c r="AN268" s="0" t="n">
        <f aca="false">IF(AK268=$AL$1,1*AJ268,0)</f>
        <v>0</v>
      </c>
    </row>
    <row r="269" customFormat="false" ht="15.75" hidden="false" customHeight="false" outlineLevel="0" collapsed="false">
      <c r="AI269" s="0" t="n">
        <f aca="false">AI268+0.2</f>
        <v>326.359999999997</v>
      </c>
      <c r="AJ269" s="0" t="n">
        <f aca="false">AI269-273.16</f>
        <v>53.199999999997</v>
      </c>
      <c r="AK269" s="0" t="n">
        <f aca="false">AI269*$AR$1*EXP(-$AR$6/8.31/AI269)/(1+EXP($AR$2/8.31*(1-$AR$5/$AR$2/AI269)))</f>
        <v>0.00396578730375084</v>
      </c>
      <c r="AL269" s="0" t="n">
        <v>0.0292680625600359</v>
      </c>
      <c r="AM269" s="142" t="n">
        <f aca="false">AI269*EXP(-$AR$6/8.31/AI269)/(1+EXP($AR$2/8.31*(1-$AR$5/$AR$2/AI269)))</f>
        <v>7.26989448350912E-016</v>
      </c>
      <c r="AN269" s="0" t="n">
        <f aca="false">IF(AK269=$AL$1,1*AJ269,0)</f>
        <v>0</v>
      </c>
    </row>
    <row r="270" customFormat="false" ht="15.75" hidden="false" customHeight="false" outlineLevel="0" collapsed="false">
      <c r="AI270" s="0" t="n">
        <f aca="false">AI269+0.2</f>
        <v>326.559999999997</v>
      </c>
      <c r="AJ270" s="0" t="n">
        <f aca="false">AI270-273.16</f>
        <v>53.399999999997</v>
      </c>
      <c r="AK270" s="0" t="n">
        <f aca="false">AI270*$AR$1*EXP(-$AR$6/8.31/AI270)/(1+EXP($AR$2/8.31*(1-$AR$5/$AR$2/AI270)))</f>
        <v>0.00375427035512358</v>
      </c>
      <c r="AL270" s="0" t="n">
        <v>0.0220142281439842</v>
      </c>
      <c r="AM270" s="142" t="n">
        <f aca="false">AI270*EXP(-$AR$6/8.31/AI270)/(1+EXP($AR$2/8.31*(1-$AR$5/$AR$2/AI270)))</f>
        <v>6.882151576435E-016</v>
      </c>
      <c r="AN270" s="0" t="n">
        <f aca="false">IF(AK270=$AL$1,1*AJ270,0)</f>
        <v>0</v>
      </c>
    </row>
    <row r="271" customFormat="false" ht="15.75" hidden="false" customHeight="false" outlineLevel="0" collapsed="false">
      <c r="AI271" s="0" t="n">
        <f aca="false">AI270+0.2</f>
        <v>326.759999999997</v>
      </c>
      <c r="AJ271" s="0" t="n">
        <f aca="false">AI271-273.16</f>
        <v>53.599999999997</v>
      </c>
      <c r="AK271" s="0" t="n">
        <f aca="false">AI271*$AR$1*EXP(-$AR$6/8.31/AI271)/(1+EXP($AR$2/8.31*(1-$AR$5/$AR$2/AI271)))</f>
        <v>0.00355427029247729</v>
      </c>
      <c r="AL271" s="0" t="n">
        <v>0.0165814590817086</v>
      </c>
      <c r="AM271" s="142" t="n">
        <f aca="false">AI271*EXP(-$AR$6/8.31/AI271)/(1+EXP($AR$2/8.31*(1-$AR$5/$AR$2/AI271)))</f>
        <v>6.51552088225769E-016</v>
      </c>
      <c r="AN271" s="0" t="n">
        <f aca="false">IF(AK271=$AL$1,1*AJ271,0)</f>
        <v>0</v>
      </c>
    </row>
    <row r="272" customFormat="false" ht="15.75" hidden="false" customHeight="false" outlineLevel="0" collapsed="false">
      <c r="AI272" s="0" t="n">
        <f aca="false">AI271+0.2</f>
        <v>326.959999999997</v>
      </c>
      <c r="AJ272" s="0" t="n">
        <f aca="false">AI272-273.16</f>
        <v>53.7999999999969</v>
      </c>
      <c r="AK272" s="0" t="n">
        <f aca="false">AI272*$AR$1*EXP(-$AR$6/8.31/AI272)/(1+EXP($AR$2/8.31*(1-$AR$5/$AR$2/AI272)))</f>
        <v>0.00336514766536545</v>
      </c>
      <c r="AL272" s="0" t="n">
        <v>0.0125083490080366</v>
      </c>
      <c r="AM272" s="142" t="n">
        <f aca="false">AI272*EXP(-$AR$6/8.31/AI272)/(1+EXP($AR$2/8.31*(1-$AR$5/$AR$2/AI272)))</f>
        <v>6.16883019053887E-016</v>
      </c>
      <c r="AN272" s="0" t="n">
        <f aca="false">IF(AK272=$AL$1,1*AJ272,0)</f>
        <v>0</v>
      </c>
    </row>
    <row r="273" customFormat="false" ht="15.75" hidden="false" customHeight="false" outlineLevel="0" collapsed="false">
      <c r="AI273" s="0" t="n">
        <f aca="false">AI272+0.2</f>
        <v>327.159999999997</v>
      </c>
      <c r="AJ273" s="0" t="n">
        <f aca="false">AI273-273.16</f>
        <v>53.9999999999969</v>
      </c>
      <c r="AK273" s="0" t="n">
        <f aca="false">AI273*$AR$1*EXP(-$AR$6/8.31/AI273)/(1+EXP($AR$2/8.31*(1-$AR$5/$AR$2/AI273)))</f>
        <v>0.00318629917050727</v>
      </c>
      <c r="AL273" s="0" t="n">
        <v>0.00945072276657346</v>
      </c>
      <c r="AM273" s="142" t="n">
        <f aca="false">AI273*EXP(-$AR$6/8.31/AI273)/(1+EXP($AR$2/8.31*(1-$AR$5/$AR$2/AI273)))</f>
        <v>5.84097355412176E-016</v>
      </c>
      <c r="AN273" s="0" t="n">
        <f aca="false">IF(AK273=$AL$1,1*AJ273,0)</f>
        <v>0</v>
      </c>
    </row>
    <row r="274" customFormat="false" ht="15.75" hidden="false" customHeight="false" outlineLevel="0" collapsed="false">
      <c r="AI274" s="0" t="n">
        <f aca="false">AI273+0.2</f>
        <v>327.359999999997</v>
      </c>
      <c r="AJ274" s="0" t="n">
        <f aca="false">AI274-273.16</f>
        <v>54.1999999999969</v>
      </c>
      <c r="AK274" s="0" t="n">
        <f aca="false">AI274*$AR$1*EXP(-$AR$6/8.31/AI274)/(1+EXP($AR$2/8.31*(1-$AR$5/$AR$2/AI274)))</f>
        <v>0.00301715557682169</v>
      </c>
      <c r="AL274" s="0" t="n">
        <v>0.0071521313785829</v>
      </c>
      <c r="AM274" s="142" t="n">
        <f aca="false">AI274*EXP(-$AR$6/8.31/AI274)/(1+EXP($AR$2/8.31*(1-$AR$5/$AR$2/AI274)))</f>
        <v>5.53090748540125E-016</v>
      </c>
      <c r="AN274" s="0" t="n">
        <f aca="false">IF(AK274=$AL$1,1*AJ274,0)</f>
        <v>0</v>
      </c>
    </row>
    <row r="275" customFormat="false" ht="15.75" hidden="false" customHeight="false" outlineLevel="0" collapsed="false">
      <c r="AI275" s="0" t="n">
        <f aca="false">AI274+0.2</f>
        <v>327.559999999997</v>
      </c>
      <c r="AJ275" s="0" t="n">
        <f aca="false">AI275-273.16</f>
        <v>54.3999999999969</v>
      </c>
      <c r="AK275" s="0" t="n">
        <f aca="false">AI275*$AR$1*EXP(-$AR$6/8.31/AI275)/(1+EXP($AR$2/8.31*(1-$AR$5/$AR$2/AI275)))</f>
        <v>0.00285717977083277</v>
      </c>
      <c r="AL275" s="0" t="n">
        <v>0.00542151832986825</v>
      </c>
      <c r="AM275" s="142" t="n">
        <f aca="false">AI275*EXP(-$AR$6/8.31/AI275)/(1+EXP($AR$2/8.31*(1-$AR$5/$AR$2/AI275)))</f>
        <v>5.23764737325309E-016</v>
      </c>
      <c r="AN275" s="0" t="n">
        <f aca="false">IF(AK275=$AL$1,1*AJ275,0)</f>
        <v>0</v>
      </c>
    </row>
    <row r="276" customFormat="false" ht="15.75" hidden="false" customHeight="false" outlineLevel="0" collapsed="false">
      <c r="AI276" s="0" t="n">
        <f aca="false">AI275+0.2</f>
        <v>327.759999999997</v>
      </c>
      <c r="AJ276" s="0" t="n">
        <f aca="false">AI276-273.16</f>
        <v>54.5999999999969</v>
      </c>
      <c r="AK276" s="0" t="n">
        <f aca="false">AI276*$AR$1*EXP(-$AR$6/8.31/AI276)/(1+EXP($AR$2/8.31*(1-$AR$5/$AR$2/AI276)))</f>
        <v>0.00270586491545844</v>
      </c>
      <c r="AL276" s="0" t="n">
        <v>0.00411647577372759</v>
      </c>
      <c r="AM276" s="142" t="n">
        <f aca="false">AI276*EXP(-$AR$6/8.31/AI276)/(1+EXP($AR$2/8.31*(1-$AR$5/$AR$2/AI276)))</f>
        <v>4.96026410781209E-016</v>
      </c>
      <c r="AN276" s="0" t="n">
        <f aca="false">IF(AK276=$AL$1,1*AJ276,0)</f>
        <v>0</v>
      </c>
    </row>
    <row r="277" customFormat="false" ht="15.75" hidden="false" customHeight="false" outlineLevel="0" collapsed="false">
      <c r="AI277" s="0" t="n">
        <f aca="false">AI276+0.2</f>
        <v>327.959999999997</v>
      </c>
      <c r="AJ277" s="0" t="n">
        <f aca="false">AI277-273.16</f>
        <v>54.7999999999969</v>
      </c>
      <c r="AK277" s="0" t="n">
        <f aca="false">AI277*$AR$1*EXP(-$AR$6/8.31/AI277)/(1+EXP($AR$2/8.31*(1-$AR$5/$AR$2/AI277)))</f>
        <v>0.00256273271559159</v>
      </c>
      <c r="AL277" s="0" t="n">
        <v>0.00313076182500765</v>
      </c>
      <c r="AM277" s="142" t="n">
        <f aca="false">AI277*EXP(-$AR$6/8.31/AI277)/(1+EXP($AR$2/8.31*(1-$AR$5/$AR$2/AI277)))</f>
        <v>4.69788090101721E-016</v>
      </c>
      <c r="AN277" s="0" t="n">
        <f aca="false">IF(AK277=$AL$1,1*AJ277,0)</f>
        <v>0</v>
      </c>
    </row>
    <row r="278" customFormat="false" ht="15.75" hidden="false" customHeight="false" outlineLevel="0" collapsed="false">
      <c r="AI278" s="0" t="n">
        <f aca="false">AI277+0.2</f>
        <v>328.159999999997</v>
      </c>
      <c r="AJ278" s="0" t="n">
        <f aca="false">AI278-273.16</f>
        <v>54.9999999999969</v>
      </c>
      <c r="AK278" s="0" t="n">
        <f aca="false">AI278*$AR$1*EXP(-$AR$6/8.31/AI278)/(1+EXP($AR$2/8.31*(1-$AR$5/$AR$2/AI278)))</f>
        <v>0.00242733178425968</v>
      </c>
      <c r="AL278" s="0" t="n">
        <v>0.00238502327626001</v>
      </c>
      <c r="AM278" s="142" t="n">
        <f aca="false">AI278*EXP(-$AR$6/8.31/AI278)/(1+EXP($AR$2/8.31*(1-$AR$5/$AR$2/AI278)))</f>
        <v>4.44967029153223E-016</v>
      </c>
      <c r="AN278" s="0" t="n">
        <f aca="false">IF(AK278=$AL$1,1*AJ278,0)</f>
        <v>0</v>
      </c>
    </row>
    <row r="279" customFormat="false" ht="15.75" hidden="false" customHeight="false" outlineLevel="0" collapsed="false">
      <c r="AI279" s="0" t="n">
        <f aca="false">AI278+0.2</f>
        <v>328.359999999997</v>
      </c>
      <c r="AJ279" s="0" t="n">
        <f aca="false">AI279-273.16</f>
        <v>55.1999999999969</v>
      </c>
      <c r="AK279" s="0" t="n">
        <f aca="false">AI279*$AR$1*EXP(-$AR$6/8.31/AI279)/(1+EXP($AR$2/8.31*(1-$AR$5/$AR$2/AI279)))</f>
        <v>0.00229923610350408</v>
      </c>
      <c r="AL279" s="0" t="n">
        <v>0.0018199107209723</v>
      </c>
      <c r="AM279" s="142" t="n">
        <f aca="false">AI279*EXP(-$AR$6/8.31/AI279)/(1+EXP($AR$2/8.31*(1-$AR$5/$AR$2/AI279)))</f>
        <v>4.21485132330221E-016</v>
      </c>
      <c r="AN279" s="0" t="n">
        <f aca="false">IF(AK279=$AL$1,1*AJ279,0)</f>
        <v>0</v>
      </c>
    </row>
    <row r="280" customFormat="false" ht="15.75" hidden="false" customHeight="false" outlineLevel="0" collapsed="false">
      <c r="AI280" s="0" t="n">
        <f aca="false">AI279+0.2</f>
        <v>328.559999999997</v>
      </c>
      <c r="AJ280" s="0" t="n">
        <f aca="false">AI280-273.16</f>
        <v>55.3999999999969</v>
      </c>
      <c r="AK280" s="0" t="n">
        <f aca="false">AI280*$AR$1*EXP(-$AR$6/8.31/AI280)/(1+EXP($AR$2/8.31*(1-$AR$5/$AR$2/AI280)))</f>
        <v>0.0021780435744582</v>
      </c>
      <c r="AL280" s="0" t="n">
        <v>0.00139097120684418</v>
      </c>
      <c r="AM280" s="142" t="n">
        <f aca="false">AI280*EXP(-$AR$6/8.31/AI280)/(1+EXP($AR$2/8.31*(1-$AR$5/$AR$2/AI280)))</f>
        <v>3.99268688762512E-016</v>
      </c>
      <c r="AN280" s="0" t="n">
        <f aca="false">IF(AK280=$AL$1,1*AJ280,0)</f>
        <v>0</v>
      </c>
    </row>
    <row r="281" customFormat="false" ht="15.75" hidden="false" customHeight="false" outlineLevel="0" collapsed="false">
      <c r="AI281" s="0" t="n">
        <f aca="false">AI280+0.2</f>
        <v>328.759999999997</v>
      </c>
      <c r="AJ281" s="0" t="n">
        <f aca="false">AI281-273.16</f>
        <v>55.5999999999968</v>
      </c>
      <c r="AK281" s="0" t="n">
        <f aca="false">AI281*$AR$1*EXP(-$AR$6/8.31/AI281)/(1+EXP($AR$2/8.31*(1-$AR$5/$AR$2/AI281)))</f>
        <v>0.00206337465142189</v>
      </c>
      <c r="AL281" s="0" t="n">
        <v>0.00106485839224199</v>
      </c>
      <c r="AM281" s="142" t="n">
        <f aca="false">AI281*EXP(-$AR$6/8.31/AI281)/(1+EXP($AR$2/8.31*(1-$AR$5/$AR$2/AI281)))</f>
        <v>3.78248121920131E-016</v>
      </c>
      <c r="AN281" s="0" t="n">
        <f aca="false">IF(AK281=$AL$1,1*AJ281,0)</f>
        <v>0</v>
      </c>
    </row>
    <row r="282" customFormat="false" ht="15.75" hidden="false" customHeight="false" outlineLevel="0" collapsed="false">
      <c r="AI282" s="0" t="n">
        <f aca="false">AI281+0.2</f>
        <v>328.959999999997</v>
      </c>
      <c r="AJ282" s="0" t="n">
        <f aca="false">AI282-273.16</f>
        <v>55.7999999999968</v>
      </c>
      <c r="AK282" s="0" t="n">
        <f aca="false">AI282*$AR$1*EXP(-$AR$6/8.31/AI282)/(1+EXP($AR$2/8.31*(1-$AR$5/$AR$2/AI282)))</f>
        <v>0.00195487105503077</v>
      </c>
      <c r="AL282" s="0" t="n">
        <v>0.00081651822269779</v>
      </c>
      <c r="AM282" s="142" t="n">
        <f aca="false">AI282*EXP(-$AR$6/8.31/AI282)/(1+EXP($AR$2/8.31*(1-$AR$5/$AR$2/AI282)))</f>
        <v>3.58357753717615E-016</v>
      </c>
      <c r="AN282" s="0" t="n">
        <f aca="false">IF(AK282=$AL$1,1*AJ282,0)</f>
        <v>0</v>
      </c>
    </row>
    <row r="283" customFormat="false" ht="15.75" hidden="false" customHeight="false" outlineLevel="0" collapsed="false">
      <c r="AI283" s="0" t="n">
        <f aca="false">AI282+0.2</f>
        <v>329.159999999997</v>
      </c>
      <c r="AJ283" s="0" t="n">
        <f aca="false">AI283-273.16</f>
        <v>55.9999999999968</v>
      </c>
      <c r="AK283" s="0" t="n">
        <f aca="false">AI283*$AR$1*EXP(-$AR$6/8.31/AI283)/(1+EXP($AR$2/8.31*(1-$AR$5/$AR$2/AI283)))</f>
        <v>0.00185219455990312</v>
      </c>
      <c r="AL283" s="0" t="n">
        <v>0.000627096815145512</v>
      </c>
      <c r="AM283" s="142" t="n">
        <f aca="false">AI283*EXP(-$AR$6/8.31/AI283)/(1+EXP($AR$2/8.31*(1-$AR$5/$AR$2/AI283)))</f>
        <v>3.39535582271138E-016</v>
      </c>
      <c r="AN283" s="0" t="n">
        <f aca="false">IF(AK283=$AL$1,1*AJ283,0)</f>
        <v>0</v>
      </c>
    </row>
    <row r="284" customFormat="false" ht="15.75" hidden="false" customHeight="false" outlineLevel="0" collapsed="false">
      <c r="AI284" s="0" t="n">
        <f aca="false">AI283+0.2</f>
        <v>329.359999999997</v>
      </c>
      <c r="AJ284" s="0" t="n">
        <f aca="false">AI284-273.16</f>
        <v>56.1999999999968</v>
      </c>
      <c r="AK284" s="0" t="n">
        <f aca="false">AI284*$AR$1*EXP(-$AR$6/8.31/AI284)/(1+EXP($AR$2/8.31*(1-$AR$5/$AR$2/AI284)))</f>
        <v>0.00175502585241558</v>
      </c>
      <c r="AL284" s="0" t="n">
        <v>0.000627096815145512</v>
      </c>
      <c r="AM284" s="142" t="n">
        <f aca="false">AI284*EXP(-$AR$6/8.31/AI284)/(1+EXP($AR$2/8.31*(1-$AR$5/$AR$2/AI284)))</f>
        <v>3.21723072511342E-016</v>
      </c>
      <c r="AN284" s="0" t="n">
        <f aca="false">IF(AK284=$AL$1,1*AJ284,0)</f>
        <v>0</v>
      </c>
    </row>
    <row r="285" customFormat="false" ht="15.75" hidden="false" customHeight="false" outlineLevel="0" collapsed="false">
      <c r="AI285" s="0" t="n">
        <f aca="false">AI284+0.2</f>
        <v>329.559999999997</v>
      </c>
      <c r="AJ285" s="0" t="n">
        <f aca="false">AI285-273.16</f>
        <v>56.3999999999968</v>
      </c>
      <c r="AK285" s="0" t="n">
        <f aca="false">AI285*$AR$1*EXP(-$AR$6/8.31/AI285)/(1+EXP($AR$2/8.31*(1-$AR$5/$AR$2/AI285)))</f>
        <v>0.00166306345451284</v>
      </c>
      <c r="AL285" s="0" t="n">
        <v>0.000627096815145512</v>
      </c>
      <c r="AM285" s="142" t="n">
        <f aca="false">AI285*EXP(-$AR$6/8.31/AI285)/(1+EXP($AR$2/8.31*(1-$AR$5/$AR$2/AI285)))</f>
        <v>3.04864958901187E-016</v>
      </c>
      <c r="AN285" s="0" t="n">
        <f aca="false">IF(AK285=$AL$1,1*AJ285,0)</f>
        <v>0</v>
      </c>
    </row>
    <row r="286" customFormat="false" ht="15.75" hidden="false" customHeight="false" outlineLevel="0" collapsed="false">
      <c r="AI286" s="0" t="n">
        <f aca="false">AI285+0.2</f>
        <v>329.759999999997</v>
      </c>
      <c r="AJ286" s="0" t="n">
        <f aca="false">AI286-273.16</f>
        <v>56.5999999999968</v>
      </c>
      <c r="AK286" s="0" t="n">
        <f aca="false">AI286*$AR$1*EXP(-$AR$6/8.31/AI286)/(1+EXP($AR$2/8.31*(1-$AR$5/$AR$2/AI286)))</f>
        <v>0.00157602270969423</v>
      </c>
      <c r="AL286" s="0" t="n">
        <v>0.000627096815145512</v>
      </c>
      <c r="AM286" s="142" t="n">
        <f aca="false">AI286*EXP(-$AR$6/8.31/AI286)/(1+EXP($AR$2/8.31*(1-$AR$5/$AR$2/AI286)))</f>
        <v>2.88909059551799E-016</v>
      </c>
      <c r="AN286" s="0" t="n">
        <f aca="false">IF(AK286=$AL$1,1*AJ286,0)</f>
        <v>0</v>
      </c>
    </row>
    <row r="287" customFormat="false" ht="15.75" hidden="false" customHeight="false" outlineLevel="0" collapsed="false">
      <c r="AI287" s="0" t="n">
        <f aca="false">AI286+0.2</f>
        <v>329.959999999997</v>
      </c>
      <c r="AJ287" s="0" t="n">
        <f aca="false">AI287-273.16</f>
        <v>56.7999999999968</v>
      </c>
      <c r="AK287" s="0" t="n">
        <f aca="false">AI287*$AR$1*EXP(-$AR$6/8.31/AI287)/(1+EXP($AR$2/8.31*(1-$AR$5/$AR$2/AI287)))</f>
        <v>0.00149363482754653</v>
      </c>
      <c r="AL287" s="0" t="n">
        <v>0.000627096815145512</v>
      </c>
      <c r="AM287" s="142" t="n">
        <f aca="false">AI287*EXP(-$AR$6/8.31/AI287)/(1+EXP($AR$2/8.31*(1-$AR$5/$AR$2/AI287)))</f>
        <v>2.73806101070715E-016</v>
      </c>
      <c r="AN287" s="0" t="n">
        <f aca="false">IF(AK287=$AL$1,1*AJ287,0)</f>
        <v>0</v>
      </c>
    </row>
    <row r="288" customFormat="false" ht="15.75" hidden="false" customHeight="false" outlineLevel="0" collapsed="false">
      <c r="AI288" s="0" t="n">
        <f aca="false">AI287+0.2</f>
        <v>330.159999999997</v>
      </c>
      <c r="AJ288" s="0" t="n">
        <f aca="false">AI288-273.16</f>
        <v>56.9999999999968</v>
      </c>
      <c r="AK288" s="0" t="n">
        <f aca="false">AI288*$AR$1*EXP(-$AR$6/8.31/AI288)/(1+EXP($AR$2/8.31*(1-$AR$5/$AR$2/AI288)))</f>
        <v>0.00141564598340421</v>
      </c>
      <c r="AL288" s="0" t="n">
        <v>0.000627096815145512</v>
      </c>
      <c r="AM288" s="142" t="n">
        <f aca="false">AI288*EXP(-$AR$6/8.31/AI288)/(1+EXP($AR$2/8.31*(1-$AR$5/$AR$2/AI288)))</f>
        <v>2.59509553515851E-016</v>
      </c>
      <c r="AN288" s="0" t="n">
        <f aca="false">IF(AK288=$AL$1,1*AJ288,0)</f>
        <v>0</v>
      </c>
    </row>
    <row r="289" customFormat="false" ht="15.75" hidden="false" customHeight="false" outlineLevel="0" collapsed="false">
      <c r="AI289" s="0" t="n">
        <f aca="false">AI288+0.2</f>
        <v>330.359999999997</v>
      </c>
      <c r="AJ289" s="0" t="n">
        <f aca="false">AI289-273.16</f>
        <v>57.1999999999968</v>
      </c>
      <c r="AK289" s="0" t="n">
        <f aca="false">AI289*$AR$1*EXP(-$AR$6/8.31/AI289)/(1+EXP($AR$2/8.31*(1-$AR$5/$AR$2/AI289)))</f>
        <v>0.00134181646991898</v>
      </c>
      <c r="AL289" s="0" t="n">
        <v>0.000627096815145512</v>
      </c>
      <c r="AM289" s="142" t="n">
        <f aca="false">AI289*EXP(-$AR$6/8.31/AI289)/(1+EXP($AR$2/8.31*(1-$AR$5/$AR$2/AI289)))</f>
        <v>2.45975474865218E-016</v>
      </c>
      <c r="AN289" s="0" t="n">
        <f aca="false">IF(AK289=$AL$1,1*AJ289,0)</f>
        <v>0</v>
      </c>
    </row>
    <row r="290" customFormat="false" ht="15.75" hidden="false" customHeight="false" outlineLevel="0" collapsed="false">
      <c r="AI290" s="0" t="n">
        <f aca="false">AI289+0.2</f>
        <v>330.559999999997</v>
      </c>
      <c r="AJ290" s="0" t="n">
        <f aca="false">AI290-273.16</f>
        <v>57.3999999999967</v>
      </c>
      <c r="AK290" s="0" t="n">
        <f aca="false">AI290*$AR$1*EXP(-$AR$6/8.31/AI290)/(1+EXP($AR$2/8.31*(1-$AR$5/$AR$2/AI290)))</f>
        <v>0.00127191989750849</v>
      </c>
      <c r="AL290" s="0" t="n">
        <v>0.000627096815145512</v>
      </c>
      <c r="AM290" s="142" t="n">
        <f aca="false">AI290*EXP(-$AR$6/8.31/AI290)/(1+EXP($AR$2/8.31*(1-$AR$5/$AR$2/AI290)))</f>
        <v>2.33162364446951E-016</v>
      </c>
      <c r="AN290" s="0" t="n">
        <f aca="false">IF(AK290=$AL$1,1*AJ290,0)</f>
        <v>0</v>
      </c>
    </row>
    <row r="291" customFormat="false" ht="15.75" hidden="false" customHeight="false" outlineLevel="0" collapsed="false">
      <c r="AI291" s="0" t="n">
        <f aca="false">AI290+0.2</f>
        <v>330.759999999997</v>
      </c>
      <c r="AJ291" s="0" t="n">
        <f aca="false">AI291-273.16</f>
        <v>57.5999999999967</v>
      </c>
      <c r="AK291" s="0" t="n">
        <f aca="false">AI291*$AR$1*EXP(-$AR$6/8.31/AI291)/(1+EXP($AR$2/8.31*(1-$AR$5/$AR$2/AI291)))</f>
        <v>0.00120574244083251</v>
      </c>
      <c r="AL291" s="0" t="n">
        <v>0.000627096815145512</v>
      </c>
      <c r="AM291" s="142" t="n">
        <f aca="false">AI291*EXP(-$AR$6/8.31/AI291)/(1+EXP($AR$2/8.31*(1-$AR$5/$AR$2/AI291)))</f>
        <v>2.21031024806866E-016</v>
      </c>
      <c r="AN291" s="0" t="n">
        <f aca="false">IF(AK291=$AL$1,1*AJ291,0)</f>
        <v>0</v>
      </c>
    </row>
    <row r="292" customFormat="false" ht="15.75" hidden="false" customHeight="false" outlineLevel="0" collapsed="false">
      <c r="AI292" s="0" t="n">
        <f aca="false">AI291+0.2</f>
        <v>330.959999999997</v>
      </c>
      <c r="AJ292" s="0" t="n">
        <f aca="false">AI292-273.16</f>
        <v>57.7999999999967</v>
      </c>
      <c r="AK292" s="0" t="n">
        <f aca="false">AI292*$AR$1*EXP(-$AR$6/8.31/AI292)/(1+EXP($AR$2/8.31*(1-$AR$5/$AR$2/AI292)))</f>
        <v>0.00114308212861207</v>
      </c>
      <c r="AL292" s="0" t="n">
        <v>0.000627096815145512</v>
      </c>
      <c r="AM292" s="142" t="n">
        <f aca="false">AI292*EXP(-$AR$6/8.31/AI292)/(1+EXP($AR$2/8.31*(1-$AR$5/$AR$2/AI292)))</f>
        <v>2.09544431521455E-016</v>
      </c>
      <c r="AN292" s="0" t="n">
        <f aca="false">IF(AK292=$AL$1,1*AJ292,0)</f>
        <v>0</v>
      </c>
    </row>
    <row r="293" customFormat="false" ht="15.75" hidden="false" customHeight="false" outlineLevel="0" collapsed="false">
      <c r="AI293" s="0" t="n">
        <f aca="false">AI292+0.2</f>
        <v>331.159999999997</v>
      </c>
      <c r="AJ293" s="0" t="n">
        <f aca="false">AI293-273.16</f>
        <v>57.9999999999967</v>
      </c>
      <c r="AK293" s="0" t="n">
        <f aca="false">AI293*$AR$1*EXP(-$AR$6/8.31/AI293)/(1+EXP($AR$2/8.31*(1-$AR$5/$AR$2/AI293)))</f>
        <v>0.00108374817426434</v>
      </c>
      <c r="AL293" s="0" t="n">
        <v>0.000627096815145512</v>
      </c>
      <c r="AM293" s="142" t="n">
        <f aca="false">AI293*EXP(-$AR$6/8.31/AI293)/(1+EXP($AR$2/8.31*(1-$AR$5/$AR$2/AI293)))</f>
        <v>1.98667610493021E-016</v>
      </c>
      <c r="AN293" s="0" t="n">
        <f aca="false">IF(AK293=$AL$1,1*AJ293,0)</f>
        <v>0</v>
      </c>
    </row>
    <row r="294" customFormat="false" ht="15.75" hidden="false" customHeight="false" outlineLevel="0" collapsed="false">
      <c r="AI294" s="0" t="n">
        <f aca="false">AI293+0.2</f>
        <v>331.359999999997</v>
      </c>
      <c r="AJ294" s="0" t="n">
        <f aca="false">AI294-273.16</f>
        <v>58.1999999999967</v>
      </c>
      <c r="AK294" s="0" t="n">
        <f aca="false">AI294*$AR$1*EXP(-$AR$6/8.31/AI294)/(1+EXP($AR$2/8.31*(1-$AR$5/$AR$2/AI294)))</f>
        <v>0.00102756034497527</v>
      </c>
      <c r="AL294" s="0" t="n">
        <v>0.000627096815145512</v>
      </c>
      <c r="AM294" s="142" t="n">
        <f aca="false">AI294*EXP(-$AR$6/8.31/AI294)/(1+EXP($AR$2/8.31*(1-$AR$5/$AR$2/AI294)))</f>
        <v>1.88367522291048E-016</v>
      </c>
      <c r="AN294" s="0" t="n">
        <f aca="false">IF(AK294=$AL$1,1*AJ294,0)</f>
        <v>0</v>
      </c>
    </row>
    <row r="295" customFormat="false" ht="15.75" hidden="false" customHeight="false" outlineLevel="0" collapsed="false">
      <c r="AI295" s="0" t="n">
        <f aca="false">AI294+0.2</f>
        <v>331.559999999997</v>
      </c>
      <c r="AJ295" s="0" t="n">
        <f aca="false">AI295-273.16</f>
        <v>58.3999999999967</v>
      </c>
      <c r="AK295" s="0" t="n">
        <f aca="false">AI295*$AR$1*EXP(-$AR$6/8.31/AI295)/(1+EXP($AR$2/8.31*(1-$AR$5/$AR$2/AI295)))</f>
        <v>0.000974348366970896</v>
      </c>
      <c r="AL295" s="0" t="n">
        <v>0.000627096815145512</v>
      </c>
      <c r="AM295" s="142" t="n">
        <f aca="false">AI295*EXP(-$AR$6/8.31/AI295)/(1+EXP($AR$2/8.31*(1-$AR$5/$AR$2/AI295)))</f>
        <v>1.78612953129341E-016</v>
      </c>
      <c r="AN295" s="0" t="n">
        <f aca="false">IF(AK295=$AL$1,1*AJ295,0)</f>
        <v>0</v>
      </c>
    </row>
    <row r="296" customFormat="false" ht="15.75" hidden="false" customHeight="false" outlineLevel="0" collapsed="false">
      <c r="AI296" s="0" t="n">
        <f aca="false">AI295+0.2</f>
        <v>331.759999999997</v>
      </c>
      <c r="AJ296" s="0" t="n">
        <f aca="false">AI296-273.16</f>
        <v>58.5999999999967</v>
      </c>
      <c r="AK296" s="0" t="n">
        <f aca="false">AI296*$AR$1*EXP(-$AR$6/8.31/AI296)/(1+EXP($AR$2/8.31*(1-$AR$5/$AR$2/AI296)))</f>
        <v>0.000923951364880649</v>
      </c>
      <c r="AL296" s="0" t="n">
        <v>0.000627096815145512</v>
      </c>
      <c r="AM296" s="142" t="n">
        <f aca="false">AI296*EXP(-$AR$6/8.31/AI296)/(1+EXP($AR$2/8.31*(1-$AR$5/$AR$2/AI296)))</f>
        <v>1.69374412092741E-016</v>
      </c>
      <c r="AN296" s="0" t="n">
        <f aca="false">IF(AK296=$AL$1,1*AJ296,0)</f>
        <v>0</v>
      </c>
    </row>
    <row r="297" customFormat="false" ht="15.75" hidden="false" customHeight="false" outlineLevel="0" collapsed="false">
      <c r="AI297" s="0" t="n">
        <f aca="false">AI296+0.2</f>
        <v>331.959999999997</v>
      </c>
      <c r="AJ297" s="0" t="n">
        <f aca="false">AI297-273.16</f>
        <v>58.7999999999967</v>
      </c>
      <c r="AK297" s="0" t="n">
        <f aca="false">AI297*$AR$1*EXP(-$AR$6/8.31/AI297)/(1+EXP($AR$2/8.31*(1-$AR$5/$AR$2/AI297)))</f>
        <v>0.000876217333209063</v>
      </c>
      <c r="AL297" s="0" t="n">
        <v>0.000627096815145512</v>
      </c>
      <c r="AM297" s="142" t="n">
        <f aca="false">AI297*EXP(-$AR$6/8.31/AI297)/(1+EXP($AR$2/8.31*(1-$AR$5/$AR$2/AI297)))</f>
        <v>1.60624034249817E-016</v>
      </c>
      <c r="AN297" s="0" t="n">
        <f aca="false">IF(AK297=$AL$1,1*AJ297,0)</f>
        <v>0</v>
      </c>
    </row>
    <row r="298" customFormat="false" ht="15.75" hidden="false" customHeight="false" outlineLevel="0" collapsed="false">
      <c r="AI298" s="0" t="n">
        <f aca="false">AI297+0.2</f>
        <v>332.159999999997</v>
      </c>
      <c r="AJ298" s="0" t="n">
        <f aca="false">AI298-273.16</f>
        <v>58.9999999999966</v>
      </c>
      <c r="AK298" s="0" t="n">
        <f aca="false">AI298*$AR$1*EXP(-$AR$6/8.31/AI298)/(1+EXP($AR$2/8.31*(1-$AR$5/$AR$2/AI298)))</f>
        <v>0.000831002638049574</v>
      </c>
      <c r="AL298" s="0" t="n">
        <v>0.000627096815145512</v>
      </c>
      <c r="AM298" s="142" t="n">
        <f aca="false">AI298*EXP(-$AR$6/8.31/AI298)/(1+EXP($AR$2/8.31*(1-$AR$5/$AR$2/AI298)))</f>
        <v>1.5233548930938E-016</v>
      </c>
      <c r="AN298" s="0" t="n">
        <f aca="false">IF(AK298=$AL$1,1*AJ298,0)</f>
        <v>0</v>
      </c>
    </row>
    <row r="299" customFormat="false" ht="15.75" hidden="false" customHeight="false" outlineLevel="0" collapsed="false">
      <c r="AI299" s="0" t="n">
        <f aca="false">AI298+0.2</f>
        <v>332.359999999997</v>
      </c>
      <c r="AJ299" s="0" t="n">
        <f aca="false">AI299-273.16</f>
        <v>59.1999999999966</v>
      </c>
      <c r="AK299" s="0" t="n">
        <f aca="false">AI299*$AR$1*EXP(-$AR$6/8.31/AI299)/(1+EXP($AR$2/8.31*(1-$AR$5/$AR$2/AI299)))</f>
        <v>0.000788171547283204</v>
      </c>
      <c r="AL299" s="0" t="n">
        <v>0.000627096815145512</v>
      </c>
      <c r="AM299" s="142" t="n">
        <f aca="false">AI299*EXP(-$AR$6/8.31/AI299)/(1+EXP($AR$2/8.31*(1-$AR$5/$AR$2/AI299)))</f>
        <v>1.44483895498724E-016</v>
      </c>
      <c r="AN299" s="0" t="n">
        <f aca="false">IF(AK299=$AL$1,1*AJ299,0)</f>
        <v>0</v>
      </c>
    </row>
    <row r="300" customFormat="false" ht="15.75" hidden="false" customHeight="false" outlineLevel="0" collapsed="false">
      <c r="AI300" s="0" t="n">
        <f aca="false">AI299+0.2</f>
        <v>332.559999999997</v>
      </c>
      <c r="AJ300" s="0" t="n">
        <f aca="false">AI300-273.16</f>
        <v>59.3999999999966</v>
      </c>
      <c r="AK300" s="0" t="n">
        <f aca="false">AI300*$AR$1*EXP(-$AR$6/8.31/AI300)/(1+EXP($AR$2/8.31*(1-$AR$5/$AR$2/AI300)))</f>
        <v>0.000747595787608656</v>
      </c>
      <c r="AL300" s="0" t="n">
        <v>0.000627096815145512</v>
      </c>
      <c r="AM300" s="142" t="n">
        <f aca="false">AI300*EXP(-$AR$6/8.31/AI300)/(1+EXP($AR$2/8.31*(1-$AR$5/$AR$2/AI300)))</f>
        <v>1.37045738360463E-016</v>
      </c>
      <c r="AN300" s="0" t="n">
        <f aca="false">IF(AK300=$AL$1,1*AJ300,0)</f>
        <v>0</v>
      </c>
    </row>
    <row r="301" customFormat="false" ht="15.75" hidden="false" customHeight="false" outlineLevel="0" collapsed="false">
      <c r="AI301" s="0" t="n">
        <f aca="false">AI300+0.2</f>
        <v>332.759999999997</v>
      </c>
      <c r="AJ301" s="0" t="n">
        <f aca="false">AI301-273.16</f>
        <v>59.5999999999966</v>
      </c>
      <c r="AK301" s="0" t="n">
        <f aca="false">AI301*$AR$1*EXP(-$AR$6/8.31/AI301)/(1+EXP($AR$2/8.31*(1-$AR$5/$AR$2/AI301)))</f>
        <v>0.000709154126847041</v>
      </c>
      <c r="AL301" s="0" t="n">
        <v>0.000627096815145512</v>
      </c>
      <c r="AM301" s="142" t="n">
        <f aca="false">AI301*EXP(-$AR$6/8.31/AI301)/(1+EXP($AR$2/8.31*(1-$AR$5/$AR$2/AI301)))</f>
        <v>1.29998794182607E-016</v>
      </c>
      <c r="AN301" s="0" t="n">
        <f aca="false">IF(AK301=$AL$1,1*AJ301,0)</f>
        <v>0</v>
      </c>
    </row>
    <row r="302" customFormat="false" ht="15.75" hidden="false" customHeight="false" outlineLevel="0" collapsed="false">
      <c r="AI302" s="0" t="n">
        <f aca="false">AI301+0.2</f>
        <v>332.959999999997</v>
      </c>
      <c r="AJ302" s="0" t="n">
        <f aca="false">AI302-273.16</f>
        <v>59.7999999999966</v>
      </c>
      <c r="AK302" s="0" t="n">
        <f aca="false">AI302*$AR$1*EXP(-$AR$6/8.31/AI302)/(1+EXP($AR$2/8.31*(1-$AR$5/$AR$2/AI302)))</f>
        <v>0.000672731980056339</v>
      </c>
      <c r="AL302" s="0" t="n">
        <v>0.000627096815145512</v>
      </c>
      <c r="AM302" s="142" t="n">
        <f aca="false">AI302*EXP(-$AR$6/8.31/AI302)/(1+EXP($AR$2/8.31*(1-$AR$5/$AR$2/AI302)))</f>
        <v>1.2332205779332E-016</v>
      </c>
      <c r="AN302" s="0" t="n">
        <f aca="false">IF(AK302=$AL$1,1*AJ302,0)</f>
        <v>0</v>
      </c>
    </row>
    <row r="303" customFormat="false" ht="15.75" hidden="false" customHeight="false" outlineLevel="0" collapsed="false">
      <c r="AI303" s="0" t="n">
        <f aca="false">AI302+0.2</f>
        <v>333.159999999997</v>
      </c>
      <c r="AJ303" s="0" t="n">
        <f aca="false">AI303-273.16</f>
        <v>59.9999999999966</v>
      </c>
      <c r="AK303" s="0" t="n">
        <f aca="false">AI303*$AR$1*EXP(-$AR$6/8.31/AI303)/(1+EXP($AR$2/8.31*(1-$AR$5/$AR$2/AI303)))</f>
        <v>0.000638221038076305</v>
      </c>
      <c r="AL303" s="0" t="n">
        <v>0.000627096815145512</v>
      </c>
      <c r="AM303" s="142" t="n">
        <f aca="false">AI303*EXP(-$AR$6/8.31/AI303)/(1+EXP($AR$2/8.31*(1-$AR$5/$AR$2/AI303)))</f>
        <v>1.16995674467516E-016</v>
      </c>
      <c r="AN303" s="0" t="n">
        <f aca="false">IF(AK303=$AL$1,1*AJ303,0)</f>
        <v>0</v>
      </c>
    </row>
    <row r="304" customFormat="false" ht="15.75" hidden="false" customHeight="false" outlineLevel="0" collapsed="false">
      <c r="AM304" s="142"/>
    </row>
    <row r="305" customFormat="false" ht="15.75" hidden="false" customHeight="false" outlineLevel="0" collapsed="false">
      <c r="AM305" s="142"/>
    </row>
    <row r="306" customFormat="false" ht="15.75" hidden="false" customHeight="false" outlineLevel="0" collapsed="false">
      <c r="AM306" s="142"/>
    </row>
    <row r="307" customFormat="false" ht="15.75" hidden="false" customHeight="false" outlineLevel="0" collapsed="false">
      <c r="AM307" s="142"/>
    </row>
    <row r="308" customFormat="false" ht="15.75" hidden="false" customHeight="false" outlineLevel="0" collapsed="false">
      <c r="AM308" s="142"/>
    </row>
    <row r="309" customFormat="false" ht="15.75" hidden="false" customHeight="false" outlineLevel="0" collapsed="false">
      <c r="AM309" s="142"/>
    </row>
    <row r="310" customFormat="false" ht="15.75" hidden="false" customHeight="false" outlineLevel="0" collapsed="false">
      <c r="AM310" s="142"/>
    </row>
    <row r="311" customFormat="false" ht="15.75" hidden="false" customHeight="false" outlineLevel="0" collapsed="false">
      <c r="AM311" s="142"/>
    </row>
    <row r="312" customFormat="false" ht="15.75" hidden="false" customHeight="false" outlineLevel="0" collapsed="false">
      <c r="AM312" s="142"/>
    </row>
    <row r="313" customFormat="false" ht="15.75" hidden="false" customHeight="false" outlineLevel="0" collapsed="false">
      <c r="AM313" s="142"/>
    </row>
    <row r="314" customFormat="false" ht="15.75" hidden="false" customHeight="false" outlineLevel="0" collapsed="false">
      <c r="AM314" s="142"/>
    </row>
    <row r="315" customFormat="false" ht="15.75" hidden="false" customHeight="false" outlineLevel="0" collapsed="false">
      <c r="AM315" s="142"/>
    </row>
    <row r="316" customFormat="false" ht="15.75" hidden="false" customHeight="false" outlineLevel="0" collapsed="false">
      <c r="AM316" s="142"/>
    </row>
    <row r="317" customFormat="false" ht="15.75" hidden="false" customHeight="false" outlineLevel="0" collapsed="false">
      <c r="AM317" s="142"/>
    </row>
    <row r="318" customFormat="false" ht="15.75" hidden="false" customHeight="false" outlineLevel="0" collapsed="false">
      <c r="AM318" s="142"/>
    </row>
    <row r="319" customFormat="false" ht="15.75" hidden="false" customHeight="false" outlineLevel="0" collapsed="false">
      <c r="AM319" s="142"/>
    </row>
    <row r="320" customFormat="false" ht="15.75" hidden="false" customHeight="false" outlineLevel="0" collapsed="false">
      <c r="AM320" s="142"/>
    </row>
    <row r="321" customFormat="false" ht="15.75" hidden="false" customHeight="false" outlineLevel="0" collapsed="false">
      <c r="AM321" s="142"/>
    </row>
    <row r="322" customFormat="false" ht="15.75" hidden="false" customHeight="false" outlineLevel="0" collapsed="false">
      <c r="AM322" s="142"/>
    </row>
    <row r="323" customFormat="false" ht="15.75" hidden="false" customHeight="false" outlineLevel="0" collapsed="false">
      <c r="AM323" s="142"/>
    </row>
    <row r="324" customFormat="false" ht="15.75" hidden="false" customHeight="false" outlineLevel="0" collapsed="false">
      <c r="AM324" s="142"/>
    </row>
    <row r="325" customFormat="false" ht="15.75" hidden="false" customHeight="false" outlineLevel="0" collapsed="false">
      <c r="AM325" s="142"/>
    </row>
    <row r="326" customFormat="false" ht="15.75" hidden="false" customHeight="false" outlineLevel="0" collapsed="false">
      <c r="AM326" s="142"/>
    </row>
    <row r="327" customFormat="false" ht="15.75" hidden="false" customHeight="false" outlineLevel="0" collapsed="false">
      <c r="AM327" s="142"/>
    </row>
    <row r="328" customFormat="false" ht="15.75" hidden="false" customHeight="false" outlineLevel="0" collapsed="false">
      <c r="AM328" s="142"/>
    </row>
    <row r="329" customFormat="false" ht="15.75" hidden="false" customHeight="false" outlineLevel="0" collapsed="false">
      <c r="AM329" s="142"/>
    </row>
    <row r="330" customFormat="false" ht="15.75" hidden="false" customHeight="false" outlineLevel="0" collapsed="false">
      <c r="AM330" s="142"/>
    </row>
    <row r="331" customFormat="false" ht="15.75" hidden="false" customHeight="false" outlineLevel="0" collapsed="false">
      <c r="AM331" s="142"/>
    </row>
    <row r="332" customFormat="false" ht="15.75" hidden="false" customHeight="false" outlineLevel="0" collapsed="false">
      <c r="AM332" s="142"/>
    </row>
    <row r="333" customFormat="false" ht="15.75" hidden="false" customHeight="false" outlineLevel="0" collapsed="false">
      <c r="AM333" s="142"/>
    </row>
    <row r="334" customFormat="false" ht="15.75" hidden="false" customHeight="false" outlineLevel="0" collapsed="false">
      <c r="AM334" s="142"/>
    </row>
    <row r="335" customFormat="false" ht="15.75" hidden="false" customHeight="false" outlineLevel="0" collapsed="false">
      <c r="AM335" s="142"/>
    </row>
    <row r="336" customFormat="false" ht="15.75" hidden="false" customHeight="false" outlineLevel="0" collapsed="false">
      <c r="AM336" s="142"/>
    </row>
    <row r="337" customFormat="false" ht="15.75" hidden="false" customHeight="false" outlineLevel="0" collapsed="false">
      <c r="AM337" s="142"/>
    </row>
    <row r="338" customFormat="false" ht="15.75" hidden="false" customHeight="false" outlineLevel="0" collapsed="false">
      <c r="AM338" s="142"/>
    </row>
    <row r="339" customFormat="false" ht="15.75" hidden="false" customHeight="false" outlineLevel="0" collapsed="false">
      <c r="AM339" s="142"/>
    </row>
    <row r="340" customFormat="false" ht="15.75" hidden="false" customHeight="false" outlineLevel="0" collapsed="false">
      <c r="AM340" s="142"/>
    </row>
    <row r="341" customFormat="false" ht="15.75" hidden="false" customHeight="false" outlineLevel="0" collapsed="false">
      <c r="AM341" s="142"/>
    </row>
    <row r="342" customFormat="false" ht="15.75" hidden="false" customHeight="false" outlineLevel="0" collapsed="false">
      <c r="AM342" s="142"/>
    </row>
    <row r="343" customFormat="false" ht="15.75" hidden="false" customHeight="false" outlineLevel="0" collapsed="false">
      <c r="AM343" s="142"/>
    </row>
    <row r="344" customFormat="false" ht="15.75" hidden="false" customHeight="false" outlineLevel="0" collapsed="false">
      <c r="AM344" s="142"/>
    </row>
    <row r="345" customFormat="false" ht="15.75" hidden="false" customHeight="false" outlineLevel="0" collapsed="false">
      <c r="AM345" s="142"/>
    </row>
    <row r="346" customFormat="false" ht="15.75" hidden="false" customHeight="false" outlineLevel="0" collapsed="false">
      <c r="AM346" s="142"/>
    </row>
    <row r="347" customFormat="false" ht="15.75" hidden="false" customHeight="false" outlineLevel="0" collapsed="false">
      <c r="AM347" s="142"/>
    </row>
    <row r="348" customFormat="false" ht="15.75" hidden="false" customHeight="false" outlineLevel="0" collapsed="false">
      <c r="AM348" s="142"/>
    </row>
    <row r="349" customFormat="false" ht="15.75" hidden="false" customHeight="false" outlineLevel="0" collapsed="false">
      <c r="AM349" s="142"/>
    </row>
    <row r="350" customFormat="false" ht="15.75" hidden="false" customHeight="false" outlineLevel="0" collapsed="false">
      <c r="AM350" s="142"/>
    </row>
    <row r="351" customFormat="false" ht="15.75" hidden="false" customHeight="false" outlineLevel="0" collapsed="false">
      <c r="AM351" s="142"/>
    </row>
    <row r="352" customFormat="false" ht="15.75" hidden="false" customHeight="false" outlineLevel="0" collapsed="false">
      <c r="AM352" s="142"/>
    </row>
    <row r="353" customFormat="false" ht="15.75" hidden="false" customHeight="false" outlineLevel="0" collapsed="false">
      <c r="AM353" s="142"/>
    </row>
    <row r="354" customFormat="false" ht="15.75" hidden="false" customHeight="false" outlineLevel="0" collapsed="false">
      <c r="AM354" s="142"/>
    </row>
    <row r="355" customFormat="false" ht="15.75" hidden="false" customHeight="false" outlineLevel="0" collapsed="false">
      <c r="AM355" s="142"/>
    </row>
    <row r="356" customFormat="false" ht="15.75" hidden="false" customHeight="false" outlineLevel="0" collapsed="false">
      <c r="AM356" s="142"/>
    </row>
    <row r="357" customFormat="false" ht="15.75" hidden="false" customHeight="false" outlineLevel="0" collapsed="false">
      <c r="AM357" s="142"/>
    </row>
    <row r="358" customFormat="false" ht="15.75" hidden="false" customHeight="false" outlineLevel="0" collapsed="false">
      <c r="AM358" s="142"/>
    </row>
    <row r="359" customFormat="false" ht="15.75" hidden="false" customHeight="false" outlineLevel="0" collapsed="false">
      <c r="AM359" s="142"/>
    </row>
    <row r="360" customFormat="false" ht="15.75" hidden="false" customHeight="false" outlineLevel="0" collapsed="false">
      <c r="AM360" s="142"/>
    </row>
    <row r="361" customFormat="false" ht="15.75" hidden="false" customHeight="false" outlineLevel="0" collapsed="false">
      <c r="AM361" s="142"/>
    </row>
    <row r="362" customFormat="false" ht="15.75" hidden="false" customHeight="false" outlineLevel="0" collapsed="false">
      <c r="AM362" s="142"/>
    </row>
    <row r="363" customFormat="false" ht="15.75" hidden="false" customHeight="false" outlineLevel="0" collapsed="false">
      <c r="AM363" s="142"/>
    </row>
    <row r="364" customFormat="false" ht="15.75" hidden="false" customHeight="false" outlineLevel="0" collapsed="false">
      <c r="AM364" s="142"/>
    </row>
    <row r="365" customFormat="false" ht="15.75" hidden="false" customHeight="false" outlineLevel="0" collapsed="false">
      <c r="AM365" s="142"/>
    </row>
    <row r="366" customFormat="false" ht="15.75" hidden="false" customHeight="false" outlineLevel="0" collapsed="false">
      <c r="AM366" s="142"/>
    </row>
    <row r="367" customFormat="false" ht="15.75" hidden="false" customHeight="false" outlineLevel="0" collapsed="false">
      <c r="AM367" s="142"/>
    </row>
    <row r="368" customFormat="false" ht="15.75" hidden="false" customHeight="false" outlineLevel="0" collapsed="false">
      <c r="AM368" s="142"/>
    </row>
    <row r="369" customFormat="false" ht="15.75" hidden="false" customHeight="false" outlineLevel="0" collapsed="false">
      <c r="AM369" s="142"/>
    </row>
    <row r="370" customFormat="false" ht="15.75" hidden="false" customHeight="false" outlineLevel="0" collapsed="false">
      <c r="AM370" s="142"/>
    </row>
    <row r="371" customFormat="false" ht="15.75" hidden="false" customHeight="false" outlineLevel="0" collapsed="false">
      <c r="AM371" s="142"/>
    </row>
    <row r="372" customFormat="false" ht="15.75" hidden="false" customHeight="false" outlineLevel="0" collapsed="false">
      <c r="AM372" s="142"/>
    </row>
    <row r="373" customFormat="false" ht="15.75" hidden="false" customHeight="false" outlineLevel="0" collapsed="false">
      <c r="AM373" s="142"/>
    </row>
    <row r="374" customFormat="false" ht="15.75" hidden="false" customHeight="false" outlineLevel="0" collapsed="false">
      <c r="AM374" s="142"/>
    </row>
    <row r="375" customFormat="false" ht="15.75" hidden="false" customHeight="false" outlineLevel="0" collapsed="false">
      <c r="AM375" s="142"/>
    </row>
    <row r="376" customFormat="false" ht="15.75" hidden="false" customHeight="false" outlineLevel="0" collapsed="false">
      <c r="AM376" s="142"/>
    </row>
    <row r="377" customFormat="false" ht="15.75" hidden="false" customHeight="false" outlineLevel="0" collapsed="false">
      <c r="AM377" s="142"/>
    </row>
    <row r="378" customFormat="false" ht="15.75" hidden="false" customHeight="false" outlineLevel="0" collapsed="false">
      <c r="AM378" s="142"/>
    </row>
    <row r="379" customFormat="false" ht="15.75" hidden="false" customHeight="false" outlineLevel="0" collapsed="false">
      <c r="AM379" s="142"/>
    </row>
    <row r="380" customFormat="false" ht="15.75" hidden="false" customHeight="false" outlineLevel="0" collapsed="false">
      <c r="AM380" s="142"/>
    </row>
    <row r="381" customFormat="false" ht="15.75" hidden="false" customHeight="false" outlineLevel="0" collapsed="false">
      <c r="AM381" s="142"/>
    </row>
    <row r="382" customFormat="false" ht="15.75" hidden="false" customHeight="false" outlineLevel="0" collapsed="false">
      <c r="AM382" s="142"/>
    </row>
    <row r="383" customFormat="false" ht="15.75" hidden="false" customHeight="false" outlineLevel="0" collapsed="false">
      <c r="AM383" s="142"/>
    </row>
    <row r="384" customFormat="false" ht="15.75" hidden="false" customHeight="false" outlineLevel="0" collapsed="false">
      <c r="AM384" s="142"/>
    </row>
    <row r="385" customFormat="false" ht="15.75" hidden="false" customHeight="false" outlineLevel="0" collapsed="false">
      <c r="AM385" s="142"/>
    </row>
    <row r="386" customFormat="false" ht="15.75" hidden="false" customHeight="false" outlineLevel="0" collapsed="false">
      <c r="AM386" s="142"/>
    </row>
    <row r="387" customFormat="false" ht="15.75" hidden="false" customHeight="false" outlineLevel="0" collapsed="false">
      <c r="AM387" s="142"/>
    </row>
    <row r="388" customFormat="false" ht="15.75" hidden="false" customHeight="false" outlineLevel="0" collapsed="false">
      <c r="AM388" s="142"/>
    </row>
    <row r="389" customFormat="false" ht="15.75" hidden="false" customHeight="false" outlineLevel="0" collapsed="false">
      <c r="AM389" s="142"/>
    </row>
    <row r="390" customFormat="false" ht="15.75" hidden="false" customHeight="false" outlineLevel="0" collapsed="false">
      <c r="AM390" s="142"/>
    </row>
    <row r="391" customFormat="false" ht="15.75" hidden="false" customHeight="false" outlineLevel="0" collapsed="false">
      <c r="AM391" s="142"/>
    </row>
    <row r="392" customFormat="false" ht="15.75" hidden="false" customHeight="false" outlineLevel="0" collapsed="false">
      <c r="AM392" s="142"/>
    </row>
    <row r="393" customFormat="false" ht="15.75" hidden="false" customHeight="false" outlineLevel="0" collapsed="false">
      <c r="AM393" s="142"/>
    </row>
    <row r="394" customFormat="false" ht="15.75" hidden="false" customHeight="false" outlineLevel="0" collapsed="false">
      <c r="AM394" s="142"/>
    </row>
    <row r="395" customFormat="false" ht="15.75" hidden="false" customHeight="false" outlineLevel="0" collapsed="false">
      <c r="AM395" s="142"/>
    </row>
    <row r="396" customFormat="false" ht="15.75" hidden="false" customHeight="false" outlineLevel="0" collapsed="false">
      <c r="AM396" s="142"/>
    </row>
    <row r="397" customFormat="false" ht="15.75" hidden="false" customHeight="false" outlineLevel="0" collapsed="false">
      <c r="AM397" s="142"/>
    </row>
    <row r="398" customFormat="false" ht="15.75" hidden="false" customHeight="false" outlineLevel="0" collapsed="false">
      <c r="AM398" s="142"/>
    </row>
    <row r="399" customFormat="false" ht="15.75" hidden="false" customHeight="false" outlineLevel="0" collapsed="false">
      <c r="AM399" s="142"/>
    </row>
    <row r="400" customFormat="false" ht="15.75" hidden="false" customHeight="false" outlineLevel="0" collapsed="false">
      <c r="AM400" s="142"/>
    </row>
    <row r="401" customFormat="false" ht="15.75" hidden="false" customHeight="false" outlineLevel="0" collapsed="false">
      <c r="AM401" s="142"/>
    </row>
    <row r="402" customFormat="false" ht="15.75" hidden="false" customHeight="false" outlineLevel="0" collapsed="false">
      <c r="AM402" s="142"/>
    </row>
    <row r="403" customFormat="false" ht="15.75" hidden="false" customHeight="false" outlineLevel="0" collapsed="false">
      <c r="AM403" s="142"/>
    </row>
    <row r="404" customFormat="false" ht="15.75" hidden="false" customHeight="false" outlineLevel="0" collapsed="false">
      <c r="AM404" s="142"/>
    </row>
    <row r="405" customFormat="false" ht="15.75" hidden="false" customHeight="false" outlineLevel="0" collapsed="false">
      <c r="AM405" s="142"/>
    </row>
    <row r="406" customFormat="false" ht="15.75" hidden="false" customHeight="false" outlineLevel="0" collapsed="false">
      <c r="AM406" s="142"/>
    </row>
    <row r="407" customFormat="false" ht="15.75" hidden="false" customHeight="false" outlineLevel="0" collapsed="false">
      <c r="AM407" s="142"/>
    </row>
    <row r="408" customFormat="false" ht="15.75" hidden="false" customHeight="false" outlineLevel="0" collapsed="false">
      <c r="AM408" s="142"/>
    </row>
    <row r="409" customFormat="false" ht="15.75" hidden="false" customHeight="false" outlineLevel="0" collapsed="false">
      <c r="AM409" s="142"/>
    </row>
    <row r="410" customFormat="false" ht="15.75" hidden="false" customHeight="false" outlineLevel="0" collapsed="false">
      <c r="AM410" s="142"/>
    </row>
    <row r="411" customFormat="false" ht="15.75" hidden="false" customHeight="false" outlineLevel="0" collapsed="false">
      <c r="AM411" s="142"/>
    </row>
    <row r="412" customFormat="false" ht="15.75" hidden="false" customHeight="false" outlineLevel="0" collapsed="false">
      <c r="AM412" s="142"/>
    </row>
    <row r="413" customFormat="false" ht="15.75" hidden="false" customHeight="false" outlineLevel="0" collapsed="false">
      <c r="AM413" s="142"/>
    </row>
    <row r="414" customFormat="false" ht="15.75" hidden="false" customHeight="false" outlineLevel="0" collapsed="false">
      <c r="AM414" s="142"/>
    </row>
    <row r="415" customFormat="false" ht="15.75" hidden="false" customHeight="false" outlineLevel="0" collapsed="false">
      <c r="AM415" s="142"/>
    </row>
    <row r="416" customFormat="false" ht="15.75" hidden="false" customHeight="false" outlineLevel="0" collapsed="false">
      <c r="AM416" s="142"/>
    </row>
    <row r="417" customFormat="false" ht="15.75" hidden="false" customHeight="false" outlineLevel="0" collapsed="false">
      <c r="AM417" s="142"/>
    </row>
    <row r="418" customFormat="false" ht="15.75" hidden="false" customHeight="false" outlineLevel="0" collapsed="false">
      <c r="AM418" s="142"/>
    </row>
    <row r="419" customFormat="false" ht="15.75" hidden="false" customHeight="false" outlineLevel="0" collapsed="false">
      <c r="AM419" s="142"/>
    </row>
    <row r="420" customFormat="false" ht="15.75" hidden="false" customHeight="false" outlineLevel="0" collapsed="false">
      <c r="AM420" s="142"/>
    </row>
    <row r="421" customFormat="false" ht="15.75" hidden="false" customHeight="false" outlineLevel="0" collapsed="false">
      <c r="AM421" s="142"/>
    </row>
    <row r="422" customFormat="false" ht="15.75" hidden="false" customHeight="false" outlineLevel="0" collapsed="false">
      <c r="AM422" s="142"/>
    </row>
    <row r="423" customFormat="false" ht="15.75" hidden="false" customHeight="false" outlineLevel="0" collapsed="false">
      <c r="AM423" s="142"/>
    </row>
    <row r="424" customFormat="false" ht="15.75" hidden="false" customHeight="false" outlineLevel="0" collapsed="false">
      <c r="AM424" s="142"/>
    </row>
    <row r="425" customFormat="false" ht="15.75" hidden="false" customHeight="false" outlineLevel="0" collapsed="false">
      <c r="AM425" s="142"/>
    </row>
    <row r="426" customFormat="false" ht="15.75" hidden="false" customHeight="false" outlineLevel="0" collapsed="false">
      <c r="AM426" s="142"/>
    </row>
    <row r="427" customFormat="false" ht="15.75" hidden="false" customHeight="false" outlineLevel="0" collapsed="false">
      <c r="AM427" s="142"/>
    </row>
    <row r="428" customFormat="false" ht="15.75" hidden="false" customHeight="false" outlineLevel="0" collapsed="false">
      <c r="AM428" s="142"/>
    </row>
    <row r="429" customFormat="false" ht="15.75" hidden="false" customHeight="false" outlineLevel="0" collapsed="false">
      <c r="AM429" s="142"/>
    </row>
    <row r="430" customFormat="false" ht="15.75" hidden="false" customHeight="false" outlineLevel="0" collapsed="false">
      <c r="AM430" s="142"/>
    </row>
    <row r="431" customFormat="false" ht="15.75" hidden="false" customHeight="false" outlineLevel="0" collapsed="false">
      <c r="AM431" s="142"/>
    </row>
    <row r="432" customFormat="false" ht="15.75" hidden="false" customHeight="false" outlineLevel="0" collapsed="false">
      <c r="AM432" s="142"/>
    </row>
    <row r="433" customFormat="false" ht="15.75" hidden="false" customHeight="false" outlineLevel="0" collapsed="false">
      <c r="AM433" s="142"/>
    </row>
    <row r="434" customFormat="false" ht="15.75" hidden="false" customHeight="false" outlineLevel="0" collapsed="false">
      <c r="AM434" s="142"/>
    </row>
    <row r="435" customFormat="false" ht="15.75" hidden="false" customHeight="false" outlineLevel="0" collapsed="false">
      <c r="AM435" s="142"/>
    </row>
    <row r="436" customFormat="false" ht="15.75" hidden="false" customHeight="false" outlineLevel="0" collapsed="false">
      <c r="AM436" s="142"/>
    </row>
    <row r="437" customFormat="false" ht="15.75" hidden="false" customHeight="false" outlineLevel="0" collapsed="false">
      <c r="AM437" s="142"/>
    </row>
    <row r="438" customFormat="false" ht="15.75" hidden="false" customHeight="false" outlineLevel="0" collapsed="false">
      <c r="AM438" s="142"/>
    </row>
    <row r="439" customFormat="false" ht="15.75" hidden="false" customHeight="false" outlineLevel="0" collapsed="false">
      <c r="AM439" s="142"/>
    </row>
    <row r="440" customFormat="false" ht="15.75" hidden="false" customHeight="false" outlineLevel="0" collapsed="false">
      <c r="AM440" s="142"/>
    </row>
    <row r="441" customFormat="false" ht="15.75" hidden="false" customHeight="false" outlineLevel="0" collapsed="false">
      <c r="AM441" s="142"/>
    </row>
    <row r="442" customFormat="false" ht="15.75" hidden="false" customHeight="false" outlineLevel="0" collapsed="false">
      <c r="AM442" s="142"/>
    </row>
    <row r="443" customFormat="false" ht="15.75" hidden="false" customHeight="false" outlineLevel="0" collapsed="false">
      <c r="AM443" s="142"/>
    </row>
    <row r="444" customFormat="false" ht="15.75" hidden="false" customHeight="false" outlineLevel="0" collapsed="false">
      <c r="AM444" s="142"/>
    </row>
    <row r="445" customFormat="false" ht="15.75" hidden="false" customHeight="false" outlineLevel="0" collapsed="false">
      <c r="AM445" s="142"/>
    </row>
    <row r="446" customFormat="false" ht="15.75" hidden="false" customHeight="false" outlineLevel="0" collapsed="false">
      <c r="AM446" s="142"/>
    </row>
    <row r="447" customFormat="false" ht="15.75" hidden="false" customHeight="false" outlineLevel="0" collapsed="false">
      <c r="AM447" s="142"/>
    </row>
    <row r="448" customFormat="false" ht="15.75" hidden="false" customHeight="false" outlineLevel="0" collapsed="false">
      <c r="AM448" s="142"/>
    </row>
    <row r="449" customFormat="false" ht="15.75" hidden="false" customHeight="false" outlineLevel="0" collapsed="false">
      <c r="AM449" s="142"/>
    </row>
    <row r="450" customFormat="false" ht="15.75" hidden="false" customHeight="false" outlineLevel="0" collapsed="false">
      <c r="AM450" s="142"/>
    </row>
    <row r="451" customFormat="false" ht="15.75" hidden="false" customHeight="false" outlineLevel="0" collapsed="false">
      <c r="AM451" s="142"/>
    </row>
    <row r="452" customFormat="false" ht="15.75" hidden="false" customHeight="false" outlineLevel="0" collapsed="false">
      <c r="AM452" s="142"/>
    </row>
    <row r="453" customFormat="false" ht="15.75" hidden="false" customHeight="false" outlineLevel="0" collapsed="false">
      <c r="AM453" s="142"/>
    </row>
    <row r="454" customFormat="false" ht="15.75" hidden="false" customHeight="false" outlineLevel="0" collapsed="false">
      <c r="AM454" s="142"/>
    </row>
    <row r="455" customFormat="false" ht="15.75" hidden="false" customHeight="false" outlineLevel="0" collapsed="false">
      <c r="AM455" s="142"/>
    </row>
    <row r="456" customFormat="false" ht="15.75" hidden="false" customHeight="false" outlineLevel="0" collapsed="false">
      <c r="AM456" s="142"/>
    </row>
    <row r="457" customFormat="false" ht="15.75" hidden="false" customHeight="false" outlineLevel="0" collapsed="false">
      <c r="AM457" s="142"/>
    </row>
    <row r="458" customFormat="false" ht="15.75" hidden="false" customHeight="false" outlineLevel="0" collapsed="false">
      <c r="AM458" s="142"/>
    </row>
    <row r="459" customFormat="false" ht="15.75" hidden="false" customHeight="false" outlineLevel="0" collapsed="false">
      <c r="AM459" s="142"/>
    </row>
    <row r="460" customFormat="false" ht="15.75" hidden="false" customHeight="false" outlineLevel="0" collapsed="false">
      <c r="AM460" s="142"/>
    </row>
    <row r="461" customFormat="false" ht="15.75" hidden="false" customHeight="false" outlineLevel="0" collapsed="false">
      <c r="AM461" s="142"/>
    </row>
    <row r="462" customFormat="false" ht="15.75" hidden="false" customHeight="false" outlineLevel="0" collapsed="false">
      <c r="AM462" s="142"/>
    </row>
    <row r="463" customFormat="false" ht="15.75" hidden="false" customHeight="false" outlineLevel="0" collapsed="false">
      <c r="AM463" s="142"/>
    </row>
    <row r="464" customFormat="false" ht="15.75" hidden="false" customHeight="false" outlineLevel="0" collapsed="false">
      <c r="AM464" s="142"/>
    </row>
    <row r="465" customFormat="false" ht="15.75" hidden="false" customHeight="false" outlineLevel="0" collapsed="false">
      <c r="AM465" s="142"/>
    </row>
    <row r="466" customFormat="false" ht="15.75" hidden="false" customHeight="false" outlineLevel="0" collapsed="false">
      <c r="AM466" s="142"/>
    </row>
    <row r="467" customFormat="false" ht="15.75" hidden="false" customHeight="false" outlineLevel="0" collapsed="false">
      <c r="AM467" s="142"/>
    </row>
    <row r="468" customFormat="false" ht="15.75" hidden="false" customHeight="false" outlineLevel="0" collapsed="false">
      <c r="AM468" s="142"/>
    </row>
    <row r="469" customFormat="false" ht="15.75" hidden="false" customHeight="false" outlineLevel="0" collapsed="false">
      <c r="AM469" s="142"/>
    </row>
    <row r="470" customFormat="false" ht="15.75" hidden="false" customHeight="false" outlineLevel="0" collapsed="false">
      <c r="AM470" s="142"/>
    </row>
    <row r="471" customFormat="false" ht="15.75" hidden="false" customHeight="false" outlineLevel="0" collapsed="false">
      <c r="AM471" s="142"/>
    </row>
    <row r="472" customFormat="false" ht="15.75" hidden="false" customHeight="false" outlineLevel="0" collapsed="false">
      <c r="AM472" s="142"/>
    </row>
    <row r="473" customFormat="false" ht="15.75" hidden="false" customHeight="false" outlineLevel="0" collapsed="false">
      <c r="AM473" s="142"/>
    </row>
    <row r="474" customFormat="false" ht="15.75" hidden="false" customHeight="false" outlineLevel="0" collapsed="false">
      <c r="AM474" s="142"/>
    </row>
    <row r="475" customFormat="false" ht="15.75" hidden="false" customHeight="false" outlineLevel="0" collapsed="false">
      <c r="AM475" s="142"/>
    </row>
    <row r="476" customFormat="false" ht="15.75" hidden="false" customHeight="false" outlineLevel="0" collapsed="false">
      <c r="AM476" s="142"/>
    </row>
    <row r="477" customFormat="false" ht="15.75" hidden="false" customHeight="false" outlineLevel="0" collapsed="false">
      <c r="AM477" s="142"/>
    </row>
    <row r="478" customFormat="false" ht="15.75" hidden="false" customHeight="false" outlineLevel="0" collapsed="false">
      <c r="AM478" s="142"/>
    </row>
    <row r="479" customFormat="false" ht="15.75" hidden="false" customHeight="false" outlineLevel="0" collapsed="false">
      <c r="AM479" s="142"/>
    </row>
    <row r="480" customFormat="false" ht="15.75" hidden="false" customHeight="false" outlineLevel="0" collapsed="false">
      <c r="AM480" s="142"/>
    </row>
    <row r="481" customFormat="false" ht="15.75" hidden="false" customHeight="false" outlineLevel="0" collapsed="false">
      <c r="AM481" s="142"/>
    </row>
    <row r="482" customFormat="false" ht="15.75" hidden="false" customHeight="false" outlineLevel="0" collapsed="false">
      <c r="AM482" s="142"/>
    </row>
    <row r="483" customFormat="false" ht="15.75" hidden="false" customHeight="false" outlineLevel="0" collapsed="false">
      <c r="AM483" s="142"/>
    </row>
    <row r="484" customFormat="false" ht="15.75" hidden="false" customHeight="false" outlineLevel="0" collapsed="false">
      <c r="AM484" s="142"/>
    </row>
    <row r="485" customFormat="false" ht="15.75" hidden="false" customHeight="false" outlineLevel="0" collapsed="false">
      <c r="AM485" s="142"/>
    </row>
    <row r="486" customFormat="false" ht="15.75" hidden="false" customHeight="false" outlineLevel="0" collapsed="false">
      <c r="AM486" s="142"/>
    </row>
    <row r="487" customFormat="false" ht="15.75" hidden="false" customHeight="false" outlineLevel="0" collapsed="false">
      <c r="AM487" s="142"/>
    </row>
    <row r="488" customFormat="false" ht="15.75" hidden="false" customHeight="false" outlineLevel="0" collapsed="false">
      <c r="AM488" s="142"/>
    </row>
    <row r="489" customFormat="false" ht="15.75" hidden="false" customHeight="false" outlineLevel="0" collapsed="false">
      <c r="AM489" s="142"/>
    </row>
    <row r="490" customFormat="false" ht="15.75" hidden="false" customHeight="false" outlineLevel="0" collapsed="false">
      <c r="AM490" s="142"/>
    </row>
    <row r="491" customFormat="false" ht="15.75" hidden="false" customHeight="false" outlineLevel="0" collapsed="false">
      <c r="AM491" s="142"/>
    </row>
    <row r="492" customFormat="false" ht="15.75" hidden="false" customHeight="false" outlineLevel="0" collapsed="false">
      <c r="AM492" s="142"/>
    </row>
    <row r="493" customFormat="false" ht="15.75" hidden="false" customHeight="false" outlineLevel="0" collapsed="false">
      <c r="AM493" s="142"/>
    </row>
    <row r="494" customFormat="false" ht="15.75" hidden="false" customHeight="false" outlineLevel="0" collapsed="false">
      <c r="AM494" s="142"/>
    </row>
    <row r="495" customFormat="false" ht="15.75" hidden="false" customHeight="false" outlineLevel="0" collapsed="false">
      <c r="AM495" s="142"/>
    </row>
    <row r="496" customFormat="false" ht="15.75" hidden="false" customHeight="false" outlineLevel="0" collapsed="false">
      <c r="AM496" s="142"/>
    </row>
    <row r="497" customFormat="false" ht="15.75" hidden="false" customHeight="false" outlineLevel="0" collapsed="false">
      <c r="AM497" s="142"/>
    </row>
    <row r="498" customFormat="false" ht="15.75" hidden="false" customHeight="false" outlineLevel="0" collapsed="false">
      <c r="AM498" s="142"/>
    </row>
    <row r="499" customFormat="false" ht="15.75" hidden="false" customHeight="false" outlineLevel="0" collapsed="false">
      <c r="AM499" s="142"/>
    </row>
    <row r="500" customFormat="false" ht="15.75" hidden="false" customHeight="false" outlineLevel="0" collapsed="false">
      <c r="AM500" s="142"/>
    </row>
  </sheetData>
  <autoFilter ref="B1:C11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N3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J24" activeCellId="0" sqref="DJ24"/>
    </sheetView>
  </sheetViews>
  <sheetFormatPr defaultColWidth="10.5" defaultRowHeight="15.75" zeroHeight="false" outlineLevelRow="0" outlineLevelCol="0"/>
  <sheetData>
    <row r="2" customFormat="false" ht="18.75" hidden="false" customHeight="false" outlineLevel="0" collapsed="false">
      <c r="B2" s="85" t="s">
        <v>73</v>
      </c>
      <c r="C2" s="642" t="s">
        <v>2309</v>
      </c>
      <c r="D2" s="643"/>
      <c r="F2" s="0" t="s">
        <v>78</v>
      </c>
      <c r="G2" s="0" t="s">
        <v>79</v>
      </c>
      <c r="H2" s="0" t="s">
        <v>80</v>
      </c>
      <c r="J2" s="644" t="s">
        <v>90</v>
      </c>
      <c r="K2" s="0" t="n">
        <f aca="false">CO26*AK26</f>
        <v>3.5</v>
      </c>
      <c r="M2" s="142"/>
      <c r="N2" s="142"/>
      <c r="O2" s="142"/>
      <c r="P2" s="142"/>
      <c r="Q2" s="142"/>
      <c r="R2" s="142"/>
      <c r="S2" s="142"/>
      <c r="U2" s="645"/>
      <c r="V2" s="645"/>
      <c r="W2" s="645"/>
      <c r="X2" s="645"/>
      <c r="Y2" s="645"/>
      <c r="Z2" s="645"/>
      <c r="AA2" s="645"/>
      <c r="AB2" s="645"/>
      <c r="AC2" s="645"/>
      <c r="AD2" s="645"/>
      <c r="AE2" s="645"/>
    </row>
    <row r="3" customFormat="false" ht="15.75" hidden="false" customHeight="false" outlineLevel="0" collapsed="false">
      <c r="B3" s="72" t="s">
        <v>88</v>
      </c>
      <c r="C3" s="646" t="n">
        <f aca="false">AK26</f>
        <v>0.5</v>
      </c>
      <c r="D3" s="181"/>
      <c r="E3" s="90" t="s">
        <v>91</v>
      </c>
      <c r="F3" s="142" t="n">
        <f aca="false">AO26/1000*(1-AP26)*AK26</f>
        <v>0.0375</v>
      </c>
      <c r="G3" s="0" t="n">
        <f aca="false">F3*1000000/18</f>
        <v>2083.33333333333</v>
      </c>
      <c r="H3" s="181" t="n">
        <f aca="false">F3*1000</f>
        <v>37.5</v>
      </c>
      <c r="J3" s="644" t="s">
        <v>104</v>
      </c>
      <c r="K3" s="0" t="n">
        <f aca="false">CK26*AK26</f>
        <v>7.5</v>
      </c>
      <c r="M3" s="142"/>
      <c r="N3" s="142"/>
      <c r="O3" s="142"/>
      <c r="P3" s="142"/>
      <c r="Q3" s="142"/>
      <c r="R3" s="142"/>
      <c r="S3" s="142"/>
      <c r="U3" s="647" t="str">
        <f aca="false">IF(B26=1,"First simul Turgor_Ref is used for all following simul","Compute Turgor_Ref for each simul")</f>
        <v>Compute Turgor_Ref for each simul</v>
      </c>
      <c r="V3" s="647"/>
      <c r="W3" s="647"/>
      <c r="X3" s="648"/>
      <c r="Y3" s="648"/>
      <c r="Z3" s="649"/>
      <c r="AA3" s="649"/>
      <c r="AB3" s="649"/>
      <c r="AC3" s="649"/>
      <c r="AD3" s="649"/>
      <c r="AE3" s="650"/>
    </row>
    <row r="4" customFormat="false" ht="15.75" hidden="false" customHeight="false" outlineLevel="0" collapsed="false">
      <c r="B4" s="72" t="s">
        <v>298</v>
      </c>
      <c r="C4" s="515" t="n">
        <f aca="false">BG26</f>
        <v>300</v>
      </c>
      <c r="D4" s="181"/>
      <c r="E4" s="90" t="s">
        <v>105</v>
      </c>
      <c r="F4" s="142" t="n">
        <f aca="false">AO26/1000*AP26*AK26</f>
        <v>0.0125</v>
      </c>
      <c r="G4" s="0" t="n">
        <f aca="false">F4*1000000/18</f>
        <v>694.444444444444</v>
      </c>
      <c r="H4" s="181" t="n">
        <f aca="false">F4*1000</f>
        <v>12.5</v>
      </c>
      <c r="J4" s="644" t="s">
        <v>118</v>
      </c>
      <c r="K4" s="181" t="n">
        <f aca="false">CP26*F14*AR26</f>
        <v>299.96757864</v>
      </c>
      <c r="L4" s="142" t="n">
        <f aca="false">10/K4</f>
        <v>0.0333369360960216</v>
      </c>
      <c r="U4" s="647" t="str">
        <f aca="false">IF(C26=1,"Transient values are saved in a file", "Transient values are NOT saved")</f>
        <v>Transient values are saved in a file</v>
      </c>
      <c r="V4" s="647"/>
      <c r="W4" s="647"/>
      <c r="X4" s="647"/>
      <c r="Y4" s="647"/>
      <c r="Z4" s="647"/>
      <c r="AA4" s="647"/>
      <c r="AB4" s="647"/>
      <c r="AC4" s="647"/>
      <c r="AD4" s="647"/>
      <c r="AE4" s="647"/>
    </row>
    <row r="5" customFormat="false" ht="15.75" hidden="false" customHeight="false" outlineLevel="0" collapsed="false">
      <c r="B5" s="72" t="s">
        <v>311</v>
      </c>
      <c r="C5" s="515" t="n">
        <f aca="false">BJ26</f>
        <v>2</v>
      </c>
      <c r="D5" s="181"/>
      <c r="E5" s="90" t="s">
        <v>119</v>
      </c>
      <c r="F5" s="439" t="n">
        <f aca="false">AR26*AS26*AT26*AT26*3.14/4*AV26*1000</f>
        <v>0.034996217508</v>
      </c>
      <c r="G5" s="0" t="n">
        <f aca="false">F5*1000000/18</f>
        <v>1944.234306</v>
      </c>
      <c r="H5" s="181" t="n">
        <f aca="false">F5*1000</f>
        <v>34.996217508</v>
      </c>
      <c r="J5" s="644" t="s">
        <v>131</v>
      </c>
      <c r="K5" s="181" t="n">
        <f aca="false">CL26*AR26/AS26*AT26*AT26*3.1416/4</f>
        <v>555.77857104</v>
      </c>
      <c r="L5" s="142"/>
      <c r="U5" s="651" t="str">
        <f aca="false">IF(EA26=0,"Plants are isolated","Plants are connected")</f>
        <v>Plants are isolated</v>
      </c>
      <c r="V5" s="651"/>
      <c r="W5" s="651"/>
      <c r="X5" s="651"/>
      <c r="Y5" s="651"/>
      <c r="Z5" s="651"/>
      <c r="AA5" s="651"/>
      <c r="AB5" s="651"/>
      <c r="AC5" s="651"/>
      <c r="AD5" s="651"/>
      <c r="AE5" s="651"/>
    </row>
    <row r="6" customFormat="false" ht="15.75" hidden="false" customHeight="false" outlineLevel="0" collapsed="false">
      <c r="B6" s="72" t="s">
        <v>309</v>
      </c>
      <c r="C6" s="515" t="n">
        <f aca="false">BX26*1000</f>
        <v>50</v>
      </c>
      <c r="D6" s="181"/>
      <c r="E6" s="90" t="s">
        <v>132</v>
      </c>
      <c r="F6" s="439" t="n">
        <f aca="false">AR26*AS26*AT26*AT26*3.14/4*AU26*1000</f>
        <v>0.019997838576</v>
      </c>
      <c r="G6" s="0" t="n">
        <f aca="false">F6*1000000/18</f>
        <v>1110.991032</v>
      </c>
      <c r="H6" s="181" t="n">
        <f aca="false">F6*1000</f>
        <v>19.997838576</v>
      </c>
      <c r="J6" s="644" t="s">
        <v>140</v>
      </c>
      <c r="K6" s="181" t="n">
        <f aca="false">F15*CQ26</f>
        <v>10.02288</v>
      </c>
      <c r="L6" s="142" t="n">
        <f aca="false">10/K6</f>
        <v>0.99771722299379</v>
      </c>
      <c r="U6" s="651" t="str">
        <f aca="false">IF(I26=0,"run until death", "run limited in time")</f>
        <v>run until death</v>
      </c>
      <c r="V6" s="651"/>
      <c r="W6" s="651"/>
      <c r="X6" s="651"/>
      <c r="Y6" s="651"/>
      <c r="Z6" s="651"/>
      <c r="AA6" s="651"/>
      <c r="AB6" s="651"/>
      <c r="AC6" s="651"/>
      <c r="AD6" s="651"/>
      <c r="AE6" s="651"/>
    </row>
    <row r="7" customFormat="false" ht="15.75" hidden="false" customHeight="false" outlineLevel="0" collapsed="false">
      <c r="B7" s="72" t="s">
        <v>326</v>
      </c>
      <c r="C7" s="515" t="n">
        <f aca="false">BX26*AD26*1000</f>
        <v>22.95</v>
      </c>
      <c r="D7" s="181"/>
      <c r="E7" s="90" t="s">
        <v>141</v>
      </c>
      <c r="F7" s="0" t="n">
        <f aca="false">AX26*AY26*AY26*3.14/4*BA26*1000</f>
        <v>0.0699847596</v>
      </c>
      <c r="G7" s="0" t="n">
        <f aca="false">F7*1000000/18</f>
        <v>3888.0422</v>
      </c>
      <c r="H7" s="181" t="n">
        <f aca="false">F7*1000</f>
        <v>69.9847596</v>
      </c>
      <c r="J7" s="644" t="s">
        <v>153</v>
      </c>
      <c r="K7" s="181" t="n">
        <f aca="false">CM26*F11/AX26</f>
        <v>149.967342</v>
      </c>
      <c r="U7" s="651" t="str">
        <f aca="false">IF(E26=1,"Transpiration is constant during the day","Transpiration is variable during the day")</f>
        <v>Transpiration is variable during the day</v>
      </c>
      <c r="V7" s="651"/>
      <c r="W7" s="651"/>
      <c r="X7" s="651"/>
      <c r="Y7" s="651"/>
      <c r="Z7" s="651"/>
      <c r="AA7" s="651"/>
      <c r="AB7" s="651"/>
      <c r="AC7" s="651"/>
      <c r="AD7" s="651"/>
      <c r="AE7" s="651"/>
    </row>
    <row r="8" customFormat="false" ht="15.75" hidden="false" customHeight="false" outlineLevel="0" collapsed="false">
      <c r="B8" s="72" t="s">
        <v>339</v>
      </c>
      <c r="C8" s="515" t="n">
        <f aca="false">(AD26-AE26)*BX26*1000</f>
        <v>18.05</v>
      </c>
      <c r="D8" s="181"/>
      <c r="E8" s="90" t="s">
        <v>154</v>
      </c>
      <c r="F8" s="0" t="n">
        <f aca="false">AX26*AY26*AY26*3.14/4*AZ26*1000*(2-BB26)*BB26</f>
        <v>0.0299934684</v>
      </c>
      <c r="G8" s="0" t="n">
        <f aca="false">F8*1000000/18</f>
        <v>1666.3038</v>
      </c>
      <c r="H8" s="181" t="n">
        <f aca="false">F8*1000</f>
        <v>29.9934684</v>
      </c>
      <c r="J8" s="644" t="s">
        <v>163</v>
      </c>
      <c r="K8" s="181" t="n">
        <f aca="false">CR26*F16</f>
        <v>10.02288</v>
      </c>
      <c r="U8" s="652"/>
      <c r="V8" s="652"/>
      <c r="W8" s="652"/>
      <c r="X8" s="652"/>
      <c r="Y8" s="652"/>
      <c r="Z8" s="652"/>
      <c r="AA8" s="652"/>
      <c r="AB8" s="652"/>
      <c r="AC8" s="652"/>
      <c r="AD8" s="652"/>
      <c r="AE8" s="652"/>
      <c r="BS8" s="119"/>
    </row>
    <row r="9" customFormat="false" ht="15.75" hidden="false" customHeight="false" outlineLevel="0" collapsed="false">
      <c r="B9" s="72" t="s">
        <v>75</v>
      </c>
      <c r="C9" s="515" t="n">
        <f aca="false">CS26</f>
        <v>-2</v>
      </c>
      <c r="D9" s="181"/>
      <c r="E9" s="90" t="s">
        <v>2310</v>
      </c>
      <c r="F9" s="0" t="n">
        <f aca="false">BC26*BD26*BD26*3.14*BF26*3*1000/4</f>
        <v>0.0233282532</v>
      </c>
      <c r="G9" s="0" t="n">
        <f aca="false">F9*1000000/18</f>
        <v>1296.01406666667</v>
      </c>
      <c r="H9" s="181" t="n">
        <f aca="false">F9*1000</f>
        <v>23.3282532</v>
      </c>
      <c r="J9" s="644" t="s">
        <v>173</v>
      </c>
      <c r="K9" s="181" t="n">
        <f aca="false">CN26/BC26*BD26*BD26*3.1416/4*3</f>
        <v>100.02917232</v>
      </c>
      <c r="BS9" s="119"/>
    </row>
    <row r="10" customFormat="false" ht="15.75" hidden="false" customHeight="false" outlineLevel="0" collapsed="false">
      <c r="B10" s="72" t="s">
        <v>89</v>
      </c>
      <c r="C10" s="515" t="n">
        <f aca="false">CS26+50/CW26</f>
        <v>-1.75</v>
      </c>
      <c r="D10" s="181"/>
      <c r="E10" s="90" t="s">
        <v>2311</v>
      </c>
      <c r="F10" s="0" t="n">
        <f aca="false">BC26*BD26*BD26*3.14*BE26*1000*3/4</f>
        <v>0.0133304304</v>
      </c>
      <c r="G10" s="0" t="n">
        <f aca="false">F10*1000000/18</f>
        <v>740.579466666667</v>
      </c>
      <c r="H10" s="181" t="n">
        <f aca="false">F10*1000</f>
        <v>13.3304304</v>
      </c>
      <c r="BS10" s="119"/>
    </row>
    <row r="11" customFormat="false" ht="15.75" hidden="false" customHeight="false" outlineLevel="0" collapsed="false">
      <c r="B11" s="72" t="s">
        <v>103</v>
      </c>
      <c r="C11" s="515" t="n">
        <f aca="false">C9+25/(CW26)*LN((100-S26)/S26)</f>
        <v>-1.6319451276042</v>
      </c>
      <c r="D11" s="181"/>
      <c r="E11" s="87" t="s">
        <v>2312</v>
      </c>
      <c r="F11" s="142" t="n">
        <f aca="false">3.14*AY26*AY26*(2-BB26)*BB26/4</f>
        <v>0.000149967342</v>
      </c>
      <c r="G11" s="0" t="n">
        <f aca="false">F11*10000</f>
        <v>1.49967342</v>
      </c>
      <c r="J11" s="644" t="s">
        <v>209</v>
      </c>
      <c r="K11" s="142" t="n">
        <f aca="false">BT26*F4</f>
        <v>0.000125</v>
      </c>
      <c r="L11" s="142" t="n">
        <f aca="false">K11*1000000/18</f>
        <v>6.94444444444444</v>
      </c>
      <c r="M11" s="142"/>
      <c r="N11" s="142"/>
      <c r="O11" s="142"/>
      <c r="P11" s="142"/>
      <c r="Q11" s="142"/>
      <c r="R11" s="142"/>
      <c r="S11" s="142"/>
      <c r="BS11" s="119"/>
    </row>
    <row r="12" customFormat="false" ht="15.75" hidden="false" customHeight="false" outlineLevel="0" collapsed="false">
      <c r="B12" s="72" t="s">
        <v>117</v>
      </c>
      <c r="C12" s="515" t="n">
        <f aca="false">CT26</f>
        <v>-2</v>
      </c>
      <c r="D12" s="181"/>
      <c r="E12" s="90" t="s">
        <v>151</v>
      </c>
      <c r="F12" s="142" t="n">
        <f aca="false">AR26*AT26*AT26*3.14/4/AK26</f>
        <v>0.0006665946192</v>
      </c>
      <c r="H12" s="142"/>
      <c r="J12" s="644" t="s">
        <v>219</v>
      </c>
      <c r="K12" s="440" t="n">
        <f aca="false">BU26*AR26*AS26*AT26*AT26*3.14/4*AU26*1000</f>
        <v>0.00019997838576</v>
      </c>
      <c r="L12" s="142" t="n">
        <f aca="false">K12*1000000/18</f>
        <v>11.10991032</v>
      </c>
      <c r="M12" s="142"/>
      <c r="N12" s="142"/>
      <c r="O12" s="142"/>
      <c r="P12" s="142"/>
      <c r="Q12" s="142"/>
      <c r="R12" s="142"/>
      <c r="S12" s="142"/>
      <c r="U12" s="653" t="str">
        <f aca="false">IF(R26=0,"P12","P_tlp")</f>
        <v>P_tlp</v>
      </c>
      <c r="V12" s="178"/>
      <c r="BS12" s="119"/>
    </row>
    <row r="13" customFormat="false" ht="15.75" hidden="false" customHeight="false" outlineLevel="0" collapsed="false">
      <c r="B13" s="72" t="s">
        <v>130</v>
      </c>
      <c r="C13" s="515" t="n">
        <f aca="false">CT26+50/CX26</f>
        <v>-1.75</v>
      </c>
      <c r="D13" s="181"/>
      <c r="E13" s="90" t="s">
        <v>161</v>
      </c>
      <c r="F13" s="142" t="n">
        <f aca="false">AY26*AY26*3.14/4/AK26</f>
        <v>0.000399912912</v>
      </c>
      <c r="H13" s="142"/>
      <c r="J13" s="644" t="s">
        <v>229</v>
      </c>
      <c r="K13" s="142" t="n">
        <f aca="false">BV26*AX26*AY26*AY26*3.14/4*AZ26*1000*(2-BB26)*BB26</f>
        <v>0.000299934684</v>
      </c>
      <c r="L13" s="142" t="n">
        <f aca="false">K13*1000000/18</f>
        <v>16.663038</v>
      </c>
      <c r="M13" s="142"/>
      <c r="N13" s="142"/>
      <c r="O13" s="142"/>
      <c r="P13" s="142"/>
      <c r="Q13" s="142"/>
      <c r="R13" s="142"/>
      <c r="S13" s="142"/>
      <c r="U13" s="653" t="str">
        <f aca="false">IF(R27=0,"P12","P_tlp")</f>
        <v>P_tlp</v>
      </c>
      <c r="V13" s="178"/>
      <c r="BS13" s="119"/>
      <c r="DA13" s="9"/>
      <c r="DB13" s="9"/>
      <c r="DC13" s="9"/>
    </row>
    <row r="14" customFormat="false" ht="15.75" hidden="false" customHeight="false" outlineLevel="0" collapsed="false">
      <c r="B14" s="72" t="s">
        <v>139</v>
      </c>
      <c r="C14" s="515" t="n">
        <f aca="false">CG26*CC26/(CC26+CG26)</f>
        <v>-1.25007719027403</v>
      </c>
      <c r="D14" s="181"/>
      <c r="E14" s="644" t="s">
        <v>2313</v>
      </c>
      <c r="F14" s="142" t="n">
        <f aca="false">AR26*AS26*AT26*3.14</f>
        <v>0.06138072</v>
      </c>
      <c r="H14" s="142"/>
      <c r="J14" s="654" t="s">
        <v>240</v>
      </c>
      <c r="K14" s="436" t="n">
        <f aca="false">3*BC26*BD26*BD26*3.14/4*BE26*BW26*1000</f>
        <v>0.000133304304</v>
      </c>
      <c r="L14" s="142" t="n">
        <f aca="false">K14*1000000/18</f>
        <v>7.40579466666667</v>
      </c>
      <c r="U14" s="653" t="str">
        <f aca="false">IF(R28=0,"P12","P_tlp")</f>
        <v>P_tlp</v>
      </c>
      <c r="V14" s="178"/>
      <c r="DA14" s="9"/>
      <c r="DB14" s="9"/>
      <c r="DC14" s="9"/>
    </row>
    <row r="15" customFormat="false" ht="15.75" hidden="false" customHeight="false" outlineLevel="0" collapsed="false">
      <c r="B15" s="72" t="s">
        <v>152</v>
      </c>
      <c r="C15" s="515" t="n">
        <f aca="false">-(C4+C5)*C3*$W$24/101.3/C17</f>
        <v>-1.77634501723021</v>
      </c>
      <c r="D15" s="181"/>
      <c r="E15" s="644" t="s">
        <v>2314</v>
      </c>
      <c r="F15" s="142" t="n">
        <f aca="false">AX26*AY26*3.14</f>
        <v>0.0501144</v>
      </c>
      <c r="U15" s="653" t="str">
        <f aca="false">IF(R60=0,"P12","P_tlp")</f>
        <v>P12</v>
      </c>
      <c r="V15" s="178"/>
      <c r="DA15" s="9"/>
      <c r="DB15" s="9"/>
      <c r="DC15" s="9"/>
    </row>
    <row r="16" customFormat="false" ht="15.75" hidden="false" customHeight="false" outlineLevel="0" collapsed="false">
      <c r="B16" s="72" t="s">
        <v>2315</v>
      </c>
      <c r="C16" s="515" t="n">
        <f aca="false">-(C4+C5)*C3*$W$24/101.3/C18</f>
        <v>-0.831728544863787</v>
      </c>
      <c r="D16" s="181"/>
      <c r="E16" s="644" t="s">
        <v>2316</v>
      </c>
      <c r="F16" s="142" t="n">
        <f aca="false">BC26*BD26*3.14*3</f>
        <v>0.0501144</v>
      </c>
    </row>
    <row r="17" customFormat="false" ht="15.75" hidden="false" customHeight="false" outlineLevel="0" collapsed="false">
      <c r="B17" s="72" t="s">
        <v>185</v>
      </c>
      <c r="C17" s="515" t="n">
        <f aca="false">1/(1/C18+1/K2)</f>
        <v>1.86121368383584</v>
      </c>
      <c r="D17" s="181"/>
      <c r="E17" s="444"/>
      <c r="I17" s="142"/>
      <c r="J17" s="142"/>
      <c r="K17" s="142"/>
      <c r="L17" s="142"/>
      <c r="M17" s="142"/>
      <c r="N17" s="142"/>
      <c r="O17" s="142"/>
      <c r="P17" s="142"/>
      <c r="Q17" s="142"/>
      <c r="R17" s="142"/>
      <c r="S17" s="142"/>
      <c r="T17" s="181"/>
      <c r="DI17" s="440"/>
    </row>
    <row r="18" customFormat="false" ht="15.75" hidden="false" customHeight="false" outlineLevel="0" collapsed="false">
      <c r="B18" s="72" t="s">
        <v>194</v>
      </c>
      <c r="C18" s="515" t="n">
        <f aca="false">1/(1/K9+1/K8+1/K7+1/K5+1/K3)</f>
        <v>3.97504410988313</v>
      </c>
      <c r="D18" s="181"/>
      <c r="E18" s="444"/>
      <c r="I18" s="142"/>
      <c r="J18" s="142"/>
      <c r="K18" s="142"/>
      <c r="L18" s="142"/>
      <c r="M18" s="142"/>
      <c r="N18" s="142"/>
      <c r="O18" s="142"/>
      <c r="P18" s="142"/>
      <c r="Q18" s="142"/>
      <c r="R18" s="142"/>
      <c r="S18" s="142"/>
      <c r="BE18" s="142"/>
      <c r="DF18" s="440"/>
      <c r="DI18" s="440"/>
    </row>
    <row r="19" customFormat="false" ht="15.75" hidden="false" customHeight="false" outlineLevel="0" collapsed="false">
      <c r="B19" s="72" t="s">
        <v>342</v>
      </c>
      <c r="C19" s="653" t="str">
        <f aca="false">IF(R26=0,"P12","P_tlp")</f>
        <v>P_tlp</v>
      </c>
      <c r="D19" s="178"/>
      <c r="E19" s="444"/>
      <c r="I19" s="142"/>
      <c r="J19" s="142"/>
      <c r="K19" s="142"/>
      <c r="L19" s="142"/>
      <c r="M19" s="142"/>
      <c r="N19" s="142"/>
      <c r="O19" s="142"/>
      <c r="P19" s="142"/>
      <c r="Q19" s="142"/>
      <c r="R19" s="142"/>
      <c r="S19" s="142"/>
      <c r="AG19" s="426"/>
      <c r="BE19" s="142"/>
      <c r="CJ19" s="181"/>
      <c r="DF19" s="440"/>
    </row>
    <row r="20" customFormat="false" ht="15.75" hidden="false" customHeight="false" outlineLevel="0" collapsed="false">
      <c r="D20" s="435"/>
      <c r="E20" s="435"/>
      <c r="I20" s="142"/>
      <c r="J20" s="142"/>
      <c r="K20" s="142"/>
      <c r="L20" s="142"/>
      <c r="M20" s="142"/>
      <c r="N20" s="142"/>
      <c r="O20" s="142"/>
      <c r="P20" s="142"/>
      <c r="Q20" s="142"/>
      <c r="R20" s="142"/>
      <c r="S20" s="142"/>
      <c r="CG20" s="442" t="n">
        <f aca="false">C14</f>
        <v>-1.25007719027403</v>
      </c>
      <c r="CL20" s="440" t="n">
        <f aca="false">K5</f>
        <v>555.77857104</v>
      </c>
      <c r="CM20" s="181" t="n">
        <f aca="false">K7</f>
        <v>149.967342</v>
      </c>
      <c r="CN20" s="181" t="n">
        <f aca="false">K9</f>
        <v>100.02917232</v>
      </c>
      <c r="CP20" s="181" t="n">
        <f aca="false">K4</f>
        <v>299.96757864</v>
      </c>
      <c r="CQ20" s="181" t="n">
        <f aca="false">K6</f>
        <v>10.02288</v>
      </c>
      <c r="CR20" s="181" t="n">
        <f aca="false">K8</f>
        <v>10.02288</v>
      </c>
      <c r="DF20" s="440"/>
      <c r="DG20" s="440"/>
      <c r="DH20" s="440"/>
      <c r="DI20" s="440"/>
      <c r="DJ20" s="440"/>
      <c r="DK20" s="440"/>
      <c r="DL20" s="440"/>
      <c r="DM20" s="440"/>
      <c r="DN20" s="440"/>
      <c r="DO20" s="440"/>
      <c r="DP20" s="440"/>
      <c r="DQ20" s="426"/>
      <c r="DR20" s="426"/>
      <c r="DS20" s="426"/>
      <c r="DT20" s="426"/>
      <c r="DU20" s="426"/>
      <c r="DV20" s="426"/>
      <c r="DW20" s="426"/>
      <c r="DX20" s="426"/>
      <c r="DY20" s="426"/>
      <c r="EC20" s="440"/>
      <c r="ED20" s="440"/>
      <c r="EE20" s="440"/>
      <c r="EF20" s="440"/>
      <c r="EG20" s="426"/>
      <c r="EI20" s="442"/>
      <c r="EJ20" s="442"/>
      <c r="EK20" s="442"/>
      <c r="EL20" s="442"/>
      <c r="EM20" s="442"/>
      <c r="EN20" s="442"/>
      <c r="EO20" s="442"/>
      <c r="EP20" s="442"/>
      <c r="EQ20" s="442"/>
      <c r="ER20" s="442"/>
      <c r="ES20" s="442"/>
      <c r="ET20" s="442"/>
      <c r="EU20" s="442"/>
      <c r="EV20" s="442"/>
      <c r="EW20" s="442"/>
      <c r="EX20" s="442"/>
      <c r="EY20" s="442"/>
      <c r="EZ20" s="442"/>
      <c r="FA20" s="442"/>
      <c r="FB20" s="442"/>
      <c r="FC20" s="442"/>
      <c r="FD20" s="442"/>
      <c r="FE20" s="442"/>
      <c r="FF20" s="442"/>
      <c r="FG20" s="440"/>
      <c r="FH20" s="440"/>
      <c r="FI20" s="440"/>
      <c r="FJ20" s="440"/>
      <c r="FK20" s="440"/>
      <c r="FL20" s="440"/>
      <c r="FM20" s="440"/>
      <c r="FN20" s="440"/>
    </row>
    <row r="21" customFormat="false" ht="15.75" hidden="false" customHeight="false" outlineLevel="0" collapsed="false">
      <c r="D21" s="435"/>
      <c r="E21" s="435"/>
      <c r="F21" s="435"/>
      <c r="G21" s="435"/>
      <c r="BE21" s="142"/>
      <c r="CM21" s="181"/>
      <c r="DC21" s="440"/>
      <c r="DD21" s="440"/>
      <c r="DE21" s="440"/>
      <c r="DF21" s="440"/>
      <c r="DG21" s="440"/>
      <c r="DH21" s="440"/>
      <c r="DI21" s="440"/>
      <c r="DJ21" s="440"/>
      <c r="DK21" s="426"/>
      <c r="DL21" s="426"/>
      <c r="DM21" s="426"/>
      <c r="DN21" s="426"/>
      <c r="DO21" s="426"/>
      <c r="DP21" s="426"/>
      <c r="DQ21" s="426"/>
      <c r="DR21" s="426"/>
      <c r="DS21" s="426"/>
      <c r="DT21" s="426"/>
      <c r="DU21" s="426"/>
      <c r="DV21" s="426"/>
      <c r="DZ21" s="440"/>
      <c r="EA21" s="440"/>
      <c r="EB21" s="440"/>
      <c r="EC21" s="440"/>
      <c r="ED21" s="426"/>
      <c r="EF21" s="442"/>
      <c r="EG21" s="442"/>
      <c r="EH21" s="442"/>
      <c r="EI21" s="442"/>
      <c r="EJ21" s="442"/>
      <c r="EK21" s="442"/>
      <c r="EL21" s="442"/>
      <c r="EM21" s="442"/>
      <c r="EN21" s="442"/>
      <c r="EO21" s="442"/>
      <c r="EP21" s="442"/>
      <c r="EQ21" s="442"/>
      <c r="ER21" s="442"/>
      <c r="ES21" s="442"/>
      <c r="ET21" s="442"/>
      <c r="EU21" s="442"/>
      <c r="EV21" s="442"/>
      <c r="EW21" s="442"/>
      <c r="EX21" s="442"/>
      <c r="EY21" s="442"/>
      <c r="EZ21" s="442"/>
      <c r="FA21" s="442"/>
      <c r="FB21" s="442"/>
      <c r="FC21" s="442"/>
      <c r="FD21" s="440"/>
      <c r="FE21" s="440"/>
      <c r="FF21" s="440"/>
      <c r="FG21" s="440"/>
      <c r="FH21" s="440"/>
      <c r="FI21" s="440"/>
      <c r="FJ21" s="440"/>
      <c r="FK21" s="440"/>
    </row>
    <row r="22" customFormat="false" ht="15.75" hidden="false" customHeight="false" outlineLevel="0" collapsed="false">
      <c r="B22" s="0" t="n">
        <v>1</v>
      </c>
      <c r="C22" s="0" t="n">
        <f aca="false">B22+1</f>
        <v>2</v>
      </c>
      <c r="D22" s="0" t="n">
        <f aca="false">C22+1</f>
        <v>3</v>
      </c>
      <c r="E22" s="0" t="n">
        <f aca="false">D22+1</f>
        <v>4</v>
      </c>
      <c r="F22" s="0" t="n">
        <f aca="false">E22+1</f>
        <v>5</v>
      </c>
      <c r="G22" s="0" t="n">
        <f aca="false">F22+1</f>
        <v>6</v>
      </c>
      <c r="H22" s="0" t="n">
        <f aca="false">G22+1</f>
        <v>7</v>
      </c>
      <c r="I22" s="0" t="n">
        <f aca="false">H22+1</f>
        <v>8</v>
      </c>
      <c r="J22" s="0" t="n">
        <f aca="false">I22+1</f>
        <v>9</v>
      </c>
      <c r="K22" s="0" t="n">
        <f aca="false">J22+1</f>
        <v>10</v>
      </c>
      <c r="L22" s="0" t="n">
        <f aca="false">K22+1</f>
        <v>11</v>
      </c>
      <c r="M22" s="0" t="n">
        <f aca="false">L22+1</f>
        <v>12</v>
      </c>
      <c r="N22" s="0" t="n">
        <f aca="false">M22+1</f>
        <v>13</v>
      </c>
      <c r="O22" s="0" t="n">
        <f aca="false">N22+1</f>
        <v>14</v>
      </c>
      <c r="Q22" s="0" t="n">
        <f aca="false">O22+1</f>
        <v>15</v>
      </c>
      <c r="R22" s="0" t="n">
        <f aca="false">Q22+1</f>
        <v>16</v>
      </c>
      <c r="S22" s="0" t="n">
        <f aca="false">R22+1</f>
        <v>17</v>
      </c>
      <c r="T22" s="0" t="n">
        <f aca="false">S22+1</f>
        <v>18</v>
      </c>
      <c r="U22" s="0" t="n">
        <f aca="false">T22+1</f>
        <v>19</v>
      </c>
      <c r="V22" s="0" t="n">
        <f aca="false">U22+1</f>
        <v>20</v>
      </c>
      <c r="W22" s="0" t="n">
        <f aca="false">V22+1</f>
        <v>21</v>
      </c>
      <c r="X22" s="0" t="n">
        <f aca="false">W22+1</f>
        <v>22</v>
      </c>
      <c r="Y22" s="0" t="n">
        <f aca="false">X22+1</f>
        <v>23</v>
      </c>
      <c r="Z22" s="0" t="n">
        <f aca="false">Y22+1</f>
        <v>24</v>
      </c>
      <c r="AA22" s="0" t="n">
        <f aca="false">Z22+1</f>
        <v>25</v>
      </c>
      <c r="AB22" s="0" t="n">
        <f aca="false">AA22+1</f>
        <v>26</v>
      </c>
      <c r="AC22" s="0" t="n">
        <f aca="false">AB22+1</f>
        <v>27</v>
      </c>
      <c r="AD22" s="0" t="n">
        <f aca="false">AC22+1</f>
        <v>28</v>
      </c>
      <c r="AE22" s="0" t="n">
        <f aca="false">AD22+1</f>
        <v>29</v>
      </c>
      <c r="AF22" s="0" t="n">
        <f aca="false">AE22+1</f>
        <v>30</v>
      </c>
      <c r="AG22" s="0" t="n">
        <f aca="false">AF22+1</f>
        <v>31</v>
      </c>
      <c r="AH22" s="0" t="n">
        <f aca="false">AG22+1</f>
        <v>32</v>
      </c>
      <c r="AI22" s="0" t="n">
        <f aca="false">AH22+1</f>
        <v>33</v>
      </c>
      <c r="AJ22" s="0" t="n">
        <f aca="false">AI22+1</f>
        <v>34</v>
      </c>
      <c r="AK22" s="0" t="n">
        <f aca="false">AJ22+1</f>
        <v>35</v>
      </c>
      <c r="AL22" s="0" t="n">
        <f aca="false">AK22+1</f>
        <v>36</v>
      </c>
      <c r="AM22" s="0" t="n">
        <f aca="false">AL22+1</f>
        <v>37</v>
      </c>
      <c r="AN22" s="0" t="n">
        <f aca="false">AM22+1</f>
        <v>38</v>
      </c>
      <c r="AO22" s="0" t="n">
        <f aca="false">AN22+1</f>
        <v>39</v>
      </c>
      <c r="AP22" s="0" t="n">
        <f aca="false">AO22+1</f>
        <v>40</v>
      </c>
      <c r="AQ22" s="0" t="n">
        <f aca="false">AP22+1</f>
        <v>41</v>
      </c>
      <c r="AR22" s="0" t="n">
        <f aca="false">AQ22+1</f>
        <v>42</v>
      </c>
      <c r="AS22" s="0" t="n">
        <f aca="false">AR22+1</f>
        <v>43</v>
      </c>
      <c r="AT22" s="0" t="n">
        <f aca="false">AS22+1</f>
        <v>44</v>
      </c>
      <c r="AU22" s="0" t="n">
        <f aca="false">AT22+1</f>
        <v>45</v>
      </c>
      <c r="AV22" s="0" t="n">
        <f aca="false">AU22+1</f>
        <v>46</v>
      </c>
      <c r="AW22" s="0" t="n">
        <f aca="false">AV22+1</f>
        <v>47</v>
      </c>
      <c r="AX22" s="0" t="n">
        <f aca="false">AW22+1</f>
        <v>48</v>
      </c>
      <c r="AY22" s="0" t="n">
        <f aca="false">AX22+1</f>
        <v>49</v>
      </c>
      <c r="AZ22" s="0" t="n">
        <f aca="false">AY22+1</f>
        <v>50</v>
      </c>
      <c r="BA22" s="0" t="n">
        <f aca="false">AZ22+1</f>
        <v>51</v>
      </c>
      <c r="BB22" s="0" t="n">
        <f aca="false">BA22+1</f>
        <v>52</v>
      </c>
      <c r="BC22" s="0" t="n">
        <f aca="false">BB22+1</f>
        <v>53</v>
      </c>
      <c r="BD22" s="0" t="n">
        <f aca="false">BC22+1</f>
        <v>54</v>
      </c>
      <c r="BE22" s="0" t="n">
        <f aca="false">BD22+1</f>
        <v>55</v>
      </c>
      <c r="BF22" s="0" t="n">
        <f aca="false">BE22+1</f>
        <v>56</v>
      </c>
      <c r="BG22" s="0" t="n">
        <f aca="false">BF22+1</f>
        <v>57</v>
      </c>
      <c r="BH22" s="0" t="n">
        <f aca="false">BG22+1</f>
        <v>58</v>
      </c>
      <c r="BI22" s="0" t="n">
        <f aca="false">BH22+1</f>
        <v>59</v>
      </c>
      <c r="BJ22" s="0" t="n">
        <f aca="false">BI22+1</f>
        <v>60</v>
      </c>
      <c r="BK22" s="0" t="n">
        <f aca="false">BJ22+1</f>
        <v>61</v>
      </c>
      <c r="BL22" s="0" t="n">
        <f aca="false">BK22+1</f>
        <v>62</v>
      </c>
      <c r="BM22" s="0" t="n">
        <f aca="false">BL22+1</f>
        <v>63</v>
      </c>
      <c r="BN22" s="0" t="n">
        <f aca="false">BM22+1</f>
        <v>64</v>
      </c>
      <c r="BO22" s="0" t="n">
        <f aca="false">BN22+1</f>
        <v>65</v>
      </c>
      <c r="BP22" s="0" t="n">
        <f aca="false">BO22+1</f>
        <v>66</v>
      </c>
      <c r="BQ22" s="0" t="n">
        <f aca="false">BP22+1</f>
        <v>67</v>
      </c>
      <c r="BR22" s="0" t="n">
        <f aca="false">BQ22+1</f>
        <v>68</v>
      </c>
      <c r="BS22" s="0" t="n">
        <f aca="false">BR22+1</f>
        <v>69</v>
      </c>
      <c r="BT22" s="0" t="n">
        <f aca="false">BS22+1</f>
        <v>70</v>
      </c>
      <c r="BU22" s="0" t="n">
        <f aca="false">BT22+1</f>
        <v>71</v>
      </c>
      <c r="BV22" s="0" t="n">
        <f aca="false">BU22+1</f>
        <v>72</v>
      </c>
      <c r="BW22" s="0" t="n">
        <f aca="false">BV22+1</f>
        <v>73</v>
      </c>
      <c r="BX22" s="0" t="n">
        <f aca="false">BW22+1</f>
        <v>74</v>
      </c>
      <c r="BY22" s="0" t="n">
        <f aca="false">BX22+1</f>
        <v>75</v>
      </c>
      <c r="BZ22" s="0" t="n">
        <f aca="false">BY22+1</f>
        <v>76</v>
      </c>
      <c r="CA22" s="0" t="n">
        <f aca="false">BZ22+1</f>
        <v>77</v>
      </c>
      <c r="CB22" s="0" t="n">
        <f aca="false">CA22+1</f>
        <v>78</v>
      </c>
      <c r="CC22" s="0" t="n">
        <f aca="false">CB22+1</f>
        <v>79</v>
      </c>
      <c r="CD22" s="0" t="n">
        <f aca="false">CC22+1</f>
        <v>80</v>
      </c>
      <c r="CE22" s="0" t="n">
        <f aca="false">CD22+1</f>
        <v>81</v>
      </c>
      <c r="CF22" s="0" t="n">
        <f aca="false">CE22+1</f>
        <v>82</v>
      </c>
      <c r="CG22" s="0" t="n">
        <f aca="false">CF22+1</f>
        <v>83</v>
      </c>
      <c r="CH22" s="0" t="n">
        <f aca="false">CG22+1</f>
        <v>84</v>
      </c>
      <c r="CI22" s="0" t="n">
        <f aca="false">CH22+1</f>
        <v>85</v>
      </c>
      <c r="CJ22" s="0" t="n">
        <f aca="false">CI22+1</f>
        <v>86</v>
      </c>
      <c r="CK22" s="0" t="n">
        <f aca="false">CJ22+1</f>
        <v>87</v>
      </c>
      <c r="CL22" s="0" t="n">
        <f aca="false">CK22+1</f>
        <v>88</v>
      </c>
      <c r="CM22" s="0" t="n">
        <f aca="false">CL22+1</f>
        <v>89</v>
      </c>
      <c r="CN22" s="0" t="n">
        <f aca="false">CM22+1</f>
        <v>90</v>
      </c>
      <c r="CO22" s="0" t="n">
        <f aca="false">CN22+1</f>
        <v>91</v>
      </c>
      <c r="CP22" s="0" t="n">
        <f aca="false">CO22+1</f>
        <v>92</v>
      </c>
      <c r="CQ22" s="0" t="n">
        <f aca="false">CP22+1</f>
        <v>93</v>
      </c>
      <c r="CR22" s="0" t="n">
        <f aca="false">CQ22+1</f>
        <v>94</v>
      </c>
      <c r="CS22" s="0" t="n">
        <f aca="false">CR22+1</f>
        <v>95</v>
      </c>
      <c r="CT22" s="0" t="n">
        <f aca="false">CS22+1</f>
        <v>96</v>
      </c>
      <c r="CU22" s="0" t="n">
        <f aca="false">CT22+1</f>
        <v>97</v>
      </c>
      <c r="CV22" s="0" t="n">
        <f aca="false">CU22+1</f>
        <v>98</v>
      </c>
      <c r="CW22" s="0" t="n">
        <f aca="false">CV22+1</f>
        <v>99</v>
      </c>
      <c r="CX22" s="0" t="n">
        <f aca="false">CW22+1</f>
        <v>100</v>
      </c>
      <c r="CY22" s="0" t="n">
        <f aca="false">CX22+1</f>
        <v>101</v>
      </c>
      <c r="CZ22" s="0" t="n">
        <f aca="false">CY22+1</f>
        <v>102</v>
      </c>
      <c r="DA22" s="0" t="n">
        <f aca="false">CZ22+1</f>
        <v>103</v>
      </c>
      <c r="DB22" s="0" t="n">
        <f aca="false">DA22+1</f>
        <v>104</v>
      </c>
      <c r="DC22" s="0" t="n">
        <f aca="false">DB22+1</f>
        <v>105</v>
      </c>
      <c r="DD22" s="0" t="n">
        <f aca="false">DC22+1</f>
        <v>106</v>
      </c>
      <c r="DE22" s="0" t="n">
        <f aca="false">DD22+1</f>
        <v>107</v>
      </c>
      <c r="DF22" s="0" t="n">
        <f aca="false">DE22+1</f>
        <v>108</v>
      </c>
      <c r="DG22" s="0" t="n">
        <f aca="false">DF22+1</f>
        <v>109</v>
      </c>
      <c r="DH22" s="0" t="n">
        <f aca="false">DG22+1</f>
        <v>110</v>
      </c>
      <c r="DI22" s="0" t="n">
        <f aca="false">DH22+1</f>
        <v>111</v>
      </c>
      <c r="DJ22" s="0" t="n">
        <f aca="false">DI22+1</f>
        <v>112</v>
      </c>
      <c r="DK22" s="0" t="n">
        <f aca="false">DJ22+1</f>
        <v>113</v>
      </c>
      <c r="DO22" s="0" t="n">
        <f aca="false">DK22+1</f>
        <v>114</v>
      </c>
      <c r="DP22" s="0" t="n">
        <f aca="false">DO22+1</f>
        <v>115</v>
      </c>
      <c r="DQ22" s="0" t="n">
        <f aca="false">DP22+1</f>
        <v>116</v>
      </c>
      <c r="DR22" s="0" t="n">
        <f aca="false">DQ22+1</f>
        <v>117</v>
      </c>
      <c r="DS22" s="0" t="n">
        <f aca="false">DR22+1</f>
        <v>118</v>
      </c>
    </row>
    <row r="23" customFormat="false" ht="25.5" hidden="false" customHeight="true" outlineLevel="0" collapsed="false">
      <c r="B23" s="655" t="s">
        <v>2317</v>
      </c>
      <c r="U23" s="0" t="s">
        <v>2318</v>
      </c>
      <c r="V23" s="0" t="s">
        <v>2319</v>
      </c>
      <c r="W23" s="0" t="s">
        <v>2320</v>
      </c>
      <c r="AJ23" s="656" t="s">
        <v>2321</v>
      </c>
      <c r="AK23" s="106"/>
      <c r="AR23" s="161" t="s">
        <v>101</v>
      </c>
      <c r="AX23" s="167" t="s">
        <v>328</v>
      </c>
      <c r="BC23" s="318" t="s">
        <v>366</v>
      </c>
      <c r="BH23" s="657"/>
      <c r="BI23" s="657"/>
      <c r="BJ23" s="657"/>
      <c r="BK23" s="657"/>
      <c r="BL23" s="657"/>
      <c r="BM23" s="657"/>
      <c r="DJ23" s="285"/>
      <c r="DK23" s="285"/>
      <c r="DL23" s="285"/>
      <c r="DM23" s="285"/>
      <c r="DN23" s="285"/>
      <c r="DO23" s="285"/>
    </row>
    <row r="24" customFormat="false" ht="15.75" hidden="false" customHeight="false" outlineLevel="0" collapsed="false">
      <c r="B24" s="658" t="s">
        <v>2322</v>
      </c>
      <c r="C24" s="659"/>
      <c r="D24" s="659"/>
      <c r="E24" s="659"/>
      <c r="F24" s="659"/>
      <c r="G24" s="659"/>
      <c r="H24" s="659"/>
      <c r="I24" s="660" t="s">
        <v>378</v>
      </c>
      <c r="J24" s="660" t="s">
        <v>375</v>
      </c>
      <c r="K24" s="660" t="s">
        <v>376</v>
      </c>
      <c r="L24" s="661" t="s">
        <v>380</v>
      </c>
      <c r="M24" s="661"/>
      <c r="N24" s="661"/>
      <c r="O24" s="661"/>
      <c r="P24" s="661"/>
      <c r="Q24" s="661"/>
      <c r="R24" s="662" t="s">
        <v>2323</v>
      </c>
      <c r="S24" s="659"/>
      <c r="T24" s="663" t="s">
        <v>383</v>
      </c>
      <c r="U24" s="664" t="n">
        <f aca="false">V26*V24/100</f>
        <v>950.55942368263</v>
      </c>
      <c r="V24" s="664" t="n">
        <f aca="false">611.21*EXP((18.678-U26/234.5)*U26/(257.14+U26))</f>
        <v>3168.53141227543</v>
      </c>
      <c r="W24" s="661" t="n">
        <f aca="false">(V24-U24)/1000</f>
        <v>2.2179719885928</v>
      </c>
      <c r="X24" s="661"/>
      <c r="Y24" s="661"/>
      <c r="Z24" s="661" t="s">
        <v>2324</v>
      </c>
      <c r="AA24" s="661"/>
      <c r="AB24" s="661"/>
      <c r="AC24" s="661"/>
      <c r="AD24" s="243" t="s">
        <v>182</v>
      </c>
      <c r="AE24" s="244"/>
      <c r="AF24" s="244"/>
      <c r="AG24" s="244"/>
      <c r="AH24" s="244"/>
      <c r="AI24" s="665"/>
      <c r="AJ24" s="147" t="s">
        <v>428</v>
      </c>
      <c r="AK24" s="147" t="s">
        <v>430</v>
      </c>
      <c r="AL24" s="569" t="s">
        <v>2325</v>
      </c>
      <c r="AM24" s="570"/>
      <c r="AN24" s="666"/>
      <c r="AO24" s="147" t="s">
        <v>433</v>
      </c>
      <c r="AP24" s="147" t="s">
        <v>434</v>
      </c>
      <c r="AQ24" s="147" t="s">
        <v>435</v>
      </c>
      <c r="AR24" s="161" t="s">
        <v>415</v>
      </c>
      <c r="AS24" s="161" t="s">
        <v>416</v>
      </c>
      <c r="AT24" s="161" t="s">
        <v>2326</v>
      </c>
      <c r="AU24" s="243" t="s">
        <v>417</v>
      </c>
      <c r="AV24" s="243" t="s">
        <v>418</v>
      </c>
      <c r="AW24" s="243" t="s">
        <v>2327</v>
      </c>
      <c r="AX24" s="167" t="s">
        <v>416</v>
      </c>
      <c r="AY24" s="167" t="s">
        <v>2326</v>
      </c>
      <c r="AZ24" s="245" t="s">
        <v>417</v>
      </c>
      <c r="BA24" s="245" t="s">
        <v>418</v>
      </c>
      <c r="BB24" s="245" t="s">
        <v>2328</v>
      </c>
      <c r="BC24" s="318" t="s">
        <v>416</v>
      </c>
      <c r="BD24" s="318" t="s">
        <v>2326</v>
      </c>
      <c r="BE24" s="247" t="s">
        <v>417</v>
      </c>
      <c r="BF24" s="247" t="s">
        <v>418</v>
      </c>
      <c r="BG24" s="658" t="s">
        <v>2329</v>
      </c>
      <c r="BH24" s="659"/>
      <c r="BI24" s="659"/>
      <c r="BJ24" s="659"/>
      <c r="BK24" s="659"/>
      <c r="BL24" s="659"/>
      <c r="BM24" s="659"/>
      <c r="BN24" s="659"/>
      <c r="BO24" s="659"/>
      <c r="BP24" s="659"/>
      <c r="BQ24" s="659"/>
      <c r="BR24" s="667" t="s">
        <v>358</v>
      </c>
      <c r="BS24" s="667"/>
      <c r="BT24" s="575" t="s">
        <v>461</v>
      </c>
      <c r="BU24" s="576"/>
      <c r="BV24" s="576"/>
      <c r="BW24" s="577"/>
      <c r="BX24" s="243" t="s">
        <v>2330</v>
      </c>
      <c r="BY24" s="243" t="s">
        <v>395</v>
      </c>
      <c r="BZ24" s="243"/>
      <c r="CA24" s="243"/>
      <c r="CB24" s="243" t="s">
        <v>397</v>
      </c>
      <c r="CC24" s="668" t="s">
        <v>2331</v>
      </c>
      <c r="CD24" s="669"/>
      <c r="CE24" s="669"/>
      <c r="CF24" s="669"/>
      <c r="CG24" s="669" t="s">
        <v>451</v>
      </c>
      <c r="CH24" s="669"/>
      <c r="CI24" s="669"/>
      <c r="CJ24" s="670"/>
      <c r="CK24" s="98" t="s">
        <v>2332</v>
      </c>
      <c r="CL24" s="98" t="s">
        <v>2333</v>
      </c>
      <c r="CM24" s="571"/>
      <c r="CN24" s="572"/>
      <c r="CO24" s="571" t="s">
        <v>2334</v>
      </c>
      <c r="CP24" s="571"/>
      <c r="CQ24" s="571"/>
      <c r="CR24" s="572"/>
      <c r="CS24" s="671" t="s">
        <v>456</v>
      </c>
      <c r="CT24" s="672"/>
      <c r="CU24" s="672"/>
      <c r="CV24" s="673"/>
      <c r="CW24" s="674" t="s">
        <v>457</v>
      </c>
      <c r="CX24" s="573"/>
      <c r="CY24" s="573"/>
      <c r="CZ24" s="574"/>
      <c r="DA24" s="675" t="s">
        <v>2335</v>
      </c>
      <c r="DB24" s="676" t="s">
        <v>467</v>
      </c>
      <c r="DC24" s="676"/>
      <c r="DD24" s="676"/>
      <c r="DE24" s="676"/>
      <c r="DF24" s="676"/>
      <c r="DG24" s="676"/>
      <c r="DH24" s="677"/>
      <c r="DI24" s="562"/>
      <c r="DJ24" s="562" t="s">
        <v>466</v>
      </c>
      <c r="DK24" s="562" t="s">
        <v>2336</v>
      </c>
    </row>
    <row r="25" customFormat="false" ht="15.75" hidden="false" customHeight="false" outlineLevel="0" collapsed="false">
      <c r="B25" s="678" t="s">
        <v>2337</v>
      </c>
      <c r="C25" s="678" t="s">
        <v>477</v>
      </c>
      <c r="D25" s="678" t="s">
        <v>479</v>
      </c>
      <c r="E25" s="678" t="s">
        <v>578</v>
      </c>
      <c r="F25" s="679" t="s">
        <v>607</v>
      </c>
      <c r="G25" s="679" t="s">
        <v>485</v>
      </c>
      <c r="H25" s="678" t="s">
        <v>2338</v>
      </c>
      <c r="I25" s="183" t="s">
        <v>378</v>
      </c>
      <c r="J25" s="183" t="s">
        <v>481</v>
      </c>
      <c r="K25" s="183" t="s">
        <v>483</v>
      </c>
      <c r="L25" s="680" t="s">
        <v>242</v>
      </c>
      <c r="M25" s="680" t="s">
        <v>488</v>
      </c>
      <c r="N25" s="680" t="s">
        <v>489</v>
      </c>
      <c r="O25" s="680" t="s">
        <v>490</v>
      </c>
      <c r="P25" s="680" t="s">
        <v>491</v>
      </c>
      <c r="Q25" s="680" t="s">
        <v>2339</v>
      </c>
      <c r="R25" s="678" t="s">
        <v>2340</v>
      </c>
      <c r="S25" s="143" t="s">
        <v>2341</v>
      </c>
      <c r="T25" s="681" t="s">
        <v>496</v>
      </c>
      <c r="U25" s="681" t="s">
        <v>497</v>
      </c>
      <c r="V25" s="681" t="s">
        <v>498</v>
      </c>
      <c r="W25" s="681" t="s">
        <v>499</v>
      </c>
      <c r="X25" s="681" t="s">
        <v>500</v>
      </c>
      <c r="Y25" s="681" t="s">
        <v>501</v>
      </c>
      <c r="Z25" s="682" t="s">
        <v>504</v>
      </c>
      <c r="AA25" s="681" t="s">
        <v>505</v>
      </c>
      <c r="AB25" s="681" t="s">
        <v>506</v>
      </c>
      <c r="AC25" s="681" t="s">
        <v>507</v>
      </c>
      <c r="AD25" s="161" t="s">
        <v>2342</v>
      </c>
      <c r="AE25" s="161" t="s">
        <v>2343</v>
      </c>
      <c r="AF25" s="161" t="s">
        <v>2344</v>
      </c>
      <c r="AG25" s="161" t="s">
        <v>2128</v>
      </c>
      <c r="AH25" s="161" t="s">
        <v>2345</v>
      </c>
      <c r="AI25" s="161" t="s">
        <v>514</v>
      </c>
      <c r="AJ25" s="147" t="s">
        <v>530</v>
      </c>
      <c r="AK25" s="147" t="s">
        <v>2346</v>
      </c>
      <c r="AL25" s="683" t="s">
        <v>2347</v>
      </c>
      <c r="AM25" s="147" t="s">
        <v>564</v>
      </c>
      <c r="AN25" s="147" t="s">
        <v>565</v>
      </c>
      <c r="AO25" s="147" t="s">
        <v>566</v>
      </c>
      <c r="AP25" s="569" t="s">
        <v>567</v>
      </c>
      <c r="AQ25" s="569" t="s">
        <v>568</v>
      </c>
      <c r="AR25" s="161" t="s">
        <v>37</v>
      </c>
      <c r="AS25" s="161" t="s">
        <v>466</v>
      </c>
      <c r="AT25" s="161" t="s">
        <v>541</v>
      </c>
      <c r="AU25" s="161" t="s">
        <v>529</v>
      </c>
      <c r="AV25" s="161" t="s">
        <v>529</v>
      </c>
      <c r="AW25" s="161" t="s">
        <v>545</v>
      </c>
      <c r="AX25" s="167" t="s">
        <v>466</v>
      </c>
      <c r="AY25" s="167" t="s">
        <v>541</v>
      </c>
      <c r="AZ25" s="167" t="s">
        <v>529</v>
      </c>
      <c r="BA25" s="167" t="s">
        <v>529</v>
      </c>
      <c r="BB25" s="167" t="s">
        <v>529</v>
      </c>
      <c r="BC25" s="318" t="s">
        <v>466</v>
      </c>
      <c r="BD25" s="318" t="s">
        <v>541</v>
      </c>
      <c r="BE25" s="318" t="s">
        <v>529</v>
      </c>
      <c r="BF25" s="318" t="s">
        <v>529</v>
      </c>
      <c r="BG25" s="183" t="s">
        <v>2348</v>
      </c>
      <c r="BH25" s="183" t="s">
        <v>2349</v>
      </c>
      <c r="BI25" s="183" t="s">
        <v>2350</v>
      </c>
      <c r="BJ25" s="183" t="s">
        <v>2351</v>
      </c>
      <c r="BK25" s="183" t="s">
        <v>586</v>
      </c>
      <c r="BL25" s="183" t="s">
        <v>587</v>
      </c>
      <c r="BM25" s="183" t="s">
        <v>588</v>
      </c>
      <c r="BN25" s="183" t="s">
        <v>2352</v>
      </c>
      <c r="BO25" s="183" t="s">
        <v>2353</v>
      </c>
      <c r="BP25" s="183" t="s">
        <v>2354</v>
      </c>
      <c r="BQ25" s="183" t="s">
        <v>2355</v>
      </c>
      <c r="BR25" s="465" t="s">
        <v>646</v>
      </c>
      <c r="BS25" s="465" t="s">
        <v>647</v>
      </c>
      <c r="BT25" s="71" t="s">
        <v>640</v>
      </c>
      <c r="BU25" s="71" t="s">
        <v>641</v>
      </c>
      <c r="BV25" s="71" t="s">
        <v>642</v>
      </c>
      <c r="BW25" s="71" t="s">
        <v>643</v>
      </c>
      <c r="BX25" s="161" t="s">
        <v>2356</v>
      </c>
      <c r="BY25" s="161" t="s">
        <v>518</v>
      </c>
      <c r="BZ25" s="161" t="s">
        <v>519</v>
      </c>
      <c r="CA25" s="161" t="s">
        <v>520</v>
      </c>
      <c r="CB25" s="161" t="s">
        <v>521</v>
      </c>
      <c r="CC25" s="629" t="s">
        <v>2357</v>
      </c>
      <c r="CD25" s="629" t="s">
        <v>2358</v>
      </c>
      <c r="CE25" s="629" t="s">
        <v>2359</v>
      </c>
      <c r="CF25" s="629" t="s">
        <v>2360</v>
      </c>
      <c r="CG25" s="139" t="s">
        <v>2361</v>
      </c>
      <c r="CH25" s="139" t="s">
        <v>2362</v>
      </c>
      <c r="CI25" s="139" t="s">
        <v>2363</v>
      </c>
      <c r="CJ25" s="139" t="s">
        <v>2364</v>
      </c>
      <c r="CK25" s="90" t="s">
        <v>2365</v>
      </c>
      <c r="CL25" s="90" t="s">
        <v>2366</v>
      </c>
      <c r="CM25" s="90" t="s">
        <v>2367</v>
      </c>
      <c r="CN25" s="90" t="s">
        <v>2368</v>
      </c>
      <c r="CO25" s="147" t="s">
        <v>2369</v>
      </c>
      <c r="CP25" s="147" t="s">
        <v>2370</v>
      </c>
      <c r="CQ25" s="147" t="s">
        <v>2371</v>
      </c>
      <c r="CR25" s="147" t="s">
        <v>2372</v>
      </c>
      <c r="CS25" s="469" t="s">
        <v>2373</v>
      </c>
      <c r="CT25" s="469" t="s">
        <v>2374</v>
      </c>
      <c r="CU25" s="469" t="s">
        <v>2375</v>
      </c>
      <c r="CV25" s="469" t="s">
        <v>2376</v>
      </c>
      <c r="CW25" s="466" t="s">
        <v>2377</v>
      </c>
      <c r="CX25" s="466" t="s">
        <v>2378</v>
      </c>
      <c r="CY25" s="466" t="s">
        <v>2379</v>
      </c>
      <c r="CZ25" s="466" t="s">
        <v>2380</v>
      </c>
      <c r="DA25" s="675" t="s">
        <v>2381</v>
      </c>
      <c r="DB25" s="684" t="s">
        <v>2382</v>
      </c>
      <c r="DC25" s="685" t="s">
        <v>2383</v>
      </c>
      <c r="DD25" s="684" t="s">
        <v>2384</v>
      </c>
      <c r="DE25" s="684" t="s">
        <v>2385</v>
      </c>
      <c r="DF25" s="684" t="s">
        <v>2386</v>
      </c>
      <c r="DG25" s="684" t="s">
        <v>2387</v>
      </c>
      <c r="DH25" s="684" t="s">
        <v>2388</v>
      </c>
      <c r="DI25" s="684" t="s">
        <v>2389</v>
      </c>
      <c r="DJ25" s="686" t="s">
        <v>2390</v>
      </c>
      <c r="DK25" s="686" t="s">
        <v>2391</v>
      </c>
      <c r="DS25" s="106"/>
    </row>
    <row r="26" s="687" customFormat="true" ht="15.75" hidden="false" customHeight="false" outlineLevel="0" collapsed="false">
      <c r="A26" s="119" t="s">
        <v>2392</v>
      </c>
      <c r="B26" s="687" t="n">
        <v>0</v>
      </c>
      <c r="C26" s="687" t="n">
        <v>1</v>
      </c>
      <c r="D26" s="687" t="n">
        <v>1</v>
      </c>
      <c r="E26" s="687" t="n">
        <v>0</v>
      </c>
      <c r="F26" s="687" t="n">
        <v>0</v>
      </c>
      <c r="G26" s="687" t="n">
        <v>0</v>
      </c>
      <c r="H26" s="687" t="n">
        <v>1</v>
      </c>
      <c r="I26" s="687" t="n">
        <v>0</v>
      </c>
      <c r="J26" s="687" t="n">
        <v>0.01</v>
      </c>
      <c r="K26" s="426" t="n">
        <v>24</v>
      </c>
      <c r="L26" s="687" t="n">
        <v>0</v>
      </c>
      <c r="M26" s="687" t="n">
        <v>1</v>
      </c>
      <c r="N26" s="687" t="n">
        <v>0</v>
      </c>
      <c r="O26" s="687" t="n">
        <v>0</v>
      </c>
      <c r="P26" s="687" t="n">
        <v>0</v>
      </c>
      <c r="Q26" s="687" t="n">
        <v>0</v>
      </c>
      <c r="R26" s="687" t="n">
        <v>2</v>
      </c>
      <c r="S26" s="687" t="n">
        <v>5</v>
      </c>
      <c r="T26" s="426" t="n">
        <v>15</v>
      </c>
      <c r="U26" s="426" t="n">
        <v>25</v>
      </c>
      <c r="V26" s="426" t="n">
        <v>30</v>
      </c>
      <c r="W26" s="426" t="n">
        <v>80</v>
      </c>
      <c r="X26" s="426" t="n">
        <v>1500</v>
      </c>
      <c r="Y26" s="426" t="n">
        <v>1</v>
      </c>
      <c r="Z26" s="687" t="n">
        <v>0</v>
      </c>
      <c r="AA26" s="426" t="n">
        <v>0</v>
      </c>
      <c r="AB26" s="426" t="n">
        <v>0</v>
      </c>
      <c r="AC26" s="426" t="n">
        <v>15</v>
      </c>
      <c r="AD26" s="687" t="n">
        <v>0.459</v>
      </c>
      <c r="AE26" s="687" t="n">
        <v>0.098</v>
      </c>
      <c r="AF26" s="687" t="n">
        <v>0.015</v>
      </c>
      <c r="AG26" s="687" t="n">
        <v>1.253</v>
      </c>
      <c r="AH26" s="687" t="n">
        <v>1.69</v>
      </c>
      <c r="AI26" s="687" t="n">
        <v>0.5</v>
      </c>
      <c r="AJ26" s="687" t="n">
        <v>50</v>
      </c>
      <c r="AK26" s="687" t="n">
        <v>0.5</v>
      </c>
      <c r="AL26" s="687" t="n">
        <v>0</v>
      </c>
      <c r="AM26" s="687" t="n">
        <v>-1.5</v>
      </c>
      <c r="AN26" s="687" t="n">
        <v>100</v>
      </c>
      <c r="AO26" s="687" t="n">
        <v>100</v>
      </c>
      <c r="AP26" s="687" t="n">
        <v>0.25</v>
      </c>
      <c r="AQ26" s="426" t="n">
        <v>100</v>
      </c>
      <c r="AR26" s="687" t="n">
        <v>10</v>
      </c>
      <c r="AS26" s="426" t="n">
        <v>0.3</v>
      </c>
      <c r="AT26" s="439" t="n">
        <v>0.006516</v>
      </c>
      <c r="AU26" s="426" t="n">
        <v>0.2</v>
      </c>
      <c r="AV26" s="426" t="n">
        <v>0.35</v>
      </c>
      <c r="AW26" s="426" t="n">
        <v>700</v>
      </c>
      <c r="AX26" s="426" t="n">
        <v>1</v>
      </c>
      <c r="AY26" s="439" t="n">
        <v>0.01596</v>
      </c>
      <c r="AZ26" s="426" t="n">
        <v>0.2</v>
      </c>
      <c r="BA26" s="426" t="n">
        <v>0.35</v>
      </c>
      <c r="BB26" s="426" t="n">
        <v>0.5</v>
      </c>
      <c r="BC26" s="426" t="n">
        <v>1</v>
      </c>
      <c r="BD26" s="439" t="n">
        <v>0.00532</v>
      </c>
      <c r="BE26" s="426" t="n">
        <v>0.2</v>
      </c>
      <c r="BF26" s="426" t="n">
        <v>0.35</v>
      </c>
      <c r="BG26" s="426" t="n">
        <v>300</v>
      </c>
      <c r="BH26" s="426" t="n">
        <v>10</v>
      </c>
      <c r="BI26" s="426" t="n">
        <v>0.004</v>
      </c>
      <c r="BJ26" s="426" t="n">
        <v>2</v>
      </c>
      <c r="BK26" s="426" t="n">
        <v>35</v>
      </c>
      <c r="BL26" s="426" t="n">
        <v>1.2</v>
      </c>
      <c r="BM26" s="426" t="n">
        <f aca="false">BL26*4</f>
        <v>4.8</v>
      </c>
      <c r="BN26" s="426" t="n">
        <v>1</v>
      </c>
      <c r="BO26" s="426" t="n">
        <v>1</v>
      </c>
      <c r="BP26" s="426" t="n">
        <v>1</v>
      </c>
      <c r="BQ26" s="426" t="n">
        <v>1</v>
      </c>
      <c r="BR26" s="142" t="n">
        <v>2.35E-007</v>
      </c>
      <c r="BS26" s="440" t="n">
        <v>0.9</v>
      </c>
      <c r="BT26" s="440" t="n">
        <v>0.01</v>
      </c>
      <c r="BU26" s="440" t="n">
        <v>0.01</v>
      </c>
      <c r="BV26" s="440" t="n">
        <v>0.01</v>
      </c>
      <c r="BW26" s="440" t="n">
        <v>0.01</v>
      </c>
      <c r="BX26" s="442" t="n">
        <v>0.05</v>
      </c>
      <c r="BY26" s="442" t="n">
        <v>1</v>
      </c>
      <c r="BZ26" s="442" t="n">
        <v>1</v>
      </c>
      <c r="CA26" s="442" t="n">
        <v>1</v>
      </c>
      <c r="CB26" s="442" t="n">
        <v>4</v>
      </c>
      <c r="CC26" s="442" t="n">
        <v>7.55</v>
      </c>
      <c r="CD26" s="442" t="n">
        <v>15</v>
      </c>
      <c r="CE26" s="442" t="n">
        <v>15</v>
      </c>
      <c r="CF26" s="442" t="n">
        <v>15</v>
      </c>
      <c r="CG26" s="688" t="n">
        <v>-1.0725</v>
      </c>
      <c r="CH26" s="442" t="n">
        <v>-1.5</v>
      </c>
      <c r="CI26" s="442" t="n">
        <v>-1.5</v>
      </c>
      <c r="CJ26" s="442" t="n">
        <v>-1.5</v>
      </c>
      <c r="CK26" s="442" t="n">
        <v>15</v>
      </c>
      <c r="CL26" s="440" t="n">
        <v>500000</v>
      </c>
      <c r="CM26" s="440" t="n">
        <v>1000000</v>
      </c>
      <c r="CN26" s="440" t="n">
        <v>1500000</v>
      </c>
      <c r="CO26" s="442" t="n">
        <v>7</v>
      </c>
      <c r="CP26" s="442" t="n">
        <v>488.7</v>
      </c>
      <c r="CQ26" s="442" t="n">
        <v>200</v>
      </c>
      <c r="CR26" s="442" t="n">
        <v>200</v>
      </c>
      <c r="CS26" s="687" t="n">
        <v>-2</v>
      </c>
      <c r="CT26" s="687" t="n">
        <v>-2</v>
      </c>
      <c r="CU26" s="687" t="n">
        <v>-2</v>
      </c>
      <c r="CV26" s="687" t="n">
        <v>-2</v>
      </c>
      <c r="CW26" s="687" t="n">
        <v>200</v>
      </c>
      <c r="CX26" s="687" t="n">
        <v>200</v>
      </c>
      <c r="CY26" s="687" t="n">
        <v>200</v>
      </c>
      <c r="CZ26" s="687" t="n">
        <v>200</v>
      </c>
      <c r="DA26" s="687" t="n">
        <v>1</v>
      </c>
      <c r="DB26" s="440" t="n">
        <v>0.01</v>
      </c>
      <c r="DC26" s="440" t="n">
        <v>0.01</v>
      </c>
      <c r="DD26" s="440" t="n">
        <v>7.55</v>
      </c>
      <c r="DE26" s="439" t="n">
        <v>-1.25</v>
      </c>
      <c r="DF26" s="689" t="n">
        <v>-2</v>
      </c>
      <c r="DG26" s="689" t="n">
        <v>100</v>
      </c>
      <c r="DH26" s="689" t="n">
        <v>1</v>
      </c>
      <c r="DI26" s="440" t="n">
        <v>0.01</v>
      </c>
      <c r="DJ26" s="690" t="n">
        <v>0.003</v>
      </c>
      <c r="DK26" s="689" t="n">
        <v>0.5</v>
      </c>
      <c r="DL26" s="691"/>
      <c r="DM26" s="691"/>
      <c r="DN26" s="691"/>
      <c r="DX26" s="692"/>
      <c r="DY26" s="693"/>
      <c r="DZ26" s="688"/>
      <c r="EB26" s="688"/>
      <c r="EC26" s="688"/>
      <c r="ED26" s="688"/>
      <c r="EE26" s="688"/>
      <c r="EJ26" s="688"/>
      <c r="EK26" s="688"/>
      <c r="EL26" s="688"/>
      <c r="EM26" s="688"/>
      <c r="EN26" s="688"/>
      <c r="EO26" s="688"/>
      <c r="EP26" s="688"/>
      <c r="EQ26" s="688"/>
      <c r="ER26" s="688"/>
      <c r="ES26" s="688"/>
      <c r="ET26" s="688"/>
      <c r="EU26" s="688"/>
      <c r="EV26" s="688"/>
      <c r="EW26" s="688"/>
      <c r="EX26" s="688"/>
      <c r="EY26" s="688"/>
      <c r="EZ26" s="692"/>
      <c r="FA26" s="692"/>
      <c r="FB26" s="692"/>
      <c r="FC26" s="692"/>
      <c r="FD26" s="692"/>
      <c r="FE26" s="692"/>
      <c r="FF26" s="692"/>
      <c r="FG26" s="691"/>
    </row>
    <row r="27" s="687" customFormat="true" ht="15.75" hidden="false" customHeight="false" outlineLevel="0" collapsed="false">
      <c r="A27" s="119" t="s">
        <v>2393</v>
      </c>
      <c r="B27" s="687" t="n">
        <v>0</v>
      </c>
      <c r="C27" s="687" t="n">
        <v>1</v>
      </c>
      <c r="D27" s="687" t="n">
        <v>1</v>
      </c>
      <c r="E27" s="687" t="n">
        <v>0</v>
      </c>
      <c r="F27" s="687" t="n">
        <v>0</v>
      </c>
      <c r="G27" s="687" t="n">
        <v>0</v>
      </c>
      <c r="H27" s="687" t="n">
        <v>1</v>
      </c>
      <c r="I27" s="687" t="n">
        <v>0</v>
      </c>
      <c r="J27" s="687" t="n">
        <v>0.01</v>
      </c>
      <c r="K27" s="426" t="n">
        <v>24</v>
      </c>
      <c r="L27" s="687" t="n">
        <v>0</v>
      </c>
      <c r="M27" s="687" t="n">
        <v>1</v>
      </c>
      <c r="N27" s="687" t="n">
        <v>0</v>
      </c>
      <c r="O27" s="687" t="n">
        <v>0</v>
      </c>
      <c r="P27" s="687" t="n">
        <v>0</v>
      </c>
      <c r="Q27" s="687" t="n">
        <v>0</v>
      </c>
      <c r="R27" s="687" t="n">
        <v>2</v>
      </c>
      <c r="S27" s="687" t="n">
        <v>5</v>
      </c>
      <c r="T27" s="426" t="n">
        <v>15</v>
      </c>
      <c r="U27" s="426" t="n">
        <v>25</v>
      </c>
      <c r="V27" s="426" t="n">
        <v>30</v>
      </c>
      <c r="W27" s="426" t="n">
        <v>80</v>
      </c>
      <c r="X27" s="426" t="n">
        <v>1500</v>
      </c>
      <c r="Y27" s="426" t="n">
        <v>1</v>
      </c>
      <c r="Z27" s="687" t="n">
        <v>0</v>
      </c>
      <c r="AA27" s="426" t="n">
        <v>0</v>
      </c>
      <c r="AB27" s="426" t="n">
        <v>0</v>
      </c>
      <c r="AC27" s="426" t="n">
        <v>15</v>
      </c>
      <c r="AD27" s="687" t="n">
        <v>0.459</v>
      </c>
      <c r="AE27" s="687" t="n">
        <v>0.098</v>
      </c>
      <c r="AF27" s="687" t="n">
        <v>0.015</v>
      </c>
      <c r="AG27" s="687" t="n">
        <v>1.253</v>
      </c>
      <c r="AH27" s="687" t="n">
        <v>1.69</v>
      </c>
      <c r="AI27" s="687" t="n">
        <v>0.5</v>
      </c>
      <c r="AJ27" s="687" t="n">
        <v>50</v>
      </c>
      <c r="AK27" s="687" t="n">
        <v>0.5</v>
      </c>
      <c r="AL27" s="687" t="n">
        <v>0</v>
      </c>
      <c r="AM27" s="687" t="n">
        <v>-1.5</v>
      </c>
      <c r="AN27" s="687" t="n">
        <v>100</v>
      </c>
      <c r="AO27" s="687" t="n">
        <v>100</v>
      </c>
      <c r="AP27" s="687" t="n">
        <v>0.25</v>
      </c>
      <c r="AQ27" s="426" t="n">
        <v>100</v>
      </c>
      <c r="AR27" s="687" t="n">
        <v>10</v>
      </c>
      <c r="AS27" s="426" t="n">
        <v>0.3</v>
      </c>
      <c r="AT27" s="439" t="n">
        <v>0.006516</v>
      </c>
      <c r="AU27" s="426" t="n">
        <v>0.2</v>
      </c>
      <c r="AV27" s="426" t="n">
        <v>0.35</v>
      </c>
      <c r="AW27" s="426" t="n">
        <v>700</v>
      </c>
      <c r="AX27" s="426" t="n">
        <v>1</v>
      </c>
      <c r="AY27" s="439" t="n">
        <v>0.01596</v>
      </c>
      <c r="AZ27" s="426" t="n">
        <v>0.2</v>
      </c>
      <c r="BA27" s="426" t="n">
        <v>0.35</v>
      </c>
      <c r="BB27" s="426" t="n">
        <v>0.5</v>
      </c>
      <c r="BC27" s="426" t="n">
        <v>1</v>
      </c>
      <c r="BD27" s="439" t="n">
        <v>0.00532</v>
      </c>
      <c r="BE27" s="426" t="n">
        <v>0.2</v>
      </c>
      <c r="BF27" s="426" t="n">
        <v>0.35</v>
      </c>
      <c r="BG27" s="691" t="n">
        <v>165</v>
      </c>
      <c r="BH27" s="426" t="n">
        <v>10</v>
      </c>
      <c r="BI27" s="426" t="n">
        <v>0.004</v>
      </c>
      <c r="BJ27" s="426" t="n">
        <v>2</v>
      </c>
      <c r="BK27" s="426" t="n">
        <v>35</v>
      </c>
      <c r="BL27" s="426" t="n">
        <v>1.2</v>
      </c>
      <c r="BM27" s="426" t="n">
        <f aca="false">BL27*4</f>
        <v>4.8</v>
      </c>
      <c r="BN27" s="426" t="n">
        <v>1</v>
      </c>
      <c r="BO27" s="426" t="n">
        <v>1</v>
      </c>
      <c r="BP27" s="426" t="n">
        <v>1</v>
      </c>
      <c r="BQ27" s="426" t="n">
        <v>1</v>
      </c>
      <c r="BR27" s="142" t="n">
        <v>2.35E-007</v>
      </c>
      <c r="BS27" s="440" t="n">
        <v>0.9</v>
      </c>
      <c r="BT27" s="440" t="n">
        <v>0.01</v>
      </c>
      <c r="BU27" s="440" t="n">
        <v>0.01</v>
      </c>
      <c r="BV27" s="440" t="n">
        <v>0.01</v>
      </c>
      <c r="BW27" s="440" t="n">
        <v>0.01</v>
      </c>
      <c r="BX27" s="442" t="n">
        <v>0.05</v>
      </c>
      <c r="BY27" s="442" t="n">
        <v>1</v>
      </c>
      <c r="BZ27" s="442" t="n">
        <v>1</v>
      </c>
      <c r="CA27" s="442" t="n">
        <v>1</v>
      </c>
      <c r="CB27" s="442" t="n">
        <v>4</v>
      </c>
      <c r="CC27" s="442" t="n">
        <v>7.55</v>
      </c>
      <c r="CD27" s="442" t="n">
        <v>15</v>
      </c>
      <c r="CE27" s="442" t="n">
        <v>15</v>
      </c>
      <c r="CF27" s="442" t="n">
        <v>15</v>
      </c>
      <c r="CG27" s="688" t="n">
        <v>-1.583</v>
      </c>
      <c r="CH27" s="442" t="n">
        <v>-1.5</v>
      </c>
      <c r="CI27" s="442" t="n">
        <v>-1.5</v>
      </c>
      <c r="CJ27" s="442" t="n">
        <v>-1.5</v>
      </c>
      <c r="CK27" s="442" t="n">
        <v>15</v>
      </c>
      <c r="CL27" s="440" t="n">
        <v>500000</v>
      </c>
      <c r="CM27" s="440" t="n">
        <v>1000000</v>
      </c>
      <c r="CN27" s="440" t="n">
        <v>1500000</v>
      </c>
      <c r="CO27" s="442" t="n">
        <v>7</v>
      </c>
      <c r="CP27" s="442" t="n">
        <v>488.7</v>
      </c>
      <c r="CQ27" s="442" t="n">
        <v>200</v>
      </c>
      <c r="CR27" s="442" t="n">
        <v>200</v>
      </c>
      <c r="CS27" s="130" t="n">
        <v>-3</v>
      </c>
      <c r="CT27" s="130" t="n">
        <v>-3</v>
      </c>
      <c r="CU27" s="130" t="n">
        <v>-3</v>
      </c>
      <c r="CV27" s="130" t="n">
        <v>-3</v>
      </c>
      <c r="CW27" s="130" t="n">
        <v>100</v>
      </c>
      <c r="CX27" s="130" t="n">
        <v>100</v>
      </c>
      <c r="CY27" s="130" t="n">
        <v>100</v>
      </c>
      <c r="CZ27" s="130" t="n">
        <v>100</v>
      </c>
      <c r="DA27" s="687" t="n">
        <v>1</v>
      </c>
      <c r="DB27" s="440" t="n">
        <v>0.01</v>
      </c>
      <c r="DC27" s="440" t="n">
        <v>0.01</v>
      </c>
      <c r="DD27" s="440" t="n">
        <v>7.55</v>
      </c>
      <c r="DE27" s="439" t="n">
        <v>-1.25</v>
      </c>
      <c r="DF27" s="689" t="n">
        <v>-20</v>
      </c>
      <c r="DG27" s="689" t="n">
        <v>100</v>
      </c>
      <c r="DH27" s="689" t="n">
        <v>1</v>
      </c>
      <c r="DI27" s="440" t="n">
        <v>0.01</v>
      </c>
      <c r="DJ27" s="690" t="n">
        <v>0.003</v>
      </c>
      <c r="DK27" s="689" t="n">
        <v>0.5</v>
      </c>
      <c r="DL27" s="691"/>
      <c r="DM27" s="691"/>
      <c r="DN27" s="691"/>
      <c r="DX27" s="692"/>
      <c r="DY27" s="693"/>
      <c r="DZ27" s="688"/>
      <c r="EB27" s="688"/>
      <c r="EC27" s="688"/>
      <c r="ED27" s="688"/>
      <c r="EE27" s="688"/>
      <c r="EJ27" s="688"/>
      <c r="EK27" s="688"/>
      <c r="EL27" s="688"/>
      <c r="EM27" s="688"/>
      <c r="EN27" s="688"/>
      <c r="EO27" s="688"/>
      <c r="EP27" s="688"/>
      <c r="EQ27" s="688"/>
      <c r="ER27" s="688"/>
      <c r="ES27" s="688"/>
      <c r="ET27" s="688"/>
      <c r="EU27" s="688"/>
      <c r="EV27" s="688"/>
      <c r="EW27" s="688"/>
      <c r="EX27" s="688"/>
      <c r="EY27" s="688"/>
      <c r="EZ27" s="692"/>
      <c r="FA27" s="692"/>
      <c r="FB27" s="692"/>
      <c r="FC27" s="692"/>
      <c r="FD27" s="692"/>
      <c r="FE27" s="692"/>
      <c r="FF27" s="692"/>
      <c r="FG27" s="691"/>
    </row>
    <row r="28" s="687" customFormat="true" ht="15.75" hidden="false" customHeight="false" outlineLevel="0" collapsed="false">
      <c r="A28" s="119" t="s">
        <v>2394</v>
      </c>
      <c r="B28" s="687" t="n">
        <v>0</v>
      </c>
      <c r="C28" s="687" t="n">
        <v>1</v>
      </c>
      <c r="D28" s="687" t="n">
        <v>1</v>
      </c>
      <c r="E28" s="687" t="n">
        <v>0</v>
      </c>
      <c r="F28" s="687" t="n">
        <v>0</v>
      </c>
      <c r="G28" s="687" t="n">
        <v>0</v>
      </c>
      <c r="H28" s="687" t="n">
        <v>1</v>
      </c>
      <c r="I28" s="687" t="n">
        <v>0</v>
      </c>
      <c r="J28" s="687" t="n">
        <v>0.01</v>
      </c>
      <c r="K28" s="426" t="n">
        <v>24</v>
      </c>
      <c r="L28" s="687" t="n">
        <v>0</v>
      </c>
      <c r="M28" s="687" t="n">
        <v>1</v>
      </c>
      <c r="N28" s="687" t="n">
        <v>0</v>
      </c>
      <c r="O28" s="687" t="n">
        <v>0</v>
      </c>
      <c r="P28" s="687" t="n">
        <v>0</v>
      </c>
      <c r="Q28" s="687" t="n">
        <v>0</v>
      </c>
      <c r="R28" s="687" t="n">
        <v>2</v>
      </c>
      <c r="S28" s="687" t="n">
        <v>5</v>
      </c>
      <c r="T28" s="426" t="n">
        <v>15</v>
      </c>
      <c r="U28" s="426" t="n">
        <v>25</v>
      </c>
      <c r="V28" s="426" t="n">
        <v>30</v>
      </c>
      <c r="W28" s="426" t="n">
        <v>80</v>
      </c>
      <c r="X28" s="426" t="n">
        <v>1500</v>
      </c>
      <c r="Y28" s="426" t="n">
        <v>1</v>
      </c>
      <c r="Z28" s="687" t="n">
        <v>0</v>
      </c>
      <c r="AA28" s="426" t="n">
        <v>0</v>
      </c>
      <c r="AB28" s="426" t="n">
        <v>0</v>
      </c>
      <c r="AC28" s="426" t="n">
        <v>15</v>
      </c>
      <c r="AD28" s="687" t="n">
        <v>0.459</v>
      </c>
      <c r="AE28" s="687" t="n">
        <v>0.098</v>
      </c>
      <c r="AF28" s="687" t="n">
        <v>0.015</v>
      </c>
      <c r="AG28" s="687" t="n">
        <v>1.253</v>
      </c>
      <c r="AH28" s="687" t="n">
        <v>1.69</v>
      </c>
      <c r="AI28" s="687" t="n">
        <v>0.5</v>
      </c>
      <c r="AJ28" s="687" t="n">
        <v>50</v>
      </c>
      <c r="AK28" s="687" t="n">
        <v>0.5</v>
      </c>
      <c r="AL28" s="687" t="n">
        <v>0</v>
      </c>
      <c r="AM28" s="687" t="n">
        <v>-1.5</v>
      </c>
      <c r="AN28" s="687" t="n">
        <v>100</v>
      </c>
      <c r="AO28" s="687" t="n">
        <v>100</v>
      </c>
      <c r="AP28" s="687" t="n">
        <v>0.25</v>
      </c>
      <c r="AQ28" s="426" t="n">
        <v>100</v>
      </c>
      <c r="AR28" s="687" t="n">
        <v>10</v>
      </c>
      <c r="AS28" s="426" t="n">
        <v>0.3</v>
      </c>
      <c r="AT28" s="439" t="n">
        <v>0.006516</v>
      </c>
      <c r="AU28" s="426" t="n">
        <v>0.2</v>
      </c>
      <c r="AV28" s="426" t="n">
        <v>0.35</v>
      </c>
      <c r="AW28" s="426" t="n">
        <v>700</v>
      </c>
      <c r="AX28" s="426" t="n">
        <v>1</v>
      </c>
      <c r="AY28" s="439" t="n">
        <v>0.01596</v>
      </c>
      <c r="AZ28" s="426" t="n">
        <v>0.2</v>
      </c>
      <c r="BA28" s="426" t="n">
        <v>0.35</v>
      </c>
      <c r="BB28" s="426" t="n">
        <v>0.5</v>
      </c>
      <c r="BC28" s="426" t="n">
        <v>1</v>
      </c>
      <c r="BD28" s="439" t="n">
        <v>0.00532</v>
      </c>
      <c r="BE28" s="426" t="n">
        <v>0.2</v>
      </c>
      <c r="BF28" s="426" t="n">
        <v>0.35</v>
      </c>
      <c r="BG28" s="691" t="n">
        <v>156.5</v>
      </c>
      <c r="BH28" s="426" t="n">
        <v>10</v>
      </c>
      <c r="BI28" s="426" t="n">
        <v>0.004</v>
      </c>
      <c r="BJ28" s="426" t="n">
        <v>2</v>
      </c>
      <c r="BK28" s="426" t="n">
        <v>35</v>
      </c>
      <c r="BL28" s="426" t="n">
        <v>1.2</v>
      </c>
      <c r="BM28" s="426" t="n">
        <f aca="false">BL28*4</f>
        <v>4.8</v>
      </c>
      <c r="BN28" s="426" t="n">
        <v>1</v>
      </c>
      <c r="BO28" s="426" t="n">
        <v>1</v>
      </c>
      <c r="BP28" s="426" t="n">
        <v>1</v>
      </c>
      <c r="BQ28" s="426" t="n">
        <v>1</v>
      </c>
      <c r="BR28" s="142" t="n">
        <v>2.35E-007</v>
      </c>
      <c r="BS28" s="440" t="n">
        <v>0.9</v>
      </c>
      <c r="BT28" s="440" t="n">
        <v>0.01</v>
      </c>
      <c r="BU28" s="440" t="n">
        <v>0.01</v>
      </c>
      <c r="BV28" s="440" t="n">
        <v>0.01</v>
      </c>
      <c r="BW28" s="440" t="n">
        <v>0.01</v>
      </c>
      <c r="BX28" s="442" t="n">
        <v>0.05</v>
      </c>
      <c r="BY28" s="442" t="n">
        <v>1</v>
      </c>
      <c r="BZ28" s="442" t="n">
        <v>1</v>
      </c>
      <c r="CA28" s="442" t="n">
        <v>1</v>
      </c>
      <c r="CB28" s="442" t="n">
        <v>4</v>
      </c>
      <c r="CC28" s="442" t="n">
        <v>7.55</v>
      </c>
      <c r="CD28" s="442" t="n">
        <v>15</v>
      </c>
      <c r="CE28" s="442" t="n">
        <v>15</v>
      </c>
      <c r="CF28" s="442" t="n">
        <v>15</v>
      </c>
      <c r="CG28" s="688" t="n">
        <v>-2.147</v>
      </c>
      <c r="CH28" s="442" t="n">
        <v>-1.5</v>
      </c>
      <c r="CI28" s="442" t="n">
        <v>-1.5</v>
      </c>
      <c r="CJ28" s="442" t="n">
        <v>-1.5</v>
      </c>
      <c r="CK28" s="442" t="n">
        <v>15</v>
      </c>
      <c r="CL28" s="440" t="n">
        <v>500000</v>
      </c>
      <c r="CM28" s="440" t="n">
        <v>1000000</v>
      </c>
      <c r="CN28" s="440" t="n">
        <v>1500000</v>
      </c>
      <c r="CO28" s="442" t="n">
        <v>7</v>
      </c>
      <c r="CP28" s="442" t="n">
        <v>488.7</v>
      </c>
      <c r="CQ28" s="442" t="n">
        <v>200</v>
      </c>
      <c r="CR28" s="442" t="n">
        <v>200</v>
      </c>
      <c r="CS28" s="130" t="n">
        <v>-8</v>
      </c>
      <c r="CT28" s="130" t="n">
        <v>-8</v>
      </c>
      <c r="CU28" s="130" t="n">
        <v>-8</v>
      </c>
      <c r="CV28" s="130" t="n">
        <v>-8</v>
      </c>
      <c r="CW28" s="130" t="n">
        <v>25</v>
      </c>
      <c r="CX28" s="130" t="n">
        <v>25</v>
      </c>
      <c r="CY28" s="130" t="n">
        <v>25</v>
      </c>
      <c r="CZ28" s="130" t="n">
        <v>25</v>
      </c>
      <c r="DA28" s="687" t="n">
        <v>1</v>
      </c>
      <c r="DB28" s="440" t="n">
        <v>0.01</v>
      </c>
      <c r="DC28" s="440" t="n">
        <v>0.01</v>
      </c>
      <c r="DD28" s="440" t="n">
        <v>7.55</v>
      </c>
      <c r="DE28" s="439" t="n">
        <v>-1.25</v>
      </c>
      <c r="DF28" s="689" t="n">
        <v>-20</v>
      </c>
      <c r="DG28" s="689" t="n">
        <v>100</v>
      </c>
      <c r="DH28" s="689" t="n">
        <v>1</v>
      </c>
      <c r="DI28" s="440" t="n">
        <v>0.01</v>
      </c>
      <c r="DJ28" s="690" t="n">
        <v>0.003</v>
      </c>
      <c r="DK28" s="689" t="n">
        <v>0.5</v>
      </c>
      <c r="DL28" s="691"/>
      <c r="DM28" s="691"/>
      <c r="DN28" s="691"/>
      <c r="DX28" s="692"/>
      <c r="DY28" s="693"/>
      <c r="DZ28" s="688"/>
      <c r="EB28" s="688"/>
      <c r="EC28" s="688"/>
      <c r="ED28" s="688"/>
      <c r="EE28" s="688"/>
      <c r="EJ28" s="688"/>
      <c r="EK28" s="688"/>
      <c r="EL28" s="688"/>
      <c r="EM28" s="688"/>
      <c r="EN28" s="688"/>
      <c r="EO28" s="688"/>
      <c r="EP28" s="688"/>
      <c r="EQ28" s="688"/>
      <c r="ER28" s="688"/>
      <c r="ES28" s="688"/>
      <c r="ET28" s="688"/>
      <c r="EU28" s="688"/>
      <c r="EV28" s="688"/>
      <c r="EW28" s="688"/>
      <c r="EX28" s="688"/>
      <c r="EY28" s="688"/>
      <c r="EZ28" s="692"/>
      <c r="FA28" s="692"/>
      <c r="FB28" s="692"/>
      <c r="FC28" s="692"/>
      <c r="FD28" s="692"/>
      <c r="FE28" s="692"/>
      <c r="FF28" s="692"/>
      <c r="FG28" s="691"/>
    </row>
    <row r="29" s="694" customFormat="true" ht="15.75" hidden="false" customHeight="false" outlineLevel="0" collapsed="false">
      <c r="A29" s="119"/>
      <c r="K29" s="426"/>
      <c r="M29" s="130"/>
      <c r="N29" s="130"/>
      <c r="O29" s="130"/>
      <c r="P29" s="130"/>
      <c r="Q29" s="130"/>
      <c r="S29" s="424"/>
      <c r="T29" s="426"/>
      <c r="U29" s="691"/>
      <c r="V29" s="426"/>
      <c r="W29" s="426"/>
      <c r="X29" s="426"/>
      <c r="Y29" s="426"/>
      <c r="AA29" s="426"/>
      <c r="AB29" s="426"/>
      <c r="AC29" s="426"/>
      <c r="AQ29" s="426"/>
      <c r="AS29" s="426"/>
      <c r="AT29" s="439"/>
      <c r="AU29" s="426"/>
      <c r="AV29" s="426"/>
      <c r="AW29" s="426"/>
      <c r="AX29" s="426"/>
      <c r="AY29" s="439"/>
      <c r="AZ29" s="426"/>
      <c r="BA29" s="426"/>
      <c r="BB29" s="426"/>
      <c r="BC29" s="426"/>
      <c r="BD29" s="439"/>
      <c r="BE29" s="426"/>
      <c r="BF29" s="426"/>
      <c r="BG29" s="426"/>
      <c r="BH29" s="426"/>
      <c r="BI29" s="426"/>
      <c r="BJ29" s="426"/>
      <c r="BK29" s="426"/>
      <c r="BL29" s="426"/>
      <c r="BM29" s="426"/>
      <c r="BN29" s="426"/>
      <c r="BO29" s="426"/>
      <c r="BP29" s="426"/>
      <c r="BQ29" s="426"/>
      <c r="BR29" s="142"/>
      <c r="BS29" s="440"/>
      <c r="BT29" s="440"/>
      <c r="BU29" s="440"/>
      <c r="BV29" s="440"/>
      <c r="BW29" s="440"/>
      <c r="BX29" s="442"/>
      <c r="BY29" s="442"/>
      <c r="BZ29" s="442"/>
      <c r="CA29" s="442"/>
      <c r="CB29" s="442"/>
      <c r="CC29" s="442"/>
      <c r="CD29" s="442"/>
      <c r="CE29" s="442"/>
      <c r="CF29" s="442"/>
      <c r="CG29" s="442"/>
      <c r="CH29" s="442"/>
      <c r="CI29" s="442"/>
      <c r="CJ29" s="442"/>
      <c r="CK29" s="442"/>
      <c r="CL29" s="440"/>
      <c r="CM29" s="440"/>
      <c r="CN29" s="440"/>
      <c r="CO29" s="442"/>
      <c r="CP29" s="442"/>
      <c r="CQ29" s="442"/>
      <c r="CR29" s="442"/>
      <c r="DB29" s="440"/>
      <c r="DC29" s="440"/>
      <c r="DD29" s="440"/>
      <c r="DE29" s="439"/>
      <c r="DF29" s="689"/>
      <c r="DG29" s="689"/>
      <c r="DH29" s="689"/>
      <c r="DI29" s="440"/>
      <c r="DJ29" s="690"/>
      <c r="DK29" s="689"/>
      <c r="DL29" s="689"/>
      <c r="DM29" s="689"/>
      <c r="DN29" s="689"/>
      <c r="DO29" s="689"/>
      <c r="DP29" s="689"/>
      <c r="DQ29" s="689"/>
      <c r="DR29" s="689"/>
      <c r="DS29" s="119"/>
      <c r="DT29" s="695"/>
      <c r="DU29" s="696"/>
      <c r="DV29" s="696"/>
      <c r="DW29" s="696"/>
      <c r="DX29" s="696"/>
      <c r="DY29" s="695"/>
      <c r="DZ29" s="441"/>
      <c r="EA29" s="697"/>
      <c r="EB29" s="441"/>
      <c r="EC29" s="441"/>
      <c r="ED29" s="441"/>
      <c r="EE29" s="441"/>
      <c r="EF29" s="697"/>
      <c r="EG29" s="697"/>
      <c r="EH29" s="697"/>
      <c r="EI29" s="697"/>
      <c r="EJ29" s="698"/>
      <c r="EK29" s="698"/>
      <c r="EL29" s="698"/>
      <c r="EM29" s="698"/>
      <c r="EN29" s="698"/>
      <c r="EO29" s="698"/>
      <c r="EP29" s="698"/>
      <c r="EQ29" s="698"/>
      <c r="ER29" s="698"/>
      <c r="ES29" s="698"/>
      <c r="ET29" s="698"/>
      <c r="EU29" s="698"/>
      <c r="EV29" s="441"/>
      <c r="EW29" s="441"/>
      <c r="EX29" s="441"/>
      <c r="EY29" s="441"/>
      <c r="EZ29" s="696"/>
      <c r="FA29" s="696"/>
      <c r="FB29" s="696"/>
      <c r="FC29" s="696"/>
      <c r="FD29" s="696"/>
      <c r="FE29" s="696"/>
      <c r="FF29" s="699"/>
      <c r="FG29" s="700"/>
    </row>
    <row r="30" customFormat="false" ht="15.75" hidden="false" customHeight="false" outlineLevel="0" collapsed="false">
      <c r="DB30" s="440"/>
      <c r="DC30" s="440"/>
      <c r="DD30" s="440"/>
      <c r="DE30" s="439"/>
      <c r="DF30" s="689"/>
      <c r="DG30" s="689"/>
      <c r="DH30" s="689"/>
      <c r="DI30" s="440"/>
      <c r="DJ30" s="690"/>
      <c r="DK30" s="689"/>
    </row>
    <row r="31" customFormat="false" ht="15.75" hidden="false" customHeight="false" outlineLevel="0" collapsed="false">
      <c r="DB31" s="440"/>
      <c r="DC31" s="440"/>
      <c r="DD31" s="440"/>
      <c r="DE31" s="439"/>
      <c r="DF31" s="689"/>
      <c r="DG31" s="689"/>
      <c r="DH31" s="689"/>
      <c r="DI31" s="440"/>
      <c r="DJ31" s="690"/>
      <c r="DK31" s="689"/>
    </row>
  </sheetData>
  <mergeCells count="6">
    <mergeCell ref="U2:AE2"/>
    <mergeCell ref="U4:AE4"/>
    <mergeCell ref="U5:AE5"/>
    <mergeCell ref="U6:AE6"/>
    <mergeCell ref="U7:AE7"/>
    <mergeCell ref="U8:AE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2"/>
  <sheetViews>
    <sheetView showFormulas="false" showGridLines="true" showRowColHeaders="true" showZeros="true" rightToLeft="false" tabSelected="false" showOutlineSymbols="true" defaultGridColor="true" view="normal" topLeftCell="I88" colorId="64" zoomScale="137" zoomScaleNormal="137" zoomScalePageLayoutView="100" workbookViewId="0">
      <selection pane="topLeft" activeCell="W102" activeCellId="0" sqref="W102"/>
    </sheetView>
  </sheetViews>
  <sheetFormatPr defaultColWidth="10.5" defaultRowHeight="15.75" zeroHeight="false" outlineLevelRow="0" outlineLevelCol="0"/>
  <cols>
    <col collapsed="false" customWidth="true" hidden="false" outlineLevel="0" max="3" min="3" style="0" width="39.5"/>
    <col collapsed="false" customWidth="true" hidden="false" outlineLevel="0" max="4" min="4" style="0" width="11.16"/>
    <col collapsed="false" customWidth="true" hidden="false" outlineLevel="0" max="5" min="5" style="181" width="14.5"/>
    <col collapsed="false" customWidth="true" hidden="false" outlineLevel="0" max="11" min="11" style="0" width="20.33"/>
    <col collapsed="false" customWidth="true" hidden="false" outlineLevel="0" max="23" min="23" style="130" width="10.83"/>
    <col collapsed="false" customWidth="true" hidden="false" outlineLevel="0" max="24" min="24" style="120" width="12.83"/>
    <col collapsed="false" customWidth="true" hidden="false" outlineLevel="0" max="25" min="25" style="497" width="10.83"/>
  </cols>
  <sheetData>
    <row r="1" customFormat="false" ht="15.75" hidden="false" customHeight="false" outlineLevel="0" collapsed="false">
      <c r="D1" s="0" t="s">
        <v>545</v>
      </c>
      <c r="E1" s="181" t="s">
        <v>2395</v>
      </c>
      <c r="H1" s="0" t="s">
        <v>2396</v>
      </c>
      <c r="L1" s="0" t="s">
        <v>545</v>
      </c>
      <c r="M1" s="181" t="s">
        <v>2395</v>
      </c>
      <c r="T1" s="0" t="n">
        <v>0</v>
      </c>
      <c r="V1" s="0" t="s">
        <v>2397</v>
      </c>
      <c r="W1" s="130" t="s">
        <v>2398</v>
      </c>
      <c r="X1" s="120" t="s">
        <v>2399</v>
      </c>
      <c r="Y1" s="497" t="s">
        <v>280</v>
      </c>
    </row>
    <row r="2" customFormat="false" ht="15.75" hidden="false" customHeight="false" outlineLevel="0" collapsed="false">
      <c r="A2" s="0" t="s">
        <v>2400</v>
      </c>
      <c r="B2" s="0" t="s">
        <v>146</v>
      </c>
      <c r="C2" s="0" t="s">
        <v>88</v>
      </c>
      <c r="D2" s="693" t="n">
        <v>0.001</v>
      </c>
      <c r="I2" s="0" t="s">
        <v>2400</v>
      </c>
      <c r="J2" s="0" t="s">
        <v>146</v>
      </c>
      <c r="K2" s="0" t="s">
        <v>88</v>
      </c>
      <c r="L2" s="693" t="n">
        <v>0.002</v>
      </c>
      <c r="M2" s="181"/>
      <c r="T2" s="0" t="n">
        <f aca="false">100/16</f>
        <v>6.25</v>
      </c>
      <c r="V2" s="0" t="n">
        <v>0</v>
      </c>
      <c r="W2" s="130" t="n">
        <v>0</v>
      </c>
      <c r="X2" s="120" t="n">
        <v>0</v>
      </c>
      <c r="Y2" s="497" t="n">
        <v>0.4</v>
      </c>
    </row>
    <row r="3" customFormat="false" ht="15.75" hidden="false" customHeight="false" outlineLevel="0" collapsed="false">
      <c r="C3" s="0" t="s">
        <v>2401</v>
      </c>
      <c r="D3" s="130" t="n">
        <v>0.1</v>
      </c>
      <c r="K3" s="0" t="s">
        <v>2401</v>
      </c>
      <c r="L3" s="130" t="n">
        <v>0.3</v>
      </c>
      <c r="M3" s="181"/>
      <c r="T3" s="0" t="n">
        <f aca="false">T2+6.25</f>
        <v>12.5</v>
      </c>
      <c r="V3" s="0" t="n">
        <f aca="false">V2+0.01</f>
        <v>0.01</v>
      </c>
      <c r="W3" s="130" t="n">
        <v>0</v>
      </c>
      <c r="X3" s="120" t="n">
        <v>0</v>
      </c>
      <c r="Y3" s="497" t="n">
        <f aca="false">$Y$2+V3*5</f>
        <v>0.45</v>
      </c>
    </row>
    <row r="4" customFormat="false" ht="15.75" hidden="false" customHeight="false" outlineLevel="0" collapsed="false">
      <c r="C4" s="0" t="s">
        <v>2402</v>
      </c>
      <c r="D4" s="130" t="n">
        <v>0.25</v>
      </c>
      <c r="K4" s="0" t="s">
        <v>2402</v>
      </c>
      <c r="L4" s="130" t="n">
        <v>0.25</v>
      </c>
      <c r="M4" s="181"/>
      <c r="T4" s="0" t="n">
        <f aca="false">T3+6.25</f>
        <v>18.75</v>
      </c>
      <c r="V4" s="0" t="n">
        <f aca="false">V3+0.01</f>
        <v>0.02</v>
      </c>
      <c r="W4" s="130" t="n">
        <v>0</v>
      </c>
      <c r="X4" s="120" t="n">
        <v>0</v>
      </c>
      <c r="Y4" s="497" t="n">
        <f aca="false">$Y$2+V4*5</f>
        <v>0.5</v>
      </c>
    </row>
    <row r="5" customFormat="false" ht="15.75" hidden="false" customHeight="false" outlineLevel="0" collapsed="false">
      <c r="C5" s="497" t="s">
        <v>2403</v>
      </c>
      <c r="D5" s="693" t="n">
        <f aca="false">D3*(1-D4)</f>
        <v>0.075</v>
      </c>
      <c r="E5" s="181" t="n">
        <f aca="false">D5*1000</f>
        <v>75</v>
      </c>
      <c r="K5" s="497" t="s">
        <v>2403</v>
      </c>
      <c r="L5" s="693" t="n">
        <f aca="false">L3*(1-L4)</f>
        <v>0.225</v>
      </c>
      <c r="M5" s="181" t="n">
        <f aca="false">L5*1000</f>
        <v>225</v>
      </c>
      <c r="T5" s="0" t="n">
        <f aca="false">T4+6.25</f>
        <v>25</v>
      </c>
      <c r="V5" s="0" t="n">
        <f aca="false">V4+0.01</f>
        <v>0.03</v>
      </c>
      <c r="W5" s="130" t="n">
        <v>0</v>
      </c>
      <c r="X5" s="120" t="n">
        <v>0</v>
      </c>
      <c r="Y5" s="497" t="n">
        <f aca="false">$Y$2+V5*5</f>
        <v>0.55</v>
      </c>
    </row>
    <row r="6" customFormat="false" ht="15.75" hidden="false" customHeight="false" outlineLevel="0" collapsed="false">
      <c r="C6" s="497" t="s">
        <v>2404</v>
      </c>
      <c r="D6" s="693" t="n">
        <f aca="false">D3*D4</f>
        <v>0.025</v>
      </c>
      <c r="E6" s="181" t="n">
        <f aca="false">D6*1000</f>
        <v>25</v>
      </c>
      <c r="K6" s="497" t="s">
        <v>2404</v>
      </c>
      <c r="L6" s="693" t="n">
        <f aca="false">L3*L4</f>
        <v>0.075</v>
      </c>
      <c r="M6" s="181" t="n">
        <f aca="false">L6*1000</f>
        <v>75</v>
      </c>
      <c r="T6" s="0" t="n">
        <f aca="false">T5+6.25</f>
        <v>31.25</v>
      </c>
      <c r="V6" s="0" t="n">
        <f aca="false">V5+0.01</f>
        <v>0.04</v>
      </c>
      <c r="W6" s="130" t="n">
        <v>0</v>
      </c>
      <c r="X6" s="120" t="n">
        <v>0</v>
      </c>
      <c r="Y6" s="497" t="n">
        <f aca="false">$Y$2+V6*5</f>
        <v>0.6</v>
      </c>
    </row>
    <row r="7" customFormat="false" ht="15.75" hidden="false" customHeight="false" outlineLevel="0" collapsed="false">
      <c r="C7" s="0" t="s">
        <v>2405</v>
      </c>
      <c r="D7" s="130" t="n">
        <f aca="false">1/1000</f>
        <v>0.001</v>
      </c>
      <c r="K7" s="0" t="s">
        <v>2406</v>
      </c>
      <c r="L7" s="130" t="n">
        <f aca="false">1/1000</f>
        <v>0.001</v>
      </c>
      <c r="M7" s="181"/>
      <c r="T7" s="0" t="n">
        <f aca="false">T6+6.25</f>
        <v>37.5</v>
      </c>
      <c r="V7" s="0" t="n">
        <f aca="false">V6+0.01</f>
        <v>0.05</v>
      </c>
      <c r="W7" s="130" t="n">
        <v>0</v>
      </c>
      <c r="X7" s="120" t="n">
        <v>0</v>
      </c>
      <c r="Y7" s="497" t="n">
        <f aca="false">$Y$2+V7*5</f>
        <v>0.65</v>
      </c>
    </row>
    <row r="8" customFormat="false" ht="15.75" hidden="false" customHeight="false" outlineLevel="0" collapsed="false">
      <c r="C8" s="130" t="s">
        <v>2407</v>
      </c>
      <c r="D8" s="142" t="n">
        <f aca="false">D7*D6</f>
        <v>2.5E-005</v>
      </c>
      <c r="F8" s="181" t="n">
        <f aca="false">D6/D8</f>
        <v>1000</v>
      </c>
      <c r="K8" s="130" t="s">
        <v>2407</v>
      </c>
      <c r="L8" s="142" t="n">
        <f aca="false">L7*L6</f>
        <v>7.5E-005</v>
      </c>
      <c r="M8" s="181"/>
      <c r="N8" s="181" t="n">
        <f aca="false">L6/L8</f>
        <v>1000</v>
      </c>
      <c r="T8" s="0" t="n">
        <f aca="false">T7+6.25</f>
        <v>43.75</v>
      </c>
      <c r="V8" s="0" t="n">
        <f aca="false">V7+0.01</f>
        <v>0.06</v>
      </c>
      <c r="W8" s="130" t="n">
        <v>0</v>
      </c>
      <c r="X8" s="120" t="n">
        <v>0</v>
      </c>
      <c r="Y8" s="497" t="n">
        <f aca="false">$Y$2+V8*5</f>
        <v>0.7</v>
      </c>
    </row>
    <row r="9" customFormat="false" ht="15.75" hidden="false" customHeight="false" outlineLevel="0" collapsed="false">
      <c r="C9" s="130" t="s">
        <v>2408</v>
      </c>
      <c r="D9" s="142" t="n">
        <v>30</v>
      </c>
      <c r="F9" s="181"/>
      <c r="K9" s="130" t="s">
        <v>2408</v>
      </c>
      <c r="L9" s="142" t="n">
        <v>30</v>
      </c>
      <c r="M9" s="181"/>
      <c r="N9" s="181"/>
      <c r="T9" s="0" t="n">
        <f aca="false">T8+6.25</f>
        <v>50</v>
      </c>
      <c r="V9" s="0" t="n">
        <f aca="false">V8+0.01</f>
        <v>0.07</v>
      </c>
      <c r="W9" s="130" t="n">
        <v>0</v>
      </c>
      <c r="X9" s="120" t="n">
        <v>0</v>
      </c>
      <c r="Y9" s="497" t="n">
        <f aca="false">$Y$2+V9*5</f>
        <v>0.75</v>
      </c>
    </row>
    <row r="10" customFormat="false" ht="15.75" hidden="false" customHeight="false" outlineLevel="0" collapsed="false">
      <c r="C10" s="130" t="s">
        <v>2409</v>
      </c>
      <c r="D10" s="142" t="n">
        <v>30</v>
      </c>
      <c r="F10" s="181"/>
      <c r="K10" s="130" t="s">
        <v>2409</v>
      </c>
      <c r="L10" s="142" t="n">
        <v>30</v>
      </c>
      <c r="M10" s="181"/>
      <c r="N10" s="181"/>
      <c r="T10" s="0" t="n">
        <f aca="false">T9+6.25</f>
        <v>56.25</v>
      </c>
      <c r="V10" s="0" t="n">
        <f aca="false">V9+0.01</f>
        <v>0.08</v>
      </c>
      <c r="W10" s="130" t="n">
        <v>0</v>
      </c>
      <c r="X10" s="120" t="n">
        <v>0</v>
      </c>
      <c r="Y10" s="497" t="n">
        <f aca="false">$Y$2+V10*5</f>
        <v>0.8</v>
      </c>
    </row>
    <row r="11" customFormat="false" ht="15.75" hidden="false" customHeight="false" outlineLevel="0" collapsed="false">
      <c r="B11" s="0" t="s">
        <v>101</v>
      </c>
      <c r="C11" s="0" t="s">
        <v>2410</v>
      </c>
      <c r="D11" s="130" t="n">
        <v>1</v>
      </c>
      <c r="J11" s="0" t="s">
        <v>101</v>
      </c>
      <c r="K11" s="0" t="s">
        <v>2410</v>
      </c>
      <c r="L11" s="130" t="n">
        <v>0.01</v>
      </c>
      <c r="M11" s="181"/>
      <c r="T11" s="0" t="n">
        <f aca="false">T10+6.25</f>
        <v>62.5</v>
      </c>
      <c r="V11" s="0" t="n">
        <f aca="false">V10+0.01</f>
        <v>0.09</v>
      </c>
      <c r="W11" s="130" t="n">
        <v>0</v>
      </c>
      <c r="X11" s="120" t="n">
        <v>0</v>
      </c>
      <c r="Y11" s="497" t="n">
        <f aca="false">$Y$2+V11*5</f>
        <v>0.85</v>
      </c>
    </row>
    <row r="12" customFormat="false" ht="15.75" hidden="false" customHeight="false" outlineLevel="0" collapsed="false">
      <c r="B12" s="0" t="s">
        <v>2411</v>
      </c>
      <c r="C12" s="0" t="s">
        <v>2412</v>
      </c>
      <c r="D12" s="693" t="n">
        <v>0.0001</v>
      </c>
      <c r="J12" s="0" t="s">
        <v>2413</v>
      </c>
      <c r="K12" s="0" t="s">
        <v>2412</v>
      </c>
      <c r="L12" s="693" t="n">
        <v>0.0001</v>
      </c>
      <c r="M12" s="181"/>
      <c r="T12" s="0" t="n">
        <f aca="false">T11+6.25</f>
        <v>68.75</v>
      </c>
      <c r="V12" s="0" t="n">
        <f aca="false">V11+0.01</f>
        <v>0.1</v>
      </c>
      <c r="W12" s="130" t="n">
        <v>0</v>
      </c>
      <c r="X12" s="120" t="n">
        <v>0</v>
      </c>
      <c r="Y12" s="497" t="n">
        <f aca="false">$Y$2+V12*5</f>
        <v>0.9</v>
      </c>
    </row>
    <row r="13" customFormat="false" ht="15.75" hidden="false" customHeight="false" outlineLevel="0" collapsed="false">
      <c r="C13" s="0" t="s">
        <v>2414</v>
      </c>
      <c r="D13" s="142" t="n">
        <f aca="false">D12*D2</f>
        <v>1E-007</v>
      </c>
      <c r="K13" s="0" t="s">
        <v>2414</v>
      </c>
      <c r="L13" s="142" t="n">
        <f aca="false">L12*L2</f>
        <v>2E-007</v>
      </c>
      <c r="M13" s="181"/>
      <c r="T13" s="0" t="n">
        <f aca="false">T12+6.25</f>
        <v>75</v>
      </c>
      <c r="V13" s="0" t="n">
        <f aca="false">V12+0.01</f>
        <v>0.11</v>
      </c>
      <c r="W13" s="130" t="n">
        <v>0</v>
      </c>
      <c r="X13" s="120" t="n">
        <v>0</v>
      </c>
      <c r="Y13" s="497" t="n">
        <f aca="false">$Y$2+V13*5</f>
        <v>0.95</v>
      </c>
    </row>
    <row r="14" customFormat="false" ht="15.75" hidden="false" customHeight="false" outlineLevel="0" collapsed="false">
      <c r="C14" s="0" t="s">
        <v>2415</v>
      </c>
      <c r="D14" s="142" t="n">
        <v>0.01</v>
      </c>
      <c r="E14" s="442"/>
      <c r="K14" s="0" t="s">
        <v>2416</v>
      </c>
      <c r="L14" s="142" t="n">
        <f aca="false">SQRT(L13/3.1416)</f>
        <v>0.000252312957193464</v>
      </c>
      <c r="M14" s="181"/>
      <c r="T14" s="0" t="n">
        <f aca="false">T13+6.25</f>
        <v>81.25</v>
      </c>
      <c r="V14" s="420" t="n">
        <f aca="false">V13+0.01</f>
        <v>0.12</v>
      </c>
      <c r="W14" s="130" t="n">
        <v>0</v>
      </c>
      <c r="X14" s="120" t="n">
        <v>0</v>
      </c>
      <c r="Y14" s="497" t="n">
        <f aca="false">$Y$2+V14*5</f>
        <v>1</v>
      </c>
    </row>
    <row r="15" customFormat="false" ht="15.75" hidden="false" customHeight="false" outlineLevel="0" collapsed="false">
      <c r="C15" s="0" t="s">
        <v>20</v>
      </c>
      <c r="D15" s="142" t="n">
        <f aca="false">3.1416*D14*D11</f>
        <v>0.031416</v>
      </c>
      <c r="K15" s="0" t="s">
        <v>20</v>
      </c>
      <c r="L15" s="142" t="n">
        <f aca="false">3.1416*L14*SQRT(L14^2+L11^2)</f>
        <v>7.92918659132196E-006</v>
      </c>
      <c r="M15" s="181"/>
      <c r="T15" s="0" t="n">
        <f aca="false">T14+6.25</f>
        <v>87.5</v>
      </c>
      <c r="V15" s="0" t="n">
        <f aca="false">V14+0.01</f>
        <v>0.13</v>
      </c>
      <c r="W15" s="130" t="n">
        <v>0</v>
      </c>
      <c r="X15" s="120" t="n">
        <f aca="false">(V15-0.12)*5</f>
        <v>0.0499999999999999</v>
      </c>
      <c r="Y15" s="497" t="n">
        <v>1</v>
      </c>
    </row>
    <row r="16" customFormat="false" ht="15.75" hidden="false" customHeight="false" outlineLevel="0" collapsed="false">
      <c r="C16" s="0" t="s">
        <v>2417</v>
      </c>
      <c r="D16" s="142" t="n">
        <f aca="false">3.14/4*D14*D14*D11</f>
        <v>7.85E-005</v>
      </c>
      <c r="E16" s="181" t="n">
        <f aca="false">D16*1000*1000</f>
        <v>78.5</v>
      </c>
      <c r="G16" s="142"/>
      <c r="K16" s="0" t="s">
        <v>2417</v>
      </c>
      <c r="L16" s="142" t="n">
        <f aca="false">L13*L11/3</f>
        <v>6.66666666666667E-010</v>
      </c>
      <c r="M16" s="181" t="n">
        <f aca="false">L16*1000*1000</f>
        <v>0.000666666666666667</v>
      </c>
      <c r="T16" s="0" t="n">
        <f aca="false">T15+6.25</f>
        <v>93.75</v>
      </c>
      <c r="V16" s="0" t="n">
        <f aca="false">V15+0.01</f>
        <v>0.14</v>
      </c>
      <c r="W16" s="130" t="n">
        <v>0</v>
      </c>
      <c r="X16" s="120" t="n">
        <f aca="false">(V16-0.12)*5</f>
        <v>0.1</v>
      </c>
      <c r="Y16" s="497" t="n">
        <v>1</v>
      </c>
    </row>
    <row r="17" customFormat="false" ht="15.75" hidden="false" customHeight="false" outlineLevel="0" collapsed="false">
      <c r="C17" s="0" t="s">
        <v>2418</v>
      </c>
      <c r="D17" s="130" t="n">
        <v>0.2</v>
      </c>
      <c r="K17" s="0" t="s">
        <v>2418</v>
      </c>
      <c r="L17" s="130" t="n">
        <v>0.2</v>
      </c>
      <c r="M17" s="181"/>
      <c r="T17" s="0" t="n">
        <f aca="false">T16+6.25</f>
        <v>100</v>
      </c>
      <c r="V17" s="0" t="n">
        <f aca="false">V16+0.01</f>
        <v>0.15</v>
      </c>
      <c r="W17" s="130" t="n">
        <v>0</v>
      </c>
      <c r="X17" s="120" t="n">
        <f aca="false">(V17-0.12)*5</f>
        <v>0.15</v>
      </c>
      <c r="Y17" s="497" t="n">
        <v>1</v>
      </c>
    </row>
    <row r="18" customFormat="false" ht="15.75" hidden="false" customHeight="false" outlineLevel="0" collapsed="false">
      <c r="C18" s="497" t="s">
        <v>2419</v>
      </c>
      <c r="D18" s="142" t="n">
        <f aca="false">D17*D16*1000</f>
        <v>0.0157</v>
      </c>
      <c r="E18" s="181" t="n">
        <f aca="false">D18*1000</f>
        <v>15.7</v>
      </c>
      <c r="K18" s="497" t="s">
        <v>2419</v>
      </c>
      <c r="L18" s="701" t="n">
        <f aca="false">L17*L16*1000</f>
        <v>1.33333333333333E-007</v>
      </c>
      <c r="M18" s="181" t="n">
        <f aca="false">L18*1000</f>
        <v>0.000133333333333333</v>
      </c>
      <c r="V18" s="0" t="n">
        <f aca="false">V17+0.01</f>
        <v>0.16</v>
      </c>
      <c r="W18" s="130" t="n">
        <v>0</v>
      </c>
      <c r="X18" s="120" t="n">
        <f aca="false">(V18-0.12)*5</f>
        <v>0.2</v>
      </c>
      <c r="Y18" s="497" t="n">
        <v>1</v>
      </c>
    </row>
    <row r="19" customFormat="false" ht="15.75" hidden="false" customHeight="false" outlineLevel="0" collapsed="false">
      <c r="C19" s="0" t="s">
        <v>2405</v>
      </c>
      <c r="D19" s="130" t="n">
        <f aca="false">1/1000</f>
        <v>0.001</v>
      </c>
      <c r="K19" s="0" t="s">
        <v>2406</v>
      </c>
      <c r="L19" s="130" t="n">
        <f aca="false">1/1000</f>
        <v>0.001</v>
      </c>
      <c r="M19" s="181"/>
      <c r="V19" s="0" t="n">
        <f aca="false">V18+0.01</f>
        <v>0.17</v>
      </c>
      <c r="W19" s="130" t="n">
        <v>0</v>
      </c>
      <c r="X19" s="120" t="n">
        <f aca="false">(V19-0.12)*5</f>
        <v>0.25</v>
      </c>
      <c r="Y19" s="497" t="n">
        <v>1</v>
      </c>
    </row>
    <row r="20" customFormat="false" ht="15.75" hidden="false" customHeight="false" outlineLevel="0" collapsed="false">
      <c r="C20" s="130" t="s">
        <v>2407</v>
      </c>
      <c r="D20" s="142" t="n">
        <f aca="false">D19*D18</f>
        <v>1.57E-005</v>
      </c>
      <c r="F20" s="181" t="n">
        <f aca="false">D18/D20</f>
        <v>1000</v>
      </c>
      <c r="K20" s="130" t="s">
        <v>2407</v>
      </c>
      <c r="L20" s="142" t="n">
        <f aca="false">L19*L18</f>
        <v>1.33333333333333E-010</v>
      </c>
      <c r="M20" s="181"/>
      <c r="N20" s="181" t="n">
        <f aca="false">L18/L20</f>
        <v>1000</v>
      </c>
      <c r="V20" s="0" t="n">
        <f aca="false">V19+0.01</f>
        <v>0.18</v>
      </c>
      <c r="W20" s="130" t="n">
        <v>0</v>
      </c>
      <c r="X20" s="120" t="n">
        <f aca="false">(V20-0.12)*5</f>
        <v>0.3</v>
      </c>
      <c r="Y20" s="497" t="n">
        <v>1</v>
      </c>
    </row>
    <row r="21" customFormat="false" ht="15.75" hidden="false" customHeight="false" outlineLevel="0" collapsed="false">
      <c r="C21" s="0" t="s">
        <v>2420</v>
      </c>
      <c r="D21" s="581" t="n">
        <v>0.35</v>
      </c>
      <c r="K21" s="0" t="s">
        <v>2420</v>
      </c>
      <c r="L21" s="581" t="n">
        <v>0.35</v>
      </c>
      <c r="M21" s="181"/>
      <c r="V21" s="0" t="n">
        <f aca="false">V20+0.01</f>
        <v>0.19</v>
      </c>
      <c r="W21" s="130" t="n">
        <v>0</v>
      </c>
      <c r="X21" s="120" t="n">
        <f aca="false">(V21-0.12)*5</f>
        <v>0.35</v>
      </c>
      <c r="Y21" s="497" t="n">
        <v>1</v>
      </c>
    </row>
    <row r="22" customFormat="false" ht="15.75" hidden="false" customHeight="false" outlineLevel="0" collapsed="false">
      <c r="C22" s="497" t="s">
        <v>2421</v>
      </c>
      <c r="D22" s="142" t="n">
        <f aca="false">D21*D16*1000</f>
        <v>0.027475</v>
      </c>
      <c r="E22" s="181" t="n">
        <f aca="false">D22*1000</f>
        <v>27.475</v>
      </c>
      <c r="K22" s="497" t="s">
        <v>2421</v>
      </c>
      <c r="L22" s="701" t="n">
        <f aca="false">L21*L16*1000</f>
        <v>2.33333333333333E-007</v>
      </c>
      <c r="M22" s="181" t="n">
        <f aca="false">L22*1000</f>
        <v>0.000233333333333333</v>
      </c>
      <c r="V22" s="0" t="n">
        <f aca="false">V21+0.01</f>
        <v>0.2</v>
      </c>
      <c r="W22" s="130" t="n">
        <v>0</v>
      </c>
      <c r="X22" s="120" t="n">
        <f aca="false">(V22-0.12)*5</f>
        <v>0.4</v>
      </c>
      <c r="Y22" s="497" t="n">
        <v>1</v>
      </c>
    </row>
    <row r="23" customFormat="false" ht="15.75" hidden="false" customHeight="false" outlineLevel="0" collapsed="false">
      <c r="C23" s="0" t="s">
        <v>2422</v>
      </c>
      <c r="D23" s="130" t="n">
        <f aca="false">0.02*1000</f>
        <v>20</v>
      </c>
      <c r="K23" s="0" t="s">
        <v>2422</v>
      </c>
      <c r="L23" s="130" t="n">
        <f aca="false">0.02*1000</f>
        <v>20</v>
      </c>
      <c r="M23" s="181"/>
      <c r="V23" s="0" t="n">
        <f aca="false">V22+0.01</f>
        <v>0.21</v>
      </c>
      <c r="W23" s="130" t="n">
        <v>0</v>
      </c>
      <c r="X23" s="120" t="n">
        <f aca="false">(V23-0.12)*5</f>
        <v>0.45</v>
      </c>
      <c r="Y23" s="497" t="n">
        <v>1</v>
      </c>
    </row>
    <row r="24" customFormat="false" ht="15.75" hidden="false" customHeight="false" outlineLevel="0" collapsed="false">
      <c r="C24" s="0" t="s">
        <v>2423</v>
      </c>
      <c r="D24" s="142" t="n">
        <f aca="false">D23*D16</f>
        <v>0.00157</v>
      </c>
      <c r="K24" s="0" t="s">
        <v>2423</v>
      </c>
      <c r="L24" s="142" t="n">
        <f aca="false">L23*L16</f>
        <v>1.33333333333333E-008</v>
      </c>
      <c r="M24" s="181"/>
      <c r="V24" s="0" t="n">
        <f aca="false">V23+0.01</f>
        <v>0.22</v>
      </c>
      <c r="W24" s="130" t="n">
        <v>0</v>
      </c>
      <c r="X24" s="120" t="n">
        <f aca="false">(V24-0.12)*5</f>
        <v>0.5</v>
      </c>
      <c r="Y24" s="497" t="n">
        <v>1</v>
      </c>
    </row>
    <row r="25" customFormat="false" ht="15.75" hidden="false" customHeight="false" outlineLevel="0" collapsed="false">
      <c r="B25" s="0" t="s">
        <v>328</v>
      </c>
      <c r="C25" s="0" t="s">
        <v>2410</v>
      </c>
      <c r="D25" s="130" t="n">
        <v>1</v>
      </c>
      <c r="J25" s="0" t="s">
        <v>328</v>
      </c>
      <c r="K25" s="0" t="s">
        <v>2410</v>
      </c>
      <c r="L25" s="130" t="n">
        <v>0.01</v>
      </c>
      <c r="M25" s="181"/>
      <c r="V25" s="0" t="n">
        <f aca="false">V24+0.01</f>
        <v>0.23</v>
      </c>
      <c r="W25" s="130" t="n">
        <v>0</v>
      </c>
      <c r="X25" s="120" t="n">
        <f aca="false">(V25-0.12)*5</f>
        <v>0.55</v>
      </c>
      <c r="Y25" s="497" t="n">
        <v>1</v>
      </c>
    </row>
    <row r="26" customFormat="false" ht="15.75" hidden="false" customHeight="false" outlineLevel="0" collapsed="false">
      <c r="B26" s="0" t="s">
        <v>2424</v>
      </c>
      <c r="C26" s="0" t="s">
        <v>2414</v>
      </c>
      <c r="D26" s="142" t="n">
        <v>0.0002</v>
      </c>
      <c r="J26" s="0" t="s">
        <v>2424</v>
      </c>
      <c r="K26" s="0" t="s">
        <v>2414</v>
      </c>
      <c r="L26" s="142" t="n">
        <f aca="false">L13</f>
        <v>2E-007</v>
      </c>
      <c r="M26" s="181"/>
      <c r="V26" s="0" t="n">
        <f aca="false">V25+0.01</f>
        <v>0.24</v>
      </c>
      <c r="W26" s="130" t="n">
        <v>0</v>
      </c>
      <c r="X26" s="120" t="n">
        <f aca="false">(V26-0.12)*5</f>
        <v>0.6</v>
      </c>
      <c r="Y26" s="497" t="n">
        <v>1</v>
      </c>
    </row>
    <row r="27" customFormat="false" ht="15.75" hidden="false" customHeight="false" outlineLevel="0" collapsed="false">
      <c r="C27" s="0" t="s">
        <v>2417</v>
      </c>
      <c r="D27" s="142" t="n">
        <f aca="false">D26*D25</f>
        <v>0.0002</v>
      </c>
      <c r="E27" s="181" t="n">
        <f aca="false">D27*1000*1000</f>
        <v>200</v>
      </c>
      <c r="K27" s="0" t="s">
        <v>2417</v>
      </c>
      <c r="L27" s="142" t="n">
        <f aca="false">L26*L25</f>
        <v>2E-009</v>
      </c>
      <c r="M27" s="181" t="n">
        <f aca="false">L27*1000*1000</f>
        <v>0.002</v>
      </c>
      <c r="V27" s="0" t="n">
        <f aca="false">V26+0.01</f>
        <v>0.25</v>
      </c>
      <c r="W27" s="130" t="n">
        <v>0</v>
      </c>
      <c r="X27" s="120" t="n">
        <f aca="false">(V27-0.12)*5</f>
        <v>0.65</v>
      </c>
      <c r="Y27" s="497" t="n">
        <v>1</v>
      </c>
    </row>
    <row r="28" customFormat="false" ht="15.75" hidden="false" customHeight="false" outlineLevel="0" collapsed="false">
      <c r="C28" s="0" t="s">
        <v>2416</v>
      </c>
      <c r="D28" s="142" t="n">
        <f aca="false">SQRT(D26/3.1416)</f>
        <v>0.00797883627903911</v>
      </c>
      <c r="K28" s="0" t="s">
        <v>2416</v>
      </c>
      <c r="L28" s="142" t="n">
        <f aca="false">SQRT(L26/3.1416)</f>
        <v>0.000252312957193464</v>
      </c>
      <c r="M28" s="181"/>
      <c r="V28" s="0" t="n">
        <f aca="false">V27+0.01</f>
        <v>0.26</v>
      </c>
      <c r="W28" s="130" t="n">
        <v>0</v>
      </c>
      <c r="X28" s="120" t="n">
        <f aca="false">(V28-0.12)*5</f>
        <v>0.7</v>
      </c>
      <c r="Y28" s="497" t="n">
        <v>1</v>
      </c>
    </row>
    <row r="29" customFormat="false" ht="15.75" hidden="false" customHeight="false" outlineLevel="0" collapsed="false">
      <c r="C29" s="0" t="s">
        <v>20</v>
      </c>
      <c r="D29" s="142" t="n">
        <f aca="false">2*3.1416*D28*D25</f>
        <v>0.0501326241084586</v>
      </c>
      <c r="F29" s="142"/>
      <c r="K29" s="0" t="s">
        <v>20</v>
      </c>
      <c r="L29" s="142" t="n">
        <f aca="false">2*3.1416*L28*L25</f>
        <v>1.58533277263797E-005</v>
      </c>
      <c r="M29" s="181"/>
      <c r="N29" s="142"/>
      <c r="V29" s="0" t="n">
        <f aca="false">V28+0.01</f>
        <v>0.27</v>
      </c>
      <c r="W29" s="130" t="n">
        <v>0</v>
      </c>
      <c r="X29" s="120" t="n">
        <f aca="false">(V29-0.12)*5</f>
        <v>0.75</v>
      </c>
      <c r="Y29" s="497" t="n">
        <v>1</v>
      </c>
    </row>
    <row r="30" customFormat="false" ht="15.75" hidden="false" customHeight="false" outlineLevel="0" collapsed="false">
      <c r="C30" s="0" t="s">
        <v>2418</v>
      </c>
      <c r="D30" s="130" t="n">
        <v>0.2</v>
      </c>
      <c r="K30" s="0" t="s">
        <v>2418</v>
      </c>
      <c r="L30" s="130" t="n">
        <v>0.2</v>
      </c>
      <c r="M30" s="181"/>
      <c r="V30" s="0" t="n">
        <f aca="false">V29+0.01</f>
        <v>0.28</v>
      </c>
      <c r="W30" s="130" t="n">
        <v>0</v>
      </c>
      <c r="X30" s="120" t="n">
        <f aca="false">(V30-0.12)*5</f>
        <v>0.8</v>
      </c>
      <c r="Y30" s="497" t="n">
        <v>1</v>
      </c>
    </row>
    <row r="31" customFormat="false" ht="15.75" hidden="false" customHeight="false" outlineLevel="0" collapsed="false">
      <c r="C31" s="497" t="s">
        <v>2419</v>
      </c>
      <c r="D31" s="142" t="n">
        <f aca="false">D30*D27*1000</f>
        <v>0.04</v>
      </c>
      <c r="E31" s="181" t="n">
        <f aca="false">D31*1000</f>
        <v>40</v>
      </c>
      <c r="K31" s="497" t="s">
        <v>2419</v>
      </c>
      <c r="L31" s="701" t="n">
        <f aca="false">L30*L27*1000</f>
        <v>4E-007</v>
      </c>
      <c r="M31" s="181" t="n">
        <f aca="false">L31*1000</f>
        <v>0.0004</v>
      </c>
      <c r="V31" s="0" t="n">
        <f aca="false">V30+0.01</f>
        <v>0.29</v>
      </c>
      <c r="W31" s="130" t="n">
        <v>0</v>
      </c>
      <c r="X31" s="120" t="n">
        <f aca="false">(V31-0.12)*5</f>
        <v>0.850000000000001</v>
      </c>
      <c r="Y31" s="497" t="n">
        <v>1</v>
      </c>
    </row>
    <row r="32" customFormat="false" ht="15.75" hidden="false" customHeight="false" outlineLevel="0" collapsed="false">
      <c r="C32" s="0" t="s">
        <v>2425</v>
      </c>
      <c r="D32" s="130" t="n">
        <f aca="false">1/1000</f>
        <v>0.001</v>
      </c>
      <c r="K32" s="0" t="s">
        <v>2406</v>
      </c>
      <c r="L32" s="130" t="n">
        <f aca="false">1/1000</f>
        <v>0.001</v>
      </c>
      <c r="M32" s="181"/>
      <c r="V32" s="0" t="n">
        <f aca="false">V31+0.01</f>
        <v>0.3</v>
      </c>
      <c r="W32" s="130" t="n">
        <v>0</v>
      </c>
      <c r="X32" s="120" t="n">
        <f aca="false">(V32-0.12)*5</f>
        <v>0.900000000000001</v>
      </c>
      <c r="Y32" s="497" t="n">
        <v>1</v>
      </c>
    </row>
    <row r="33" customFormat="false" ht="15.75" hidden="false" customHeight="false" outlineLevel="0" collapsed="false">
      <c r="C33" s="130" t="s">
        <v>2407</v>
      </c>
      <c r="D33" s="142" t="n">
        <f aca="false">D32*D31</f>
        <v>4E-005</v>
      </c>
      <c r="F33" s="181" t="n">
        <f aca="false">D31/D33</f>
        <v>1000</v>
      </c>
      <c r="K33" s="130" t="s">
        <v>2407</v>
      </c>
      <c r="L33" s="142" t="n">
        <f aca="false">L32*L31</f>
        <v>4E-010</v>
      </c>
      <c r="M33" s="181"/>
      <c r="N33" s="181" t="n">
        <f aca="false">L31/L33</f>
        <v>1000</v>
      </c>
      <c r="V33" s="0" t="n">
        <f aca="false">V32+0.01</f>
        <v>0.31</v>
      </c>
      <c r="W33" s="130" t="n">
        <v>0</v>
      </c>
      <c r="X33" s="120" t="n">
        <f aca="false">(V33-0.12)*5</f>
        <v>0.950000000000001</v>
      </c>
      <c r="Y33" s="497" t="n">
        <v>1</v>
      </c>
    </row>
    <row r="34" customFormat="false" ht="15.75" hidden="false" customHeight="false" outlineLevel="0" collapsed="false">
      <c r="C34" s="0" t="s">
        <v>2420</v>
      </c>
      <c r="D34" s="581" t="n">
        <v>0.35</v>
      </c>
      <c r="K34" s="0" t="s">
        <v>2420</v>
      </c>
      <c r="L34" s="581" t="n">
        <v>0.35</v>
      </c>
      <c r="M34" s="181"/>
      <c r="V34" s="420" t="n">
        <f aca="false">V33+0.01</f>
        <v>0.32</v>
      </c>
      <c r="W34" s="130" t="n">
        <v>0</v>
      </c>
      <c r="X34" s="120" t="n">
        <f aca="false">(V34-0.12)*5</f>
        <v>1</v>
      </c>
      <c r="Y34" s="497" t="n">
        <v>1</v>
      </c>
    </row>
    <row r="35" customFormat="false" ht="15.75" hidden="false" customHeight="false" outlineLevel="0" collapsed="false">
      <c r="C35" s="497" t="s">
        <v>2421</v>
      </c>
      <c r="D35" s="142" t="n">
        <f aca="false">D34*D27*1000</f>
        <v>0.07</v>
      </c>
      <c r="E35" s="181" t="n">
        <f aca="false">D35*1000</f>
        <v>70</v>
      </c>
      <c r="K35" s="497" t="s">
        <v>2421</v>
      </c>
      <c r="L35" s="701" t="n">
        <f aca="false">L34*L27*1000</f>
        <v>7E-007</v>
      </c>
      <c r="M35" s="181" t="n">
        <f aca="false">L35*1000</f>
        <v>0.0007</v>
      </c>
      <c r="V35" s="0" t="n">
        <f aca="false">V34+0.01</f>
        <v>0.33</v>
      </c>
      <c r="W35" s="130" t="n">
        <v>0</v>
      </c>
      <c r="X35" s="120" t="n">
        <v>1</v>
      </c>
      <c r="Y35" s="497" t="n">
        <f aca="false">1-(V35-0.32)*5</f>
        <v>0.949999999999999</v>
      </c>
    </row>
    <row r="36" customFormat="false" ht="15.75" hidden="false" customHeight="false" outlineLevel="0" collapsed="false">
      <c r="C36" s="0" t="s">
        <v>2422</v>
      </c>
      <c r="D36" s="130" t="n">
        <f aca="false">0.02*1000</f>
        <v>20</v>
      </c>
      <c r="K36" s="0" t="s">
        <v>2422</v>
      </c>
      <c r="L36" s="130" t="n">
        <f aca="false">0.02*1000</f>
        <v>20</v>
      </c>
      <c r="M36" s="181"/>
      <c r="V36" s="0" t="n">
        <f aca="false">V35+0.01</f>
        <v>0.34</v>
      </c>
      <c r="W36" s="130" t="n">
        <v>0</v>
      </c>
      <c r="X36" s="120" t="n">
        <v>1</v>
      </c>
      <c r="Y36" s="497" t="n">
        <f aca="false">1-(V36-0.32)*5</f>
        <v>0.9</v>
      </c>
    </row>
    <row r="37" customFormat="false" ht="15.75" hidden="false" customHeight="false" outlineLevel="0" collapsed="false">
      <c r="C37" s="0" t="s">
        <v>2423</v>
      </c>
      <c r="D37" s="142" t="n">
        <f aca="false">D36*D27</f>
        <v>0.004</v>
      </c>
      <c r="K37" s="0" t="s">
        <v>2423</v>
      </c>
      <c r="L37" s="142" t="n">
        <f aca="false">L36*L27</f>
        <v>4E-008</v>
      </c>
      <c r="M37" s="181"/>
      <c r="V37" s="0" t="n">
        <f aca="false">V36+0.01</f>
        <v>0.35</v>
      </c>
      <c r="W37" s="130" t="n">
        <v>0</v>
      </c>
      <c r="X37" s="120" t="n">
        <v>1</v>
      </c>
      <c r="Y37" s="497" t="n">
        <f aca="false">1-(V37-0.32)*5</f>
        <v>0.849999999999999</v>
      </c>
    </row>
    <row r="38" customFormat="false" ht="15.75" hidden="false" customHeight="false" outlineLevel="0" collapsed="false">
      <c r="B38" s="0" t="s">
        <v>341</v>
      </c>
      <c r="C38" s="0" t="s">
        <v>2410</v>
      </c>
      <c r="D38" s="130" t="n">
        <v>1</v>
      </c>
      <c r="J38" s="0" t="s">
        <v>341</v>
      </c>
      <c r="K38" s="0" t="s">
        <v>2410</v>
      </c>
      <c r="L38" s="130" t="n">
        <v>0.1</v>
      </c>
      <c r="M38" s="181"/>
      <c r="V38" s="0" t="n">
        <f aca="false">V37+0.01</f>
        <v>0.36</v>
      </c>
      <c r="W38" s="130" t="n">
        <v>0</v>
      </c>
      <c r="X38" s="120" t="n">
        <v>1</v>
      </c>
      <c r="Y38" s="497" t="n">
        <f aca="false">1-(V38-0.32)*5</f>
        <v>0.799999999999999</v>
      </c>
    </row>
    <row r="39" customFormat="false" ht="15.75" hidden="false" customHeight="false" outlineLevel="0" collapsed="false">
      <c r="B39" s="0" t="s">
        <v>2413</v>
      </c>
      <c r="C39" s="0" t="s">
        <v>2414</v>
      </c>
      <c r="D39" s="142" t="n">
        <v>0.0002</v>
      </c>
      <c r="J39" s="0" t="s">
        <v>2413</v>
      </c>
      <c r="K39" s="0" t="s">
        <v>2414</v>
      </c>
      <c r="L39" s="142" t="n">
        <f aca="false">L13</f>
        <v>2E-007</v>
      </c>
      <c r="M39" s="181"/>
      <c r="V39" s="0" t="n">
        <f aca="false">V38+0.01</f>
        <v>0.37</v>
      </c>
      <c r="W39" s="130" t="n">
        <v>0</v>
      </c>
      <c r="X39" s="120" t="n">
        <v>1</v>
      </c>
      <c r="Y39" s="497" t="n">
        <f aca="false">1-(V39-0.32)*5</f>
        <v>0.749999999999999</v>
      </c>
    </row>
    <row r="40" customFormat="false" ht="15.75" hidden="false" customHeight="false" outlineLevel="0" collapsed="false">
      <c r="C40" s="0" t="s">
        <v>2416</v>
      </c>
      <c r="D40" s="142" t="n">
        <f aca="false">SQRT(D39/3.1416)</f>
        <v>0.00797883627903911</v>
      </c>
      <c r="K40" s="0" t="s">
        <v>2416</v>
      </c>
      <c r="L40" s="142" t="n">
        <f aca="false">SQRT(L39/3.1416)</f>
        <v>0.000252312957193464</v>
      </c>
      <c r="M40" s="181"/>
      <c r="V40" s="0" t="n">
        <f aca="false">V39+0.01</f>
        <v>0.38</v>
      </c>
      <c r="W40" s="130" t="n">
        <v>0</v>
      </c>
      <c r="X40" s="120" t="n">
        <v>1</v>
      </c>
      <c r="Y40" s="497" t="n">
        <f aca="false">1-(V40-0.32)*5</f>
        <v>0.699999999999999</v>
      </c>
    </row>
    <row r="41" customFormat="false" ht="15.75" hidden="false" customHeight="false" outlineLevel="0" collapsed="false">
      <c r="C41" s="0" t="s">
        <v>20</v>
      </c>
      <c r="D41" s="142" t="n">
        <f aca="false">3.1416*D40*SQRT(D40^2+D38^2)</f>
        <v>0.0250671099251589</v>
      </c>
      <c r="K41" s="0" t="s">
        <v>20</v>
      </c>
      <c r="L41" s="142" t="n">
        <f aca="false">3.1416*L40*SQRT(L40^2+L38^2)</f>
        <v>7.92668909444542E-005</v>
      </c>
      <c r="M41" s="181"/>
      <c r="V41" s="0" t="n">
        <f aca="false">V40+0.01</f>
        <v>0.39</v>
      </c>
      <c r="W41" s="130" t="n">
        <v>0</v>
      </c>
      <c r="X41" s="120" t="n">
        <v>1</v>
      </c>
      <c r="Y41" s="497" t="n">
        <f aca="false">1-(V41-0.32)*5</f>
        <v>0.649999999999999</v>
      </c>
    </row>
    <row r="42" customFormat="false" ht="15.75" hidden="false" customHeight="false" outlineLevel="0" collapsed="false">
      <c r="C42" s="0" t="s">
        <v>2417</v>
      </c>
      <c r="D42" s="142" t="n">
        <f aca="false">D39*D38/3</f>
        <v>6.66666666666667E-005</v>
      </c>
      <c r="E42" s="181" t="n">
        <f aca="false">D42*1000*1000</f>
        <v>66.6666666666667</v>
      </c>
      <c r="K42" s="0" t="s">
        <v>2417</v>
      </c>
      <c r="L42" s="142" t="n">
        <f aca="false">L39*L38/3</f>
        <v>6.66666666666667E-009</v>
      </c>
      <c r="M42" s="181" t="n">
        <f aca="false">L42*1000*1000</f>
        <v>0.00666666666666667</v>
      </c>
      <c r="V42" s="0" t="n">
        <f aca="false">V41+0.01</f>
        <v>0.4</v>
      </c>
      <c r="W42" s="130" t="n">
        <v>0</v>
      </c>
      <c r="X42" s="120" t="n">
        <v>1</v>
      </c>
      <c r="Y42" s="497" t="n">
        <f aca="false">1-(V42-0.32)*5</f>
        <v>0.599999999999999</v>
      </c>
    </row>
    <row r="43" customFormat="false" ht="15.75" hidden="false" customHeight="false" outlineLevel="0" collapsed="false">
      <c r="C43" s="0" t="s">
        <v>2418</v>
      </c>
      <c r="D43" s="130" t="n">
        <v>0.2</v>
      </c>
      <c r="K43" s="0" t="s">
        <v>2418</v>
      </c>
      <c r="L43" s="130" t="n">
        <v>0.2</v>
      </c>
      <c r="M43" s="181"/>
      <c r="V43" s="0" t="n">
        <f aca="false">V42+0.01</f>
        <v>0.41</v>
      </c>
      <c r="W43" s="130" t="n">
        <v>0</v>
      </c>
      <c r="X43" s="120" t="n">
        <v>1</v>
      </c>
      <c r="Y43" s="497" t="n">
        <f aca="false">1-(V43-0.32)*5</f>
        <v>0.549999999999999</v>
      </c>
    </row>
    <row r="44" customFormat="false" ht="15.75" hidden="false" customHeight="false" outlineLevel="0" collapsed="false">
      <c r="C44" s="0" t="s">
        <v>2419</v>
      </c>
      <c r="D44" s="142" t="n">
        <f aca="false">D43*D42*1000</f>
        <v>0.0133333333333333</v>
      </c>
      <c r="E44" s="181" t="n">
        <f aca="false">D44*1000</f>
        <v>13.3333333333333</v>
      </c>
      <c r="K44" s="497" t="s">
        <v>2419</v>
      </c>
      <c r="L44" s="701" t="n">
        <f aca="false">L43*L42*1000</f>
        <v>1.33333333333333E-006</v>
      </c>
      <c r="M44" s="181" t="n">
        <f aca="false">L44*1000</f>
        <v>0.00133333333333333</v>
      </c>
      <c r="V44" s="0" t="n">
        <f aca="false">V43+0.01</f>
        <v>0.42</v>
      </c>
      <c r="W44" s="130" t="n">
        <v>0</v>
      </c>
      <c r="X44" s="120" t="n">
        <v>1</v>
      </c>
      <c r="Y44" s="497" t="n">
        <f aca="false">1-(V44-0.32)*5</f>
        <v>0.499999999999999</v>
      </c>
    </row>
    <row r="45" customFormat="false" ht="15.75" hidden="false" customHeight="false" outlineLevel="0" collapsed="false">
      <c r="C45" s="0" t="s">
        <v>2406</v>
      </c>
      <c r="D45" s="130" t="n">
        <f aca="false">1/1000</f>
        <v>0.001</v>
      </c>
      <c r="K45" s="0" t="s">
        <v>2406</v>
      </c>
      <c r="L45" s="130" t="n">
        <f aca="false">1/1000</f>
        <v>0.001</v>
      </c>
      <c r="M45" s="181"/>
      <c r="V45" s="0" t="n">
        <f aca="false">V44+0.01</f>
        <v>0.43</v>
      </c>
      <c r="W45" s="130" t="n">
        <v>0</v>
      </c>
      <c r="X45" s="120" t="n">
        <v>1</v>
      </c>
      <c r="Y45" s="497" t="n">
        <f aca="false">1-(V45-0.32)*5</f>
        <v>0.449999999999999</v>
      </c>
    </row>
    <row r="46" customFormat="false" ht="15.75" hidden="false" customHeight="false" outlineLevel="0" collapsed="false">
      <c r="C46" s="130" t="s">
        <v>2407</v>
      </c>
      <c r="D46" s="142" t="n">
        <f aca="false">D45*D44</f>
        <v>1.33333333333333E-005</v>
      </c>
      <c r="F46" s="181" t="n">
        <f aca="false">D44/D46</f>
        <v>1000</v>
      </c>
      <c r="K46" s="130" t="s">
        <v>2407</v>
      </c>
      <c r="L46" s="142" t="n">
        <f aca="false">L45*L44</f>
        <v>1.33333333333333E-009</v>
      </c>
      <c r="M46" s="181"/>
      <c r="N46" s="181" t="n">
        <f aca="false">L44/L46</f>
        <v>1000</v>
      </c>
      <c r="V46" s="0" t="n">
        <f aca="false">V45+0.01</f>
        <v>0.44</v>
      </c>
      <c r="W46" s="130" t="n">
        <v>0</v>
      </c>
      <c r="X46" s="120" t="n">
        <v>1</v>
      </c>
      <c r="Y46" s="497" t="n">
        <f aca="false">1-(V46-0.32)*5</f>
        <v>0.399999999999999</v>
      </c>
    </row>
    <row r="47" customFormat="false" ht="15.75" hidden="false" customHeight="false" outlineLevel="0" collapsed="false">
      <c r="C47" s="0" t="s">
        <v>2420</v>
      </c>
      <c r="D47" s="581" t="n">
        <v>0.35</v>
      </c>
      <c r="K47" s="0" t="s">
        <v>2420</v>
      </c>
      <c r="L47" s="581" t="n">
        <v>0.35</v>
      </c>
      <c r="M47" s="181"/>
      <c r="V47" s="0" t="n">
        <f aca="false">V46+0.01</f>
        <v>0.45</v>
      </c>
      <c r="W47" s="130" t="n">
        <v>0</v>
      </c>
      <c r="X47" s="120" t="n">
        <v>1</v>
      </c>
      <c r="Y47" s="497" t="n">
        <f aca="false">1-(V47-0.32)*5</f>
        <v>0.349999999999999</v>
      </c>
    </row>
    <row r="48" customFormat="false" ht="15.75" hidden="false" customHeight="false" outlineLevel="0" collapsed="false">
      <c r="C48" s="0" t="s">
        <v>2421</v>
      </c>
      <c r="D48" s="142" t="n">
        <f aca="false">D47*D42*1000</f>
        <v>0.0233333333333333</v>
      </c>
      <c r="E48" s="181" t="n">
        <f aca="false">D48*1000</f>
        <v>23.3333333333333</v>
      </c>
      <c r="K48" s="497" t="s">
        <v>2421</v>
      </c>
      <c r="L48" s="701" t="n">
        <f aca="false">L47*L42*1000</f>
        <v>2.33333333333333E-006</v>
      </c>
      <c r="M48" s="181" t="n">
        <f aca="false">L48*1000</f>
        <v>0.00233333333333333</v>
      </c>
      <c r="V48" s="0" t="n">
        <f aca="false">V47+0.01</f>
        <v>0.46</v>
      </c>
      <c r="W48" s="130" t="n">
        <v>0</v>
      </c>
      <c r="X48" s="120" t="n">
        <v>1</v>
      </c>
      <c r="Y48" s="497" t="n">
        <f aca="false">1-(V48-0.32)*5</f>
        <v>0.299999999999999</v>
      </c>
    </row>
    <row r="49" customFormat="false" ht="15.75" hidden="false" customHeight="false" outlineLevel="0" collapsed="false">
      <c r="C49" s="0" t="s">
        <v>2422</v>
      </c>
      <c r="D49" s="130" t="n">
        <f aca="false">0.02*1000</f>
        <v>20</v>
      </c>
      <c r="K49" s="0" t="s">
        <v>2422</v>
      </c>
      <c r="L49" s="130" t="n">
        <f aca="false">0.02*1000</f>
        <v>20</v>
      </c>
      <c r="M49" s="181"/>
      <c r="V49" s="0" t="n">
        <f aca="false">V48+0.01</f>
        <v>0.47</v>
      </c>
      <c r="W49" s="130" t="n">
        <v>0</v>
      </c>
      <c r="X49" s="120" t="n">
        <v>1</v>
      </c>
      <c r="Y49" s="497" t="n">
        <f aca="false">1-(V49-0.32)*5</f>
        <v>0.249999999999999</v>
      </c>
    </row>
    <row r="50" customFormat="false" ht="15.75" hidden="false" customHeight="false" outlineLevel="0" collapsed="false">
      <c r="C50" s="0" t="s">
        <v>2423</v>
      </c>
      <c r="D50" s="142" t="n">
        <f aca="false">D49*D42</f>
        <v>0.00133333333333333</v>
      </c>
      <c r="K50" s="0" t="s">
        <v>2423</v>
      </c>
      <c r="L50" s="142" t="n">
        <f aca="false">L49*L42</f>
        <v>1.33333333333333E-007</v>
      </c>
      <c r="M50" s="181"/>
      <c r="V50" s="0" t="n">
        <f aca="false">V49+0.01</f>
        <v>0.48</v>
      </c>
      <c r="W50" s="130" t="n">
        <v>0</v>
      </c>
      <c r="X50" s="120" t="n">
        <v>1</v>
      </c>
      <c r="Y50" s="497" t="n">
        <f aca="false">1-(V50-0.32)*5</f>
        <v>0.199999999999999</v>
      </c>
    </row>
    <row r="51" customFormat="false" ht="15.75" hidden="false" customHeight="false" outlineLevel="0" collapsed="false">
      <c r="V51" s="0" t="n">
        <f aca="false">V50+0.01</f>
        <v>0.49</v>
      </c>
      <c r="W51" s="130" t="n">
        <v>0</v>
      </c>
      <c r="X51" s="120" t="n">
        <v>1</v>
      </c>
      <c r="Y51" s="497" t="n">
        <f aca="false">1-(V51-0.32)*5</f>
        <v>0.149999999999999</v>
      </c>
    </row>
    <row r="52" customFormat="false" ht="15.75" hidden="false" customHeight="false" outlineLevel="0" collapsed="false">
      <c r="V52" s="0" t="n">
        <f aca="false">V51+0.01</f>
        <v>0.5</v>
      </c>
      <c r="W52" s="130" t="n">
        <v>0</v>
      </c>
      <c r="X52" s="120" t="n">
        <v>1</v>
      </c>
      <c r="Y52" s="497" t="n">
        <f aca="false">1-(V52-0.32)*5</f>
        <v>0.099999999999999</v>
      </c>
    </row>
    <row r="53" customFormat="false" ht="15.75" hidden="false" customHeight="false" outlineLevel="0" collapsed="false">
      <c r="V53" s="0" t="n">
        <f aca="false">V52+0.01</f>
        <v>0.51</v>
      </c>
      <c r="W53" s="130" t="n">
        <v>0</v>
      </c>
      <c r="X53" s="120" t="n">
        <v>1</v>
      </c>
      <c r="Y53" s="497" t="n">
        <f aca="false">1-(V53-0.32)*5</f>
        <v>0.0499999999999989</v>
      </c>
    </row>
    <row r="54" customFormat="false" ht="15.75" hidden="false" customHeight="false" outlineLevel="0" collapsed="false">
      <c r="V54" s="420" t="n">
        <f aca="false">V53+0.01</f>
        <v>0.52</v>
      </c>
      <c r="W54" s="130" t="n">
        <v>0</v>
      </c>
      <c r="X54" s="120" t="n">
        <v>1</v>
      </c>
      <c r="Y54" s="497" t="n">
        <f aca="false">1-(V54-0.32)*5</f>
        <v>0</v>
      </c>
    </row>
    <row r="55" customFormat="false" ht="15.75" hidden="false" customHeight="false" outlineLevel="0" collapsed="false">
      <c r="V55" s="0" t="n">
        <f aca="false">V54+0.01</f>
        <v>0.53</v>
      </c>
      <c r="W55" s="130" t="n">
        <f aca="false">(V55-0.52)*5</f>
        <v>0.0500000000000012</v>
      </c>
      <c r="X55" s="120" t="n">
        <v>1</v>
      </c>
      <c r="Y55" s="497" t="n">
        <v>0</v>
      </c>
    </row>
    <row r="56" customFormat="false" ht="15.75" hidden="false" customHeight="false" outlineLevel="0" collapsed="false">
      <c r="V56" s="0" t="n">
        <f aca="false">V55+0.01</f>
        <v>0.54</v>
      </c>
      <c r="W56" s="130" t="n">
        <f aca="false">(V56-0.52)*5</f>
        <v>0.100000000000001</v>
      </c>
      <c r="X56" s="120" t="n">
        <v>1</v>
      </c>
      <c r="Y56" s="497" t="n">
        <v>0</v>
      </c>
    </row>
    <row r="57" customFormat="false" ht="15.75" hidden="false" customHeight="false" outlineLevel="0" collapsed="false">
      <c r="V57" s="0" t="n">
        <f aca="false">V56+0.01</f>
        <v>0.55</v>
      </c>
      <c r="W57" s="130" t="n">
        <f aca="false">(V57-0.52)*5</f>
        <v>0.150000000000001</v>
      </c>
      <c r="X57" s="120" t="n">
        <v>1</v>
      </c>
      <c r="Y57" s="497" t="n">
        <v>0</v>
      </c>
    </row>
    <row r="58" customFormat="false" ht="15.75" hidden="false" customHeight="false" outlineLevel="0" collapsed="false">
      <c r="V58" s="0" t="n">
        <f aca="false">V57+0.01</f>
        <v>0.56</v>
      </c>
      <c r="W58" s="130" t="n">
        <f aca="false">(V58-0.52)*5</f>
        <v>0.200000000000001</v>
      </c>
      <c r="X58" s="120" t="n">
        <v>1</v>
      </c>
      <c r="Y58" s="497" t="n">
        <v>0</v>
      </c>
    </row>
    <row r="59" customFormat="false" ht="15.75" hidden="false" customHeight="false" outlineLevel="0" collapsed="false">
      <c r="V59" s="0" t="n">
        <f aca="false">V58+0.01</f>
        <v>0.57</v>
      </c>
      <c r="W59" s="130" t="n">
        <f aca="false">(V59-0.52)*5</f>
        <v>0.250000000000001</v>
      </c>
      <c r="X59" s="120" t="n">
        <v>1</v>
      </c>
      <c r="Y59" s="497" t="n">
        <v>0</v>
      </c>
    </row>
    <row r="60" customFormat="false" ht="15.75" hidden="false" customHeight="false" outlineLevel="0" collapsed="false">
      <c r="V60" s="0" t="n">
        <f aca="false">V59+0.01</f>
        <v>0.58</v>
      </c>
      <c r="W60" s="130" t="n">
        <f aca="false">(V60-0.52)*5</f>
        <v>0.300000000000001</v>
      </c>
      <c r="X60" s="120" t="n">
        <v>1</v>
      </c>
      <c r="Y60" s="497" t="n">
        <v>0</v>
      </c>
    </row>
    <row r="61" customFormat="false" ht="15.75" hidden="false" customHeight="false" outlineLevel="0" collapsed="false">
      <c r="V61" s="0" t="n">
        <f aca="false">V60+0.01</f>
        <v>0.59</v>
      </c>
      <c r="W61" s="130" t="n">
        <f aca="false">(V61-0.52)*5</f>
        <v>0.350000000000001</v>
      </c>
      <c r="X61" s="120" t="n">
        <v>1</v>
      </c>
      <c r="Y61" s="497" t="n">
        <v>0</v>
      </c>
    </row>
    <row r="62" customFormat="false" ht="15.75" hidden="false" customHeight="false" outlineLevel="0" collapsed="false">
      <c r="V62" s="0" t="n">
        <f aca="false">V61+0.01</f>
        <v>0.6</v>
      </c>
      <c r="W62" s="130" t="n">
        <f aca="false">(V62-0.52)*5</f>
        <v>0.400000000000001</v>
      </c>
      <c r="X62" s="120" t="n">
        <v>1</v>
      </c>
      <c r="Y62" s="497" t="n">
        <v>0</v>
      </c>
    </row>
    <row r="63" customFormat="false" ht="15.75" hidden="false" customHeight="false" outlineLevel="0" collapsed="false">
      <c r="V63" s="0" t="n">
        <f aca="false">V62+0.01</f>
        <v>0.61</v>
      </c>
      <c r="W63" s="130" t="n">
        <f aca="false">(V63-0.52)*5</f>
        <v>0.450000000000002</v>
      </c>
      <c r="X63" s="120" t="n">
        <v>1</v>
      </c>
      <c r="Y63" s="497" t="n">
        <v>0</v>
      </c>
    </row>
    <row r="64" customFormat="false" ht="15.75" hidden="false" customHeight="false" outlineLevel="0" collapsed="false">
      <c r="V64" s="0" t="n">
        <f aca="false">V63+0.01</f>
        <v>0.62</v>
      </c>
      <c r="W64" s="130" t="n">
        <f aca="false">(V64-0.52)*5</f>
        <v>0.500000000000002</v>
      </c>
      <c r="X64" s="120" t="n">
        <v>1</v>
      </c>
      <c r="Y64" s="497" t="n">
        <v>0</v>
      </c>
    </row>
    <row r="65" customFormat="false" ht="15.75" hidden="false" customHeight="false" outlineLevel="0" collapsed="false">
      <c r="V65" s="0" t="n">
        <f aca="false">V64+0.01</f>
        <v>0.63</v>
      </c>
      <c r="W65" s="130" t="n">
        <f aca="false">(V65-0.52)*5</f>
        <v>0.550000000000002</v>
      </c>
      <c r="X65" s="120" t="n">
        <v>1</v>
      </c>
      <c r="Y65" s="497" t="n">
        <v>0</v>
      </c>
    </row>
    <row r="66" customFormat="false" ht="15.75" hidden="false" customHeight="false" outlineLevel="0" collapsed="false">
      <c r="V66" s="0" t="n">
        <f aca="false">V65+0.01</f>
        <v>0.64</v>
      </c>
      <c r="W66" s="130" t="n">
        <f aca="false">(V66-0.52)*5</f>
        <v>0.600000000000002</v>
      </c>
      <c r="X66" s="120" t="n">
        <v>1</v>
      </c>
      <c r="Y66" s="497" t="n">
        <v>0</v>
      </c>
    </row>
    <row r="67" customFormat="false" ht="15.75" hidden="false" customHeight="false" outlineLevel="0" collapsed="false">
      <c r="V67" s="0" t="n">
        <f aca="false">V66+0.01</f>
        <v>0.65</v>
      </c>
      <c r="W67" s="130" t="n">
        <f aca="false">(V67-0.52)*5</f>
        <v>0.650000000000002</v>
      </c>
      <c r="X67" s="120" t="n">
        <v>1</v>
      </c>
      <c r="Y67" s="497" t="n">
        <v>0</v>
      </c>
    </row>
    <row r="68" customFormat="false" ht="15.75" hidden="false" customHeight="false" outlineLevel="0" collapsed="false">
      <c r="V68" s="0" t="n">
        <f aca="false">V67+0.01</f>
        <v>0.66</v>
      </c>
      <c r="W68" s="130" t="n">
        <f aca="false">(V68-0.52)*5</f>
        <v>0.700000000000002</v>
      </c>
      <c r="X68" s="120" t="n">
        <v>1</v>
      </c>
      <c r="Y68" s="497" t="n">
        <v>0</v>
      </c>
    </row>
    <row r="69" customFormat="false" ht="15.75" hidden="false" customHeight="false" outlineLevel="0" collapsed="false">
      <c r="V69" s="0" t="n">
        <f aca="false">V68+0.01</f>
        <v>0.67</v>
      </c>
      <c r="W69" s="130" t="n">
        <f aca="false">(V69-0.52)*5</f>
        <v>0.750000000000002</v>
      </c>
      <c r="X69" s="120" t="n">
        <v>1</v>
      </c>
      <c r="Y69" s="497" t="n">
        <v>0</v>
      </c>
    </row>
    <row r="70" customFormat="false" ht="15.75" hidden="false" customHeight="false" outlineLevel="0" collapsed="false">
      <c r="V70" s="0" t="n">
        <f aca="false">V69+0.01</f>
        <v>0.68</v>
      </c>
      <c r="W70" s="130" t="n">
        <f aca="false">(V70-0.52)*5</f>
        <v>0.800000000000002</v>
      </c>
      <c r="X70" s="120" t="n">
        <v>1</v>
      </c>
      <c r="Y70" s="497" t="n">
        <v>0</v>
      </c>
    </row>
    <row r="71" customFormat="false" ht="15.75" hidden="false" customHeight="false" outlineLevel="0" collapsed="false">
      <c r="V71" s="0" t="n">
        <f aca="false">V70+0.01</f>
        <v>0.69</v>
      </c>
      <c r="W71" s="130" t="n">
        <f aca="false">(V71-0.52)*5</f>
        <v>0.850000000000002</v>
      </c>
      <c r="X71" s="120" t="n">
        <v>1</v>
      </c>
      <c r="Y71" s="497" t="n">
        <v>0</v>
      </c>
    </row>
    <row r="72" customFormat="false" ht="15.75" hidden="false" customHeight="false" outlineLevel="0" collapsed="false">
      <c r="V72" s="0" t="n">
        <f aca="false">V71+0.01</f>
        <v>0.7</v>
      </c>
      <c r="W72" s="130" t="n">
        <f aca="false">(V72-0.52)*5</f>
        <v>0.900000000000002</v>
      </c>
      <c r="X72" s="120" t="n">
        <v>1</v>
      </c>
      <c r="Y72" s="497" t="n">
        <v>0</v>
      </c>
    </row>
    <row r="73" customFormat="false" ht="15.75" hidden="false" customHeight="false" outlineLevel="0" collapsed="false">
      <c r="V73" s="0" t="n">
        <f aca="false">V72+0.01</f>
        <v>0.71</v>
      </c>
      <c r="W73" s="130" t="n">
        <f aca="false">(V73-0.52)*5</f>
        <v>0.950000000000002</v>
      </c>
      <c r="X73" s="120" t="n">
        <v>1</v>
      </c>
      <c r="Y73" s="497" t="n">
        <v>0</v>
      </c>
    </row>
    <row r="74" customFormat="false" ht="15.75" hidden="false" customHeight="false" outlineLevel="0" collapsed="false">
      <c r="V74" s="420" t="n">
        <f aca="false">V73+0.01</f>
        <v>0.72</v>
      </c>
      <c r="W74" s="130" t="n">
        <f aca="false">(V74-0.52)*5</f>
        <v>1</v>
      </c>
      <c r="X74" s="120" t="n">
        <v>1</v>
      </c>
      <c r="Y74" s="497" t="n">
        <v>0</v>
      </c>
    </row>
    <row r="75" customFormat="false" ht="15.75" hidden="false" customHeight="false" outlineLevel="0" collapsed="false">
      <c r="V75" s="0" t="n">
        <f aca="false">V74+0.01</f>
        <v>0.73</v>
      </c>
      <c r="W75" s="130" t="n">
        <v>1</v>
      </c>
      <c r="X75" s="120" t="n">
        <f aca="false">1-(V75-0.72)*5</f>
        <v>0.949999999999998</v>
      </c>
      <c r="Y75" s="497" t="n">
        <v>0</v>
      </c>
    </row>
    <row r="76" customFormat="false" ht="15.75" hidden="false" customHeight="false" outlineLevel="0" collapsed="false">
      <c r="V76" s="0" t="n">
        <f aca="false">V75+0.01</f>
        <v>0.74</v>
      </c>
      <c r="W76" s="130" t="n">
        <v>1</v>
      </c>
      <c r="X76" s="120" t="n">
        <f aca="false">1-(V76-0.72)*5</f>
        <v>0.899999999999998</v>
      </c>
      <c r="Y76" s="497" t="n">
        <v>0</v>
      </c>
    </row>
    <row r="77" customFormat="false" ht="15.75" hidden="false" customHeight="false" outlineLevel="0" collapsed="false">
      <c r="V77" s="0" t="n">
        <f aca="false">V76+0.01</f>
        <v>0.75</v>
      </c>
      <c r="W77" s="130" t="n">
        <v>1</v>
      </c>
      <c r="X77" s="120" t="n">
        <f aca="false">1-(V77-0.72)*5</f>
        <v>0.849999999999998</v>
      </c>
      <c r="Y77" s="497" t="n">
        <v>0</v>
      </c>
    </row>
    <row r="78" customFormat="false" ht="15.75" hidden="false" customHeight="false" outlineLevel="0" collapsed="false">
      <c r="V78" s="0" t="n">
        <f aca="false">V77+0.01</f>
        <v>0.76</v>
      </c>
      <c r="W78" s="130" t="n">
        <v>1</v>
      </c>
      <c r="X78" s="120" t="n">
        <f aca="false">1-(V78-0.72)*5</f>
        <v>0.799999999999998</v>
      </c>
      <c r="Y78" s="497" t="n">
        <v>0</v>
      </c>
    </row>
    <row r="79" customFormat="false" ht="15.75" hidden="false" customHeight="false" outlineLevel="0" collapsed="false">
      <c r="V79" s="0" t="n">
        <f aca="false">V78+0.01</f>
        <v>0.77</v>
      </c>
      <c r="W79" s="130" t="n">
        <v>1</v>
      </c>
      <c r="X79" s="120" t="n">
        <f aca="false">1-(V79-0.72)*5</f>
        <v>0.749999999999998</v>
      </c>
      <c r="Y79" s="497" t="n">
        <v>0</v>
      </c>
    </row>
    <row r="80" customFormat="false" ht="15.75" hidden="false" customHeight="false" outlineLevel="0" collapsed="false">
      <c r="V80" s="0" t="n">
        <f aca="false">V79+0.01</f>
        <v>0.78</v>
      </c>
      <c r="W80" s="130" t="n">
        <v>1</v>
      </c>
      <c r="X80" s="120" t="n">
        <f aca="false">1-(V80-0.72)*5</f>
        <v>0.699999999999998</v>
      </c>
      <c r="Y80" s="497" t="n">
        <v>0</v>
      </c>
    </row>
    <row r="81" customFormat="false" ht="15.75" hidden="false" customHeight="false" outlineLevel="0" collapsed="false">
      <c r="V81" s="0" t="n">
        <f aca="false">V80+0.01</f>
        <v>0.790000000000001</v>
      </c>
      <c r="W81" s="130" t="n">
        <v>1</v>
      </c>
      <c r="X81" s="120" t="n">
        <f aca="false">1-(V81-0.72)*5</f>
        <v>0.649999999999997</v>
      </c>
      <c r="Y81" s="497" t="n">
        <v>0</v>
      </c>
    </row>
    <row r="82" customFormat="false" ht="15.75" hidden="false" customHeight="false" outlineLevel="0" collapsed="false">
      <c r="V82" s="0" t="n">
        <f aca="false">V81+0.01</f>
        <v>0.8</v>
      </c>
      <c r="W82" s="130" t="n">
        <v>1</v>
      </c>
      <c r="X82" s="120" t="n">
        <f aca="false">1-(V82-0.72)*5</f>
        <v>0.599999999999997</v>
      </c>
      <c r="Y82" s="497" t="n">
        <v>0</v>
      </c>
    </row>
    <row r="83" customFormat="false" ht="15.75" hidden="false" customHeight="false" outlineLevel="0" collapsed="false">
      <c r="V83" s="0" t="n">
        <f aca="false">V82+0.01</f>
        <v>0.810000000000001</v>
      </c>
      <c r="W83" s="130" t="n">
        <v>1</v>
      </c>
      <c r="X83" s="120" t="n">
        <f aca="false">1-(V83-0.72)*5</f>
        <v>0.549999999999997</v>
      </c>
      <c r="Y83" s="497" t="n">
        <v>0</v>
      </c>
    </row>
    <row r="84" customFormat="false" ht="15.75" hidden="false" customHeight="false" outlineLevel="0" collapsed="false">
      <c r="V84" s="0" t="n">
        <f aca="false">V83+0.01</f>
        <v>0.82</v>
      </c>
      <c r="W84" s="130" t="n">
        <v>1</v>
      </c>
      <c r="X84" s="120" t="n">
        <f aca="false">1-(V84-0.72)*5</f>
        <v>0.499999999999997</v>
      </c>
      <c r="Y84" s="497" t="n">
        <v>0</v>
      </c>
    </row>
    <row r="85" customFormat="false" ht="15.75" hidden="false" customHeight="false" outlineLevel="0" collapsed="false">
      <c r="V85" s="0" t="n">
        <f aca="false">V84+0.01</f>
        <v>0.83</v>
      </c>
      <c r="W85" s="130" t="n">
        <v>1</v>
      </c>
      <c r="X85" s="120" t="n">
        <f aca="false">1-(V85-0.72)*5</f>
        <v>0.449999999999997</v>
      </c>
      <c r="Y85" s="497" t="n">
        <v>0</v>
      </c>
    </row>
    <row r="86" customFormat="false" ht="15.75" hidden="false" customHeight="false" outlineLevel="0" collapsed="false">
      <c r="V86" s="0" t="n">
        <f aca="false">V85+0.01</f>
        <v>0.84</v>
      </c>
      <c r="W86" s="130" t="n">
        <v>1</v>
      </c>
      <c r="X86" s="120" t="n">
        <f aca="false">1-(V86-0.72)*5</f>
        <v>0.399999999999997</v>
      </c>
      <c r="Y86" s="497" t="n">
        <v>0</v>
      </c>
    </row>
    <row r="87" customFormat="false" ht="15.75" hidden="false" customHeight="false" outlineLevel="0" collapsed="false">
      <c r="V87" s="0" t="n">
        <f aca="false">V86+0.01</f>
        <v>0.850000000000001</v>
      </c>
      <c r="W87" s="130" t="n">
        <v>1</v>
      </c>
      <c r="X87" s="120" t="n">
        <f aca="false">1-(V87-0.72)*5</f>
        <v>0.349999999999997</v>
      </c>
      <c r="Y87" s="497" t="n">
        <v>0</v>
      </c>
    </row>
    <row r="88" customFormat="false" ht="15.75" hidden="false" customHeight="false" outlineLevel="0" collapsed="false">
      <c r="V88" s="0" t="n">
        <f aca="false">V87+0.01</f>
        <v>0.860000000000001</v>
      </c>
      <c r="W88" s="130" t="n">
        <v>1</v>
      </c>
      <c r="X88" s="120" t="n">
        <f aca="false">1-(V88-0.72)*5</f>
        <v>0.299999999999997</v>
      </c>
      <c r="Y88" s="497" t="n">
        <v>0</v>
      </c>
    </row>
    <row r="89" customFormat="false" ht="15.75" hidden="false" customHeight="false" outlineLevel="0" collapsed="false">
      <c r="V89" s="0" t="n">
        <f aca="false">V88+0.01</f>
        <v>0.87</v>
      </c>
      <c r="W89" s="130" t="n">
        <v>1</v>
      </c>
      <c r="X89" s="120" t="n">
        <f aca="false">1-(V89-0.72)*5</f>
        <v>0.249999999999997</v>
      </c>
      <c r="Y89" s="497" t="n">
        <v>0</v>
      </c>
    </row>
    <row r="90" customFormat="false" ht="15.75" hidden="false" customHeight="false" outlineLevel="0" collapsed="false">
      <c r="V90" s="0" t="n">
        <f aca="false">V89+0.01</f>
        <v>0.88</v>
      </c>
      <c r="W90" s="130" t="n">
        <v>1</v>
      </c>
      <c r="X90" s="120" t="n">
        <f aca="false">1-(V90-0.72)*5</f>
        <v>0.199999999999997</v>
      </c>
      <c r="Y90" s="497" t="n">
        <v>0</v>
      </c>
    </row>
    <row r="91" customFormat="false" ht="15.75" hidden="false" customHeight="false" outlineLevel="0" collapsed="false">
      <c r="V91" s="0" t="n">
        <f aca="false">V90+0.01</f>
        <v>0.890000000000001</v>
      </c>
      <c r="W91" s="130" t="n">
        <v>1</v>
      </c>
      <c r="X91" s="120" t="n">
        <f aca="false">1-(V91-0.72)*5</f>
        <v>0.149999999999997</v>
      </c>
      <c r="Y91" s="497" t="n">
        <v>0</v>
      </c>
    </row>
    <row r="92" customFormat="false" ht="15.75" hidden="false" customHeight="false" outlineLevel="0" collapsed="false">
      <c r="V92" s="0" t="n">
        <f aca="false">V91+0.01</f>
        <v>0.900000000000001</v>
      </c>
      <c r="W92" s="130" t="n">
        <v>1</v>
      </c>
      <c r="X92" s="120" t="n">
        <f aca="false">1-(V92-0.72)*5</f>
        <v>0.099999999999997</v>
      </c>
      <c r="Y92" s="497" t="n">
        <v>0</v>
      </c>
    </row>
    <row r="93" customFormat="false" ht="15.75" hidden="false" customHeight="false" outlineLevel="0" collapsed="false">
      <c r="V93" s="0" t="n">
        <f aca="false">V92+0.01</f>
        <v>0.910000000000001</v>
      </c>
      <c r="W93" s="130" t="n">
        <v>1</v>
      </c>
      <c r="X93" s="120" t="n">
        <f aca="false">1-(V93-0.72)*5</f>
        <v>0.0499999999999969</v>
      </c>
      <c r="Y93" s="497" t="n">
        <v>0</v>
      </c>
    </row>
    <row r="94" customFormat="false" ht="15.75" hidden="false" customHeight="false" outlineLevel="0" collapsed="false">
      <c r="V94" s="420" t="n">
        <f aca="false">V93+0.01</f>
        <v>0.92</v>
      </c>
      <c r="W94" s="130" t="n">
        <v>1</v>
      </c>
      <c r="X94" s="120" t="n">
        <v>0</v>
      </c>
      <c r="Y94" s="497" t="n">
        <v>0</v>
      </c>
    </row>
    <row r="95" customFormat="false" ht="15.75" hidden="false" customHeight="false" outlineLevel="0" collapsed="false">
      <c r="V95" s="0" t="n">
        <f aca="false">V94+0.01</f>
        <v>0.930000000000001</v>
      </c>
      <c r="W95" s="130" t="n">
        <f aca="false">1-(V95-0.92)*5</f>
        <v>0.949999999999997</v>
      </c>
      <c r="X95" s="120" t="n">
        <v>0</v>
      </c>
      <c r="Y95" s="497" t="n">
        <v>0</v>
      </c>
    </row>
    <row r="96" customFormat="false" ht="15.75" hidden="false" customHeight="false" outlineLevel="0" collapsed="false">
      <c r="V96" s="0" t="n">
        <f aca="false">V95+0.01</f>
        <v>0.940000000000001</v>
      </c>
      <c r="W96" s="130" t="n">
        <f aca="false">1-(V96-0.92)*5</f>
        <v>0.899999999999997</v>
      </c>
      <c r="X96" s="120" t="n">
        <v>0</v>
      </c>
      <c r="Y96" s="497" t="n">
        <v>0</v>
      </c>
    </row>
    <row r="97" customFormat="false" ht="15.75" hidden="false" customHeight="false" outlineLevel="0" collapsed="false">
      <c r="V97" s="0" t="n">
        <f aca="false">V96+0.01</f>
        <v>0.950000000000001</v>
      </c>
      <c r="W97" s="130" t="n">
        <f aca="false">1-(V97-0.92)*5</f>
        <v>0.849999999999997</v>
      </c>
      <c r="X97" s="120" t="n">
        <v>0</v>
      </c>
      <c r="Y97" s="497" t="n">
        <v>0</v>
      </c>
    </row>
    <row r="98" customFormat="false" ht="15.75" hidden="false" customHeight="false" outlineLevel="0" collapsed="false">
      <c r="V98" s="0" t="n">
        <f aca="false">V97+0.01</f>
        <v>0.960000000000001</v>
      </c>
      <c r="W98" s="130" t="n">
        <f aca="false">1-(V98-0.92)*5</f>
        <v>0.799999999999997</v>
      </c>
      <c r="X98" s="120" t="n">
        <v>0</v>
      </c>
      <c r="Y98" s="497" t="n">
        <v>0</v>
      </c>
    </row>
    <row r="99" customFormat="false" ht="15.75" hidden="false" customHeight="false" outlineLevel="0" collapsed="false">
      <c r="V99" s="0" t="n">
        <f aca="false">V98+0.01</f>
        <v>0.970000000000001</v>
      </c>
      <c r="W99" s="130" t="n">
        <f aca="false">1-(V99-0.92)*5</f>
        <v>0.749999999999997</v>
      </c>
      <c r="X99" s="120" t="n">
        <v>0</v>
      </c>
      <c r="Y99" s="497" t="n">
        <v>0</v>
      </c>
    </row>
    <row r="100" customFormat="false" ht="15.75" hidden="false" customHeight="false" outlineLevel="0" collapsed="false">
      <c r="V100" s="0" t="n">
        <f aca="false">V99+0.01</f>
        <v>0.980000000000001</v>
      </c>
      <c r="W100" s="130" t="n">
        <f aca="false">1-(V100-0.92)*5</f>
        <v>0.699999999999997</v>
      </c>
      <c r="X100" s="120" t="n">
        <v>0</v>
      </c>
      <c r="Y100" s="497" t="n">
        <v>0</v>
      </c>
    </row>
    <row r="101" customFormat="false" ht="15.75" hidden="false" customHeight="false" outlineLevel="0" collapsed="false">
      <c r="V101" s="0" t="n">
        <f aca="false">V100+0.01</f>
        <v>0.990000000000001</v>
      </c>
      <c r="W101" s="130" t="n">
        <f aca="false">1-(V101-0.92)*5</f>
        <v>0.649999999999997</v>
      </c>
      <c r="X101" s="120" t="n">
        <v>0</v>
      </c>
      <c r="Y101" s="497" t="n">
        <v>0</v>
      </c>
    </row>
    <row r="102" customFormat="false" ht="15.75" hidden="false" customHeight="false" outlineLevel="0" collapsed="false">
      <c r="V102" s="0" t="n">
        <f aca="false">V101+0.01</f>
        <v>1</v>
      </c>
      <c r="W102" s="130" t="n">
        <f aca="false">1-(V102-0.92)*5</f>
        <v>0.599999999999997</v>
      </c>
      <c r="X102" s="120" t="n">
        <v>0</v>
      </c>
      <c r="Y102" s="497"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71"/>
  <sheetViews>
    <sheetView showFormulas="false" showGridLines="true" showRowColHeaders="true" showZeros="true" rightToLeft="false" tabSelected="false" showOutlineSymbols="true" defaultGridColor="true" view="normal" topLeftCell="A1" colorId="64" zoomScale="135" zoomScaleNormal="135" zoomScalePageLayoutView="100" workbookViewId="0">
      <selection pane="topLeft" activeCell="H16" activeCellId="0" sqref="H16"/>
    </sheetView>
  </sheetViews>
  <sheetFormatPr defaultColWidth="10.5" defaultRowHeight="15.75" zeroHeight="false" outlineLevelRow="0" outlineLevelCol="0"/>
  <cols>
    <col collapsed="false" customWidth="true" hidden="false" outlineLevel="0" max="2" min="2" style="0" width="42"/>
    <col collapsed="false" customWidth="true" hidden="false" outlineLevel="0" max="13" min="13" style="0" width="20"/>
    <col collapsed="false" customWidth="true" hidden="false" outlineLevel="0" max="14" min="14" style="0" width="49"/>
  </cols>
  <sheetData>
    <row r="1" customFormat="false" ht="15.75" hidden="false" customHeight="false" outlineLevel="0" collapsed="false">
      <c r="B1" s="115" t="s">
        <v>2426</v>
      </c>
      <c r="E1" s="0" t="s">
        <v>2427</v>
      </c>
      <c r="M1" s="0" t="s">
        <v>2428</v>
      </c>
    </row>
    <row r="2" customFormat="false" ht="15.75" hidden="false" customHeight="false" outlineLevel="0" collapsed="false">
      <c r="B2" s="702" t="s">
        <v>2429</v>
      </c>
      <c r="M2" s="0" t="s">
        <v>2430</v>
      </c>
    </row>
    <row r="4" customFormat="false" ht="15.75" hidden="false" customHeight="false" outlineLevel="0" collapsed="false">
      <c r="B4" s="0" t="s">
        <v>365</v>
      </c>
      <c r="C4" s="115" t="n">
        <v>25</v>
      </c>
      <c r="M4" s="703" t="s">
        <v>2431</v>
      </c>
      <c r="N4" s="704" t="s">
        <v>2432</v>
      </c>
    </row>
    <row r="5" customFormat="false" ht="15.75" hidden="false" customHeight="false" outlineLevel="0" collapsed="false">
      <c r="B5" s="0" t="s">
        <v>2433</v>
      </c>
      <c r="C5" s="115" t="n">
        <v>5</v>
      </c>
      <c r="M5" s="115"/>
      <c r="N5" s="26" t="s">
        <v>2434</v>
      </c>
      <c r="O5" s="424"/>
      <c r="P5" s="698"/>
    </row>
    <row r="6" customFormat="false" ht="15.75" hidden="false" customHeight="false" outlineLevel="0" collapsed="false">
      <c r="B6" s="0" t="s">
        <v>2435</v>
      </c>
      <c r="C6" s="115" t="n">
        <v>0.3</v>
      </c>
      <c r="M6" s="115"/>
      <c r="N6" s="705" t="s">
        <v>2342</v>
      </c>
      <c r="O6" s="424"/>
      <c r="P6" s="424"/>
    </row>
    <row r="7" customFormat="false" ht="15.75" hidden="false" customHeight="false" outlineLevel="0" collapsed="false">
      <c r="B7" s="0" t="s">
        <v>1286</v>
      </c>
      <c r="C7" s="702" t="n">
        <f aca="false">C5*C4</f>
        <v>125</v>
      </c>
      <c r="M7" s="115"/>
      <c r="N7" s="705" t="s">
        <v>2343</v>
      </c>
      <c r="O7" s="424"/>
      <c r="P7" s="424"/>
    </row>
    <row r="8" customFormat="false" ht="15.75" hidden="false" customHeight="false" outlineLevel="0" collapsed="false">
      <c r="B8" s="0" t="s">
        <v>2436</v>
      </c>
      <c r="C8" s="115" t="n">
        <v>0.5</v>
      </c>
      <c r="M8" s="115"/>
      <c r="N8" s="705" t="s">
        <v>2344</v>
      </c>
      <c r="O8" s="424"/>
      <c r="P8" s="424"/>
    </row>
    <row r="9" customFormat="false" ht="15.75" hidden="false" customHeight="false" outlineLevel="0" collapsed="false">
      <c r="B9" s="0" t="s">
        <v>2437</v>
      </c>
      <c r="C9" s="115" t="n">
        <v>50</v>
      </c>
      <c r="M9" s="115"/>
      <c r="N9" s="705" t="s">
        <v>2128</v>
      </c>
      <c r="O9" s="424"/>
      <c r="P9" s="424"/>
    </row>
    <row r="10" customFormat="false" ht="15.75" hidden="false" customHeight="false" outlineLevel="0" collapsed="false">
      <c r="B10" s="0" t="s">
        <v>2438</v>
      </c>
      <c r="C10" s="115" t="n">
        <v>100</v>
      </c>
      <c r="M10" s="115"/>
      <c r="N10" s="705" t="s">
        <v>2345</v>
      </c>
      <c r="O10" s="424"/>
      <c r="P10" s="424"/>
    </row>
    <row r="11" customFormat="false" ht="15.75" hidden="false" customHeight="false" outlineLevel="0" collapsed="false">
      <c r="B11" s="0" t="s">
        <v>2439</v>
      </c>
      <c r="C11" s="115" t="n">
        <v>0.25</v>
      </c>
      <c r="M11" s="115"/>
      <c r="N11" s="706" t="s">
        <v>514</v>
      </c>
      <c r="P11" s="424"/>
    </row>
    <row r="12" customFormat="false" ht="15.75" hidden="false" customHeight="false" outlineLevel="0" collapsed="false">
      <c r="B12" s="0" t="s">
        <v>2440</v>
      </c>
      <c r="C12" s="115" t="n">
        <v>0.4</v>
      </c>
      <c r="M12" s="115"/>
      <c r="N12" s="26" t="s">
        <v>2441</v>
      </c>
      <c r="O12" s="424"/>
    </row>
    <row r="13" customFormat="false" ht="15.75" hidden="false" customHeight="false" outlineLevel="0" collapsed="false">
      <c r="B13" s="0" t="s">
        <v>2442</v>
      </c>
      <c r="C13" s="115" t="n">
        <v>0.2</v>
      </c>
      <c r="M13" s="115"/>
      <c r="N13" s="26" t="s">
        <v>2443</v>
      </c>
      <c r="O13" s="424"/>
    </row>
    <row r="14" customFormat="false" ht="15.75" hidden="false" customHeight="false" outlineLevel="0" collapsed="false">
      <c r="B14" s="0" t="s">
        <v>2444</v>
      </c>
      <c r="C14" s="115" t="n">
        <v>0.2</v>
      </c>
      <c r="M14" s="115"/>
      <c r="N14" s="26" t="s">
        <v>2445</v>
      </c>
      <c r="O14" s="424"/>
    </row>
    <row r="15" customFormat="false" ht="15.75" hidden="false" customHeight="false" outlineLevel="0" collapsed="false">
      <c r="B15" s="0" t="s">
        <v>2446</v>
      </c>
      <c r="C15" s="115" t="n">
        <v>100</v>
      </c>
      <c r="N15" s="424"/>
      <c r="O15" s="424"/>
    </row>
    <row r="16" customFormat="false" ht="15.75" hidden="false" customHeight="false" outlineLevel="0" collapsed="false">
      <c r="M16" s="707" t="s">
        <v>2447</v>
      </c>
      <c r="N16" s="708" t="s">
        <v>2448</v>
      </c>
    </row>
    <row r="17" customFormat="false" ht="15.75" hidden="false" customHeight="false" outlineLevel="0" collapsed="false">
      <c r="M17" s="709" t="s">
        <v>2449</v>
      </c>
      <c r="N17" s="710" t="s">
        <v>2450</v>
      </c>
    </row>
    <row r="18" customFormat="false" ht="15.75" hidden="false" customHeight="false" outlineLevel="0" collapsed="false">
      <c r="M18" s="362" t="s">
        <v>2451</v>
      </c>
      <c r="N18" s="708" t="s">
        <v>1762</v>
      </c>
    </row>
    <row r="19" customFormat="false" ht="15.75" hidden="false" customHeight="false" outlineLevel="0" collapsed="false">
      <c r="M19" s="362"/>
      <c r="N19" s="710" t="s">
        <v>2452</v>
      </c>
    </row>
    <row r="20" customFormat="false" ht="15.75" hidden="false" customHeight="false" outlineLevel="0" collapsed="false">
      <c r="B20" s="0" t="s">
        <v>129</v>
      </c>
      <c r="C20" s="115" t="n">
        <v>20</v>
      </c>
      <c r="E20" s="0" t="s">
        <v>2453</v>
      </c>
      <c r="M20" s="362"/>
      <c r="N20" s="708" t="s">
        <v>1760</v>
      </c>
    </row>
    <row r="21" customFormat="false" ht="15.75" hidden="false" customHeight="false" outlineLevel="0" collapsed="false">
      <c r="B21" s="0" t="s">
        <v>2454</v>
      </c>
      <c r="C21" s="702" t="n">
        <f aca="false">$C$20*E21/100</f>
        <v>6</v>
      </c>
      <c r="E21" s="115" t="n">
        <v>30</v>
      </c>
      <c r="M21" s="362"/>
      <c r="N21" s="710" t="s">
        <v>2455</v>
      </c>
    </row>
    <row r="22" customFormat="false" ht="15.75" hidden="false" customHeight="false" outlineLevel="0" collapsed="false">
      <c r="B22" s="0" t="s">
        <v>2456</v>
      </c>
      <c r="C22" s="702" t="n">
        <f aca="false">$C$20*E22/100</f>
        <v>14</v>
      </c>
      <c r="E22" s="115" t="n">
        <v>70</v>
      </c>
      <c r="M22" s="711"/>
      <c r="N22" s="712" t="s">
        <v>501</v>
      </c>
    </row>
    <row r="23" customFormat="false" ht="15.75" hidden="false" customHeight="false" outlineLevel="0" collapsed="false">
      <c r="B23" s="0" t="s">
        <v>2457</v>
      </c>
      <c r="C23" s="702" t="n">
        <f aca="false">$C$20*E23/100</f>
        <v>6</v>
      </c>
      <c r="E23" s="115" t="n">
        <v>30</v>
      </c>
      <c r="N23" s="424"/>
      <c r="O23" s="424"/>
    </row>
    <row r="24" customFormat="false" ht="15.75" hidden="false" customHeight="false" outlineLevel="0" collapsed="false">
      <c r="C24" s="702"/>
      <c r="E24" s="115"/>
      <c r="N24" s="424"/>
      <c r="O24" s="424"/>
    </row>
    <row r="25" customFormat="false" ht="15.75" hidden="false" customHeight="false" outlineLevel="0" collapsed="false">
      <c r="B25" s="22" t="s">
        <v>424</v>
      </c>
      <c r="N25" s="424"/>
      <c r="O25" s="424"/>
    </row>
    <row r="26" customFormat="false" ht="15.75" hidden="false" customHeight="false" outlineLevel="0" collapsed="false">
      <c r="B26" s="0" t="s">
        <v>2458</v>
      </c>
      <c r="C26" s="702" t="n">
        <f aca="false">C7*C11*C10/1000</f>
        <v>3.125</v>
      </c>
      <c r="F26" s="0" t="s">
        <v>2459</v>
      </c>
      <c r="G26" s="713" t="n">
        <f aca="false">G27+G28</f>
        <v>555.973736506776</v>
      </c>
      <c r="N26" s="424"/>
      <c r="O26" s="72" t="s">
        <v>2460</v>
      </c>
      <c r="P26" s="72" t="s">
        <v>2461</v>
      </c>
    </row>
    <row r="27" customFormat="false" ht="15.75" hidden="false" customHeight="false" outlineLevel="0" collapsed="false">
      <c r="B27" s="0" t="s">
        <v>2462</v>
      </c>
      <c r="C27" s="702" t="n">
        <f aca="false">C7*C10/1000*(1-C11)</f>
        <v>9.375</v>
      </c>
      <c r="F27" s="0" t="s">
        <v>2463</v>
      </c>
      <c r="G27" s="713" t="n">
        <f aca="false">C9*C7/1000</f>
        <v>6.25</v>
      </c>
      <c r="H27" s="0" t="s">
        <v>28</v>
      </c>
      <c r="M27" s="465" t="s">
        <v>2464</v>
      </c>
      <c r="N27" s="555" t="s">
        <v>2465</v>
      </c>
      <c r="O27" s="152"/>
      <c r="P27" s="152"/>
    </row>
    <row r="28" customFormat="false" ht="15.75" hidden="false" customHeight="false" outlineLevel="0" collapsed="false">
      <c r="B28" s="0" t="s">
        <v>2466</v>
      </c>
      <c r="C28" s="702" t="n">
        <f aca="false">G29/$C$8*C12</f>
        <v>146.578337102167</v>
      </c>
      <c r="F28" s="0" t="s">
        <v>2467</v>
      </c>
      <c r="G28" s="713" t="n">
        <f aca="false">J30*100/30</f>
        <v>549.723736506776</v>
      </c>
      <c r="I28" s="0" t="s">
        <v>2468</v>
      </c>
      <c r="M28" s="169"/>
      <c r="N28" s="152" t="s">
        <v>2469</v>
      </c>
      <c r="O28" s="152"/>
      <c r="P28" s="152"/>
    </row>
    <row r="29" customFormat="false" ht="15.75" hidden="false" customHeight="false" outlineLevel="0" collapsed="false">
      <c r="B29" s="0" t="s">
        <v>2470</v>
      </c>
      <c r="C29" s="702" t="n">
        <f aca="false">G29/C8*C13</f>
        <v>73.2891685510834</v>
      </c>
      <c r="F29" s="0" t="s">
        <v>2471</v>
      </c>
      <c r="G29" s="713" t="n">
        <f aca="false">$G$28*I29/100</f>
        <v>183.222921377708</v>
      </c>
      <c r="H29" s="0" t="s">
        <v>2472</v>
      </c>
      <c r="I29" s="115" t="n">
        <v>33.33</v>
      </c>
      <c r="M29" s="169"/>
      <c r="N29" s="152" t="s">
        <v>2473</v>
      </c>
      <c r="O29" s="152"/>
      <c r="P29" s="152"/>
    </row>
    <row r="30" customFormat="false" ht="15.75" hidden="false" customHeight="false" outlineLevel="0" collapsed="false">
      <c r="B30" s="0" t="s">
        <v>2474</v>
      </c>
      <c r="C30" s="702" t="n">
        <f aca="false">G30/$C$8*C12*C14</f>
        <v>29.3156674204333</v>
      </c>
      <c r="F30" s="0" t="s">
        <v>2475</v>
      </c>
      <c r="G30" s="713" t="n">
        <f aca="false">$G$28*I30/100</f>
        <v>183.222921377708</v>
      </c>
      <c r="H30" s="0" t="s">
        <v>128</v>
      </c>
      <c r="I30" s="115" t="n">
        <v>33.33</v>
      </c>
      <c r="J30" s="702" t="n">
        <f aca="false">C22*C6*C6*PI()/4*C8*1000*I30/100</f>
        <v>164.917120952033</v>
      </c>
      <c r="M30" s="169"/>
      <c r="N30" s="152" t="s">
        <v>2476</v>
      </c>
      <c r="O30" s="152"/>
      <c r="P30" s="152"/>
    </row>
    <row r="31" customFormat="false" ht="15.75" hidden="false" customHeight="false" outlineLevel="0" collapsed="false">
      <c r="B31" s="0" t="s">
        <v>2477</v>
      </c>
      <c r="C31" s="702" t="n">
        <f aca="false">G31/$C$8*C13*C14</f>
        <v>14.6578337102167</v>
      </c>
      <c r="F31" s="0" t="s">
        <v>2478</v>
      </c>
      <c r="G31" s="713" t="n">
        <f aca="false">$G$28*I31/100</f>
        <v>183.222921377708</v>
      </c>
      <c r="H31" s="0" t="s">
        <v>59</v>
      </c>
      <c r="I31" s="115" t="n">
        <v>33.33</v>
      </c>
      <c r="M31" s="169"/>
      <c r="N31" s="152" t="s">
        <v>2479</v>
      </c>
      <c r="O31" s="152"/>
      <c r="P31" s="152"/>
    </row>
    <row r="32" customFormat="false" ht="15.75" hidden="false" customHeight="false" outlineLevel="0" collapsed="false">
      <c r="B32" s="0" t="s">
        <v>2480</v>
      </c>
      <c r="C32" s="702" t="n">
        <f aca="false">G31/$C$8*C12</f>
        <v>146.578337102167</v>
      </c>
    </row>
    <row r="33" customFormat="false" ht="15.75" hidden="false" customHeight="false" outlineLevel="0" collapsed="false">
      <c r="B33" s="0" t="s">
        <v>2481</v>
      </c>
      <c r="C33" s="702" t="n">
        <f aca="false">G31/$C$8*C13</f>
        <v>73.2891685510834</v>
      </c>
      <c r="M33" s="629" t="s">
        <v>2482</v>
      </c>
      <c r="N33" s="71" t="s">
        <v>2483</v>
      </c>
      <c r="O33" s="71"/>
      <c r="P33" s="71"/>
    </row>
    <row r="34" customFormat="false" ht="15.75" hidden="false" customHeight="false" outlineLevel="0" collapsed="false">
      <c r="B34" s="0" t="s">
        <v>2484</v>
      </c>
      <c r="C34" s="702" t="n">
        <f aca="false">C15*C4</f>
        <v>2500</v>
      </c>
      <c r="M34" s="22"/>
      <c r="N34" s="71" t="s">
        <v>2485</v>
      </c>
      <c r="O34" s="71"/>
      <c r="P34" s="71"/>
    </row>
    <row r="35" customFormat="false" ht="15.75" hidden="false" customHeight="false" outlineLevel="0" collapsed="false">
      <c r="M35" s="22"/>
      <c r="N35" s="71" t="s">
        <v>2486</v>
      </c>
      <c r="O35" s="71"/>
      <c r="P35" s="71"/>
    </row>
    <row r="36" customFormat="false" ht="15.75" hidden="false" customHeight="false" outlineLevel="0" collapsed="false">
      <c r="M36" s="22"/>
      <c r="N36" s="71" t="s">
        <v>586</v>
      </c>
      <c r="O36" s="71"/>
      <c r="P36" s="71"/>
    </row>
    <row r="37" customFormat="false" ht="15.75" hidden="false" customHeight="false" outlineLevel="0" collapsed="false">
      <c r="B37" s="0" t="s">
        <v>2487</v>
      </c>
      <c r="C37" s="115" t="n">
        <v>4</v>
      </c>
      <c r="M37" s="22"/>
      <c r="N37" s="71" t="s">
        <v>2488</v>
      </c>
      <c r="O37" s="71"/>
      <c r="P37" s="71"/>
    </row>
    <row r="38" customFormat="false" ht="15.75" hidden="false" customHeight="false" outlineLevel="0" collapsed="false">
      <c r="B38" s="0" t="s">
        <v>2489</v>
      </c>
      <c r="C38" s="115" t="n">
        <v>-2</v>
      </c>
      <c r="M38" s="22"/>
      <c r="N38" s="71" t="s">
        <v>2490</v>
      </c>
      <c r="O38" s="71"/>
      <c r="P38" s="71"/>
    </row>
    <row r="39" customFormat="false" ht="15.75" hidden="false" customHeight="false" outlineLevel="0" collapsed="false">
      <c r="B39" s="0" t="s">
        <v>2491</v>
      </c>
      <c r="C39" s="115" t="n">
        <v>2</v>
      </c>
      <c r="M39" s="22"/>
      <c r="N39" s="71" t="s">
        <v>2492</v>
      </c>
      <c r="O39" s="71"/>
      <c r="P39" s="71"/>
    </row>
    <row r="40" customFormat="false" ht="15.75" hidden="false" customHeight="false" outlineLevel="0" collapsed="false">
      <c r="M40" s="22"/>
      <c r="N40" s="71" t="s">
        <v>2493</v>
      </c>
      <c r="O40" s="71"/>
      <c r="P40" s="71"/>
    </row>
    <row r="41" customFormat="false" ht="15.75" hidden="false" customHeight="false" outlineLevel="0" collapsed="false">
      <c r="B41" s="0" t="s">
        <v>2494</v>
      </c>
      <c r="C41" s="702" t="n">
        <f aca="false">-C39/C38</f>
        <v>1</v>
      </c>
      <c r="E41" s="0" t="s">
        <v>2495</v>
      </c>
      <c r="M41" s="22"/>
      <c r="N41" s="71" t="s">
        <v>2496</v>
      </c>
      <c r="O41" s="71"/>
      <c r="P41" s="71"/>
    </row>
    <row r="42" customFormat="false" ht="15.75" hidden="false" customHeight="false" outlineLevel="0" collapsed="false">
      <c r="B42" s="0" t="s">
        <v>90</v>
      </c>
      <c r="C42" s="702" t="n">
        <f aca="false">1/(1/$C$41*E42/100)</f>
        <v>2.85714285714286</v>
      </c>
      <c r="E42" s="115" t="n">
        <v>35</v>
      </c>
      <c r="M42" s="22"/>
      <c r="N42" s="71" t="s">
        <v>2497</v>
      </c>
      <c r="O42" s="71"/>
      <c r="P42" s="71"/>
    </row>
    <row r="43" customFormat="false" ht="15.75" hidden="false" customHeight="false" outlineLevel="0" collapsed="false">
      <c r="B43" s="0" t="s">
        <v>2498</v>
      </c>
      <c r="C43" s="702" t="n">
        <f aca="false">1/(1/$C$41*E43/100)</f>
        <v>20</v>
      </c>
      <c r="E43" s="115" t="n">
        <v>5</v>
      </c>
      <c r="M43" s="22"/>
      <c r="N43" s="71" t="s">
        <v>2499</v>
      </c>
      <c r="O43" s="71"/>
      <c r="P43" s="71"/>
    </row>
    <row r="44" customFormat="false" ht="15.75" hidden="false" customHeight="false" outlineLevel="0" collapsed="false">
      <c r="B44" s="0" t="s">
        <v>2500</v>
      </c>
      <c r="C44" s="702" t="n">
        <f aca="false">1/(1/$C$41*E44/100)</f>
        <v>20</v>
      </c>
      <c r="E44" s="115" t="n">
        <v>5</v>
      </c>
      <c r="M44" s="22"/>
      <c r="N44" s="71" t="s">
        <v>2501</v>
      </c>
      <c r="O44" s="71"/>
      <c r="P44" s="71"/>
    </row>
    <row r="45" customFormat="false" ht="15.75" hidden="false" customHeight="false" outlineLevel="0" collapsed="false">
      <c r="B45" s="0" t="s">
        <v>153</v>
      </c>
      <c r="C45" s="702" t="n">
        <f aca="false">1/(1/$C$41*E45/100)</f>
        <v>20</v>
      </c>
      <c r="E45" s="115" t="n">
        <v>5</v>
      </c>
      <c r="M45" s="22"/>
      <c r="N45" s="71" t="s">
        <v>2502</v>
      </c>
      <c r="O45" s="71"/>
      <c r="P45" s="71"/>
    </row>
    <row r="46" customFormat="false" ht="15.75" hidden="false" customHeight="false" outlineLevel="0" collapsed="false">
      <c r="B46" s="0" t="s">
        <v>173</v>
      </c>
      <c r="C46" s="702" t="n">
        <f aca="false">1/(1/$C$41*E46/100)</f>
        <v>10</v>
      </c>
      <c r="E46" s="115" t="n">
        <v>10</v>
      </c>
      <c r="M46" s="22"/>
      <c r="N46" s="71" t="s">
        <v>2503</v>
      </c>
      <c r="O46" s="71"/>
      <c r="P46" s="71"/>
    </row>
    <row r="47" customFormat="false" ht="15.75" hidden="false" customHeight="false" outlineLevel="0" collapsed="false">
      <c r="B47" s="0" t="s">
        <v>2504</v>
      </c>
      <c r="C47" s="702" t="n">
        <f aca="false">1/(1/$C$41*E47/100)</f>
        <v>2.5</v>
      </c>
      <c r="E47" s="115" t="n">
        <v>40</v>
      </c>
    </row>
    <row r="48" customFormat="false" ht="15.75" hidden="false" customHeight="false" outlineLevel="0" collapsed="false">
      <c r="M48" s="469" t="s">
        <v>2505</v>
      </c>
      <c r="N48" s="466" t="s">
        <v>2506</v>
      </c>
      <c r="O48" s="466"/>
      <c r="P48" s="466"/>
    </row>
    <row r="49" customFormat="false" ht="15.75" hidden="false" customHeight="false" outlineLevel="0" collapsed="false">
      <c r="B49" s="0" t="s">
        <v>2507</v>
      </c>
      <c r="C49" s="702" t="n">
        <f aca="false">C39/C37*101.3</f>
        <v>50.65</v>
      </c>
      <c r="E49" s="0" t="s">
        <v>2508</v>
      </c>
      <c r="M49" s="508"/>
      <c r="N49" s="466" t="s">
        <v>2509</v>
      </c>
      <c r="O49" s="466"/>
      <c r="P49" s="466"/>
    </row>
    <row r="50" customFormat="false" ht="15.75" hidden="false" customHeight="false" outlineLevel="0" collapsed="false">
      <c r="B50" s="0" t="s">
        <v>329</v>
      </c>
      <c r="C50" s="702" t="n">
        <f aca="false">1/(1/$C$49*E50/100)</f>
        <v>253.25</v>
      </c>
      <c r="E50" s="115" t="n">
        <v>20</v>
      </c>
      <c r="M50" s="508"/>
      <c r="N50" s="466" t="s">
        <v>2510</v>
      </c>
      <c r="O50" s="466"/>
      <c r="P50" s="466"/>
    </row>
    <row r="51" customFormat="false" ht="15.75" hidden="false" customHeight="false" outlineLevel="0" collapsed="false">
      <c r="B51" s="0" t="s">
        <v>2511</v>
      </c>
      <c r="C51" s="702" t="n">
        <f aca="false">1/(1/$C$49*E51/100)</f>
        <v>1013</v>
      </c>
      <c r="E51" s="115" t="n">
        <v>5</v>
      </c>
      <c r="M51" s="508"/>
      <c r="N51" s="466" t="s">
        <v>2512</v>
      </c>
      <c r="O51" s="466"/>
      <c r="P51" s="466"/>
    </row>
    <row r="52" customFormat="false" ht="15.75" hidden="false" customHeight="false" outlineLevel="0" collapsed="false">
      <c r="B52" s="0" t="s">
        <v>2513</v>
      </c>
      <c r="C52" s="702" t="n">
        <f aca="false">1/(1/$C$49*E52/100)</f>
        <v>67.5333333333334</v>
      </c>
      <c r="E52" s="115" t="n">
        <v>75</v>
      </c>
    </row>
    <row r="53" customFormat="false" ht="15.75" hidden="false" customHeight="false" outlineLevel="0" collapsed="false">
      <c r="B53" s="0" t="s">
        <v>2514</v>
      </c>
      <c r="C53" s="702" t="n">
        <f aca="false">C52*0.1</f>
        <v>6.75333333333334</v>
      </c>
      <c r="M53" s="90" t="s">
        <v>2515</v>
      </c>
      <c r="N53" s="183" t="s">
        <v>2516</v>
      </c>
      <c r="O53" s="183"/>
      <c r="P53" s="183"/>
    </row>
    <row r="54" customFormat="false" ht="15.75" hidden="false" customHeight="false" outlineLevel="0" collapsed="false">
      <c r="B54" s="0" t="s">
        <v>2517</v>
      </c>
      <c r="C54" s="115" t="n">
        <v>5</v>
      </c>
      <c r="M54" s="95"/>
      <c r="N54" s="183" t="s">
        <v>2518</v>
      </c>
      <c r="O54" s="183"/>
      <c r="P54" s="183"/>
    </row>
    <row r="55" customFormat="false" ht="15.75" hidden="false" customHeight="false" outlineLevel="0" collapsed="false">
      <c r="B55" s="0" t="s">
        <v>2519</v>
      </c>
      <c r="C55" s="702" t="n">
        <f aca="false">C54</f>
        <v>5</v>
      </c>
      <c r="M55" s="95"/>
      <c r="N55" s="183" t="s">
        <v>2520</v>
      </c>
      <c r="O55" s="183"/>
      <c r="P55" s="183"/>
    </row>
    <row r="56" customFormat="false" ht="15.75" hidden="false" customHeight="false" outlineLevel="0" collapsed="false">
      <c r="M56" s="95"/>
      <c r="N56" s="183" t="s">
        <v>2521</v>
      </c>
      <c r="O56" s="183"/>
      <c r="P56" s="183"/>
    </row>
    <row r="57" customFormat="false" ht="15.75" hidden="false" customHeight="false" outlineLevel="0" collapsed="false">
      <c r="B57" s="0" t="s">
        <v>2516</v>
      </c>
      <c r="C57" s="115" t="n">
        <v>-5</v>
      </c>
      <c r="M57" s="95"/>
      <c r="N57" s="183" t="s">
        <v>2522</v>
      </c>
      <c r="O57" s="183"/>
      <c r="P57" s="183"/>
    </row>
    <row r="58" customFormat="false" ht="15.75" hidden="false" customHeight="false" outlineLevel="0" collapsed="false">
      <c r="B58" s="0" t="s">
        <v>2518</v>
      </c>
      <c r="C58" s="115" t="n">
        <v>50</v>
      </c>
      <c r="M58" s="95"/>
      <c r="N58" s="183" t="s">
        <v>2523</v>
      </c>
      <c r="O58" s="183"/>
      <c r="P58" s="183"/>
    </row>
    <row r="59" customFormat="false" ht="15.75" hidden="false" customHeight="false" outlineLevel="0" collapsed="false">
      <c r="B59" s="0" t="s">
        <v>2520</v>
      </c>
      <c r="C59" s="115" t="n">
        <v>-6</v>
      </c>
      <c r="M59" s="95"/>
      <c r="N59" s="183" t="s">
        <v>2524</v>
      </c>
      <c r="O59" s="183"/>
      <c r="P59" s="183"/>
    </row>
    <row r="60" customFormat="false" ht="15.75" hidden="false" customHeight="false" outlineLevel="0" collapsed="false">
      <c r="B60" s="0" t="s">
        <v>2521</v>
      </c>
      <c r="C60" s="115" t="n">
        <v>40</v>
      </c>
      <c r="M60" s="95"/>
      <c r="N60" s="183" t="s">
        <v>2525</v>
      </c>
      <c r="O60" s="183"/>
      <c r="P60" s="183"/>
    </row>
    <row r="61" customFormat="false" ht="15.75" hidden="false" customHeight="false" outlineLevel="0" collapsed="false">
      <c r="M61" s="95"/>
      <c r="N61" s="183" t="s">
        <v>2526</v>
      </c>
      <c r="O61" s="183"/>
      <c r="P61" s="183"/>
    </row>
    <row r="62" customFormat="false" ht="15.75" hidden="false" customHeight="false" outlineLevel="0" collapsed="false">
      <c r="B62" s="0" t="s">
        <v>2527</v>
      </c>
      <c r="C62" s="115" t="n">
        <v>7</v>
      </c>
      <c r="M62" s="95"/>
      <c r="N62" s="183" t="s">
        <v>2528</v>
      </c>
      <c r="O62" s="183"/>
      <c r="P62" s="183"/>
    </row>
    <row r="63" customFormat="false" ht="15.75" hidden="false" customHeight="false" outlineLevel="0" collapsed="false">
      <c r="B63" s="0" t="s">
        <v>2509</v>
      </c>
      <c r="C63" s="115" t="n">
        <v>-2</v>
      </c>
      <c r="M63" s="95"/>
      <c r="N63" s="183" t="s">
        <v>2529</v>
      </c>
      <c r="O63" s="183"/>
      <c r="P63" s="183"/>
    </row>
    <row r="64" customFormat="false" ht="15.75" hidden="false" customHeight="false" outlineLevel="0" collapsed="false">
      <c r="B64" s="0" t="s">
        <v>2530</v>
      </c>
      <c r="C64" s="115" t="n">
        <v>7</v>
      </c>
    </row>
    <row r="65" customFormat="false" ht="15.75" hidden="false" customHeight="false" outlineLevel="0" collapsed="false">
      <c r="B65" s="0" t="s">
        <v>2531</v>
      </c>
      <c r="C65" s="115" t="n">
        <v>-2</v>
      </c>
      <c r="M65" s="379" t="s">
        <v>2532</v>
      </c>
      <c r="N65" s="714" t="s">
        <v>2533</v>
      </c>
      <c r="O65" s="161"/>
      <c r="P65" s="161"/>
    </row>
    <row r="66" customFormat="false" ht="15.75" hidden="false" customHeight="false" outlineLevel="0" collapsed="false">
      <c r="M66" s="715" t="s">
        <v>2534</v>
      </c>
      <c r="N66" s="714" t="s">
        <v>2535</v>
      </c>
      <c r="O66" s="161"/>
      <c r="P66" s="161"/>
    </row>
    <row r="67" customFormat="false" ht="15.75" hidden="false" customHeight="false" outlineLevel="0" collapsed="false">
      <c r="B67" s="0" t="s">
        <v>586</v>
      </c>
      <c r="C67" s="115" t="n">
        <v>35</v>
      </c>
      <c r="M67" s="319"/>
      <c r="N67" s="714" t="s">
        <v>2536</v>
      </c>
      <c r="O67" s="161"/>
      <c r="P67" s="161"/>
    </row>
    <row r="68" customFormat="false" ht="15.75" hidden="false" customHeight="false" outlineLevel="0" collapsed="false">
      <c r="B68" s="0" t="s">
        <v>2488</v>
      </c>
      <c r="C68" s="115" t="n">
        <v>1.2</v>
      </c>
    </row>
    <row r="69" customFormat="false" ht="15.75" hidden="false" customHeight="false" outlineLevel="0" collapsed="false">
      <c r="B69" s="0" t="s">
        <v>2490</v>
      </c>
      <c r="C69" s="115" t="n">
        <v>4.8</v>
      </c>
    </row>
    <row r="70" customFormat="false" ht="15.75" hidden="false" customHeight="false" outlineLevel="0" collapsed="false">
      <c r="B70" s="0" t="s">
        <v>2492</v>
      </c>
      <c r="C70" s="115" t="n">
        <v>-2</v>
      </c>
    </row>
    <row r="71" customFormat="false" ht="15.75" hidden="false" customHeight="false" outlineLevel="0" collapsed="false">
      <c r="B71" s="0" t="s">
        <v>2493</v>
      </c>
      <c r="C71" s="115" t="n">
        <v>-3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10"/>
  <sheetViews>
    <sheetView showFormulas="false" showGridLines="true" showRowColHeaders="true" showZeros="true" rightToLeft="false" tabSelected="false" showOutlineSymbols="true" defaultGridColor="true" view="normal" topLeftCell="A85" colorId="64" zoomScale="91" zoomScaleNormal="91" zoomScalePageLayoutView="100" workbookViewId="0">
      <selection pane="topLeft" activeCell="A109" activeCellId="0" sqref="A109"/>
    </sheetView>
  </sheetViews>
  <sheetFormatPr defaultColWidth="10.5" defaultRowHeight="15.75" zeroHeight="false" outlineLevelRow="0" outlineLevelCol="0"/>
  <cols>
    <col collapsed="false" customWidth="true" hidden="false" outlineLevel="0" max="1" min="1" style="0" width="18.5"/>
    <col collapsed="false" customWidth="true" hidden="false" outlineLevel="0" max="2" min="2" style="0" width="12.33"/>
    <col collapsed="false" customWidth="true" hidden="false" outlineLevel="0" max="3" min="3" style="0" width="15.67"/>
    <col collapsed="false" customWidth="true" hidden="false" outlineLevel="0" max="4" min="4" style="0" width="13.33"/>
    <col collapsed="false" customWidth="true" hidden="false" outlineLevel="0" max="6" min="6" style="0" width="13.83"/>
    <col collapsed="false" customWidth="true" hidden="false" outlineLevel="0" max="9" min="7" style="0" width="11"/>
    <col collapsed="false" customWidth="true" hidden="false" outlineLevel="0" max="10" min="10" style="0" width="13"/>
  </cols>
  <sheetData>
    <row r="2" customFormat="false" ht="15.75" hidden="false" customHeight="false" outlineLevel="0" collapsed="false">
      <c r="A2" s="139" t="s">
        <v>2537</v>
      </c>
      <c r="B2" s="139" t="s">
        <v>2538</v>
      </c>
      <c r="C2" s="139" t="s">
        <v>2539</v>
      </c>
      <c r="D2" s="139" t="s">
        <v>2540</v>
      </c>
      <c r="E2" s="139" t="s">
        <v>2541</v>
      </c>
      <c r="F2" s="139" t="s">
        <v>2542</v>
      </c>
      <c r="G2" s="139" t="s">
        <v>2543</v>
      </c>
      <c r="H2" s="139" t="s">
        <v>2544</v>
      </c>
      <c r="I2" s="404" t="s">
        <v>1932</v>
      </c>
      <c r="J2" s="404" t="s">
        <v>2545</v>
      </c>
    </row>
    <row r="3" customFormat="false" ht="15.75" hidden="false" customHeight="false" outlineLevel="0" collapsed="false">
      <c r="A3" s="0" t="n">
        <f aca="false">A8</f>
        <v>1</v>
      </c>
      <c r="B3" s="0" t="n">
        <f aca="false">'Fractal shoot'!B4</f>
        <v>0.5</v>
      </c>
    </row>
    <row r="4" customFormat="false" ht="15.75" hidden="false" customHeight="false" outlineLevel="0" collapsed="false">
      <c r="A4" s="0" t="n">
        <f aca="false">A8</f>
        <v>1</v>
      </c>
      <c r="B4" s="0" t="n">
        <f aca="false">B8</f>
        <v>0.0490875</v>
      </c>
    </row>
    <row r="8" customFormat="false" ht="15.75" hidden="false" customHeight="false" outlineLevel="0" collapsed="false">
      <c r="A8" s="0" t="n">
        <f aca="false">'Fractal shoot'!B2</f>
        <v>1</v>
      </c>
      <c r="B8" s="0" t="n">
        <f aca="false">'Fractal shoot'!O21</f>
        <v>0.0490875</v>
      </c>
      <c r="C8" s="0" t="n">
        <f aca="false">B8</f>
        <v>0.0490875</v>
      </c>
      <c r="D8" s="0" t="n">
        <f aca="false">'Fractal shoot'!E21*'Fractal shoot'!B21/100</f>
        <v>0.125</v>
      </c>
      <c r="E8" s="0" t="n">
        <f aca="false">'Fractal shoot'!E21</f>
        <v>0.5</v>
      </c>
      <c r="F8" s="0" t="n">
        <f aca="false">'Fractal shoot'!B21</f>
        <v>25</v>
      </c>
      <c r="G8" s="0" t="n">
        <f aca="false">3.1416*E8*E8/4</f>
        <v>0.19635</v>
      </c>
      <c r="H8" s="0" t="n">
        <f aca="false">G8*F8</f>
        <v>4.90875</v>
      </c>
      <c r="I8" s="0" t="n">
        <f aca="false">G8*(A8-A9)*F8</f>
        <v>0.61359375</v>
      </c>
      <c r="J8" s="0" t="n">
        <f aca="false">I8/10000</f>
        <v>6.1359375E-005</v>
      </c>
    </row>
    <row r="9" customFormat="false" ht="15.75" hidden="false" customHeight="false" outlineLevel="0" collapsed="false">
      <c r="A9" s="0" t="n">
        <f aca="false">'Fractal shoot'!$B$2-'Fractal shoot'!D21</f>
        <v>0.875</v>
      </c>
      <c r="B9" s="0" t="n">
        <f aca="false">'Fractal shoot'!O22</f>
        <v>0.0264121852105224</v>
      </c>
      <c r="C9" s="0" t="n">
        <f aca="false">C8+B9</f>
        <v>0.0754996852105224</v>
      </c>
      <c r="D9" s="0" t="n">
        <f aca="false">'Fractal shoot'!E22*'Fractal shoot'!B22/100</f>
        <v>0.068519769284057</v>
      </c>
      <c r="E9" s="0" t="n">
        <f aca="false">'Fractal shoot'!E22</f>
        <v>0.589689302750872</v>
      </c>
      <c r="F9" s="0" t="n">
        <f aca="false">'Fractal shoot'!B22</f>
        <v>11.6196391836202</v>
      </c>
      <c r="G9" s="0" t="n">
        <f aca="false">3.1416*E9*E9/4</f>
        <v>0.273109870305877</v>
      </c>
      <c r="H9" s="0" t="n">
        <f aca="false">G9*F9</f>
        <v>3.17343815043959</v>
      </c>
      <c r="I9" s="0" t="n">
        <f aca="false">G9*(A9-A10)*F9</f>
        <v>0.389374577022996</v>
      </c>
      <c r="J9" s="0" t="n">
        <f aca="false">J8+I9/10000</f>
        <v>0.0001002968327023</v>
      </c>
    </row>
    <row r="10" customFormat="false" ht="15.75" hidden="false" customHeight="false" outlineLevel="0" collapsed="false">
      <c r="A10" s="0" t="n">
        <f aca="false">'Fractal shoot'!$B$2-'Fractal shoot'!D22</f>
        <v>0.75230198019802</v>
      </c>
      <c r="B10" s="0" t="n">
        <f aca="false">'Fractal shoot'!O23</f>
        <v>0.0142064268787472</v>
      </c>
      <c r="C10" s="0" t="n">
        <f aca="false">C9+B10</f>
        <v>0.0897061120892697</v>
      </c>
      <c r="D10" s="0" t="n">
        <f aca="false">'Fractal shoot'!E23*'Fractal shoot'!B23/100</f>
        <v>0.0375596702619231</v>
      </c>
      <c r="E10" s="0" t="n">
        <f aca="false">'Fractal shoot'!E23</f>
        <v>0.695466947557618</v>
      </c>
      <c r="F10" s="0" t="n">
        <f aca="false">'Fractal shoot'!B23</f>
        <v>5.40064059030087</v>
      </c>
      <c r="G10" s="0" t="n">
        <f aca="false">3.1416*E10*E10/4</f>
        <v>0.37987777569897</v>
      </c>
      <c r="H10" s="0" t="n">
        <f aca="false">G10*F10</f>
        <v>2.05158333479306</v>
      </c>
      <c r="I10" s="0" t="n">
        <f aca="false">G10*(A10-A11)*F10</f>
        <v>0.247002508426571</v>
      </c>
      <c r="J10" s="0" t="n">
        <f aca="false">J9+I10/10000</f>
        <v>0.000124997083544957</v>
      </c>
    </row>
    <row r="11" customFormat="false" ht="15.75" hidden="false" customHeight="false" outlineLevel="0" collapsed="false">
      <c r="A11" s="0" t="n">
        <f aca="false">'Fractal shoot'!$B$2-'Fractal shoot'!D23</f>
        <v>0.631905940594059</v>
      </c>
      <c r="B11" s="0" t="n">
        <f aca="false">'Fractal shoot'!O24</f>
        <v>0.00763847373408884</v>
      </c>
      <c r="C11" s="0" t="n">
        <f aca="false">C10+B11</f>
        <v>0.0973445858233585</v>
      </c>
      <c r="D11" s="0" t="n">
        <f aca="false">'Fractal shoot'!E24*'Fractal shoot'!B24/100</f>
        <v>0.0205886395258578</v>
      </c>
      <c r="E11" s="0" t="n">
        <f aca="false">'Fractal shoot'!E24</f>
        <v>0.820218838783057</v>
      </c>
      <c r="F11" s="0" t="n">
        <f aca="false">'Fractal shoot'!B24</f>
        <v>2.51013980078838</v>
      </c>
      <c r="G11" s="0" t="n">
        <f aca="false">3.1416*E11*E11/4</f>
        <v>0.52838487422068</v>
      </c>
      <c r="H11" s="0" t="n">
        <f aca="false">G11*F11</f>
        <v>1.32631990291589</v>
      </c>
      <c r="I11" s="0" t="n">
        <f aca="false">G11*(A11-A12)*F11</f>
        <v>0.156630501406231</v>
      </c>
      <c r="J11" s="0" t="n">
        <f aca="false">J10+I11/10000</f>
        <v>0.00014066013368558</v>
      </c>
    </row>
    <row r="12" customFormat="false" ht="15.75" hidden="false" customHeight="false" outlineLevel="0" collapsed="false">
      <c r="A12" s="0" t="n">
        <f aca="false">'Fractal shoot'!$B$2-'Fractal shoot'!D24</f>
        <v>0.513811881188119</v>
      </c>
      <c r="B12" s="0" t="n">
        <f aca="false">'Fractal shoot'!O25</f>
        <v>0.0041054736537466</v>
      </c>
      <c r="C12" s="0" t="n">
        <f aca="false">C11+B12</f>
        <v>0.101450059477105</v>
      </c>
      <c r="D12" s="0" t="n">
        <f aca="false">'Fractal shoot'!E25*'Fractal shoot'!B25/100</f>
        <v>0.0112858306414752</v>
      </c>
      <c r="E12" s="0" t="n">
        <f aca="false">'Fractal shoot'!E25</f>
        <v>0.967348550290221</v>
      </c>
      <c r="F12" s="0" t="n">
        <f aca="false">'Fractal shoot'!B25</f>
        <v>1.16667675142421</v>
      </c>
      <c r="G12" s="0" t="n">
        <f aca="false">3.1416*E12*E12/4</f>
        <v>0.734948431219744</v>
      </c>
      <c r="H12" s="0" t="n">
        <f aca="false">G12*F12</f>
        <v>0.857447248199772</v>
      </c>
      <c r="I12" s="0" t="n">
        <f aca="false">G12*(A12-A13)*F12</f>
        <v>0.0992855996801617</v>
      </c>
      <c r="J12" s="0" t="n">
        <f aca="false">J11+I12/10000</f>
        <v>0.000150588693653596</v>
      </c>
    </row>
    <row r="13" customFormat="false" ht="15.75" hidden="false" customHeight="false" outlineLevel="0" collapsed="false">
      <c r="A13" s="0" t="n">
        <f aca="false">'Fractal shoot'!$B$2-'Fractal shoot'!D25</f>
        <v>0.398019801980198</v>
      </c>
      <c r="B13" s="0" t="n">
        <f aca="false">'Fractal shoot'!O26</f>
        <v>0.00356540495049505</v>
      </c>
      <c r="C13" s="0" t="n">
        <f aca="false">C12+B13</f>
        <v>0.1050154644276</v>
      </c>
      <c r="D13" s="0" t="n">
        <f aca="false">'Fractal shoot'!E26*'Fractal shoot'!B26/100</f>
        <v>0.01</v>
      </c>
      <c r="E13" s="0" t="n">
        <f aca="false">'Fractal shoot'!E26</f>
        <v>1</v>
      </c>
      <c r="F13" s="0" t="n">
        <f aca="false">'Fractal shoot'!B26</f>
        <v>1</v>
      </c>
      <c r="G13" s="0" t="n">
        <f aca="false">3.1416*E13*E13/4</f>
        <v>0.7854</v>
      </c>
      <c r="H13" s="0" t="n">
        <f aca="false">G13*F13</f>
        <v>0.7854</v>
      </c>
      <c r="I13" s="0" t="n">
        <f aca="false">G13*(A13-A14)*F13</f>
        <v>0.0891351237623762</v>
      </c>
      <c r="J13" s="0" t="n">
        <f aca="false">J12+I13/10000</f>
        <v>0.000159502206029834</v>
      </c>
    </row>
    <row r="14" customFormat="false" ht="15.75" hidden="false" customHeight="false" outlineLevel="0" collapsed="false">
      <c r="A14" s="0" t="n">
        <f aca="false">'Fractal shoot'!$B$2-'Fractal shoot'!D26</f>
        <v>0.284529702970297</v>
      </c>
      <c r="B14" s="0" t="n">
        <f aca="false">'Fractal shoot'!O27</f>
        <v>0.00349308594059406</v>
      </c>
      <c r="C14" s="0" t="n">
        <f aca="false">C13+B14</f>
        <v>0.108508550368194</v>
      </c>
      <c r="D14" s="0" t="n">
        <f aca="false">'Fractal shoot'!E27*'Fractal shoot'!B27/100</f>
        <v>0.01</v>
      </c>
      <c r="E14" s="0" t="n">
        <f aca="false">'Fractal shoot'!E27</f>
        <v>1</v>
      </c>
      <c r="F14" s="0" t="n">
        <f aca="false">'Fractal shoot'!B27</f>
        <v>1</v>
      </c>
      <c r="G14" s="0" t="n">
        <f aca="false">3.1416*E14*E14/4</f>
        <v>0.7854</v>
      </c>
      <c r="H14" s="0" t="n">
        <f aca="false">G14*F14</f>
        <v>0.7854</v>
      </c>
      <c r="I14" s="0" t="n">
        <f aca="false">G14*(A14-A15)*F14</f>
        <v>0.0873271485148515</v>
      </c>
      <c r="J14" s="0" t="n">
        <f aca="false">J13+I14/10000</f>
        <v>0.000168234920881319</v>
      </c>
    </row>
    <row r="15" customFormat="false" ht="15.75" hidden="false" customHeight="false" outlineLevel="0" collapsed="false">
      <c r="A15" s="0" t="n">
        <f aca="false">'Fractal shoot'!$B$2-'Fractal shoot'!D27</f>
        <v>0.173341584158416</v>
      </c>
      <c r="B15" s="0" t="n">
        <f aca="false">'Fractal shoot'!O28</f>
        <v>0.00342076693069307</v>
      </c>
      <c r="C15" s="0" t="n">
        <f aca="false">C14+B15</f>
        <v>0.111929317298887</v>
      </c>
      <c r="D15" s="0" t="n">
        <f aca="false">'Fractal shoot'!E28*'Fractal shoot'!B28/100</f>
        <v>0.01</v>
      </c>
      <c r="E15" s="0" t="n">
        <f aca="false">'Fractal shoot'!E28</f>
        <v>1</v>
      </c>
      <c r="F15" s="0" t="n">
        <f aca="false">'Fractal shoot'!B28</f>
        <v>1</v>
      </c>
      <c r="G15" s="0" t="n">
        <f aca="false">3.1416*E15*E15/4</f>
        <v>0.7854</v>
      </c>
      <c r="H15" s="0" t="n">
        <f aca="false">G15*F15</f>
        <v>0.7854</v>
      </c>
      <c r="I15" s="0" t="n">
        <f aca="false">G15*(A15-A16)*F15</f>
        <v>0.0855191732673267</v>
      </c>
      <c r="J15" s="0" t="n">
        <f aca="false">J14+I15/10000</f>
        <v>0.000176786838208051</v>
      </c>
    </row>
    <row r="16" customFormat="false" ht="15.75" hidden="false" customHeight="false" outlineLevel="0" collapsed="false">
      <c r="A16" s="0" t="n">
        <f aca="false">'Fractal shoot'!$B$2-'Fractal shoot'!D28</f>
        <v>0.0644554455445545</v>
      </c>
      <c r="B16" s="0" t="n">
        <f aca="false">'Fractal shoot'!O29</f>
        <v>0.00334844792079208</v>
      </c>
      <c r="C16" s="0" t="n">
        <f aca="false">C15+B16</f>
        <v>0.115277765219679</v>
      </c>
      <c r="D16" s="0" t="n">
        <f aca="false">'Fractal shoot'!E29*'Fractal shoot'!B29/100</f>
        <v>0.01</v>
      </c>
      <c r="E16" s="0" t="n">
        <f aca="false">'Fractal shoot'!E29</f>
        <v>1</v>
      </c>
      <c r="F16" s="0" t="n">
        <f aca="false">'Fractal shoot'!B29</f>
        <v>1</v>
      </c>
      <c r="G16" s="0" t="n">
        <f aca="false">3.1416*E16*E16/4</f>
        <v>0.7854</v>
      </c>
      <c r="H16" s="0" t="n">
        <f aca="false">G16*F16</f>
        <v>0.7854</v>
      </c>
      <c r="I16" s="0" t="n">
        <f aca="false">G16*(A16-A17)*F16</f>
        <v>0.0837111980198021</v>
      </c>
      <c r="J16" s="0" t="n">
        <f aca="false">J15+I16/10000</f>
        <v>0.000185157958010032</v>
      </c>
    </row>
    <row r="17" customFormat="false" ht="15.75" hidden="false" customHeight="false" outlineLevel="0" collapsed="false">
      <c r="A17" s="0" t="n">
        <f aca="false">'Fractal shoot'!$B$2-'Fractal shoot'!D29</f>
        <v>-0.0421287128712873</v>
      </c>
      <c r="B17" s="0" t="n">
        <f aca="false">'Fractal shoot'!O30</f>
        <v>0.00327612891089109</v>
      </c>
      <c r="C17" s="0" t="n">
        <f aca="false">C16+B17</f>
        <v>0.11855389413057</v>
      </c>
      <c r="D17" s="0" t="n">
        <f aca="false">'Fractal shoot'!E30*'Fractal shoot'!B30/100</f>
        <v>0.01</v>
      </c>
      <c r="E17" s="0" t="n">
        <f aca="false">'Fractal shoot'!E30</f>
        <v>1</v>
      </c>
      <c r="F17" s="0" t="n">
        <f aca="false">'Fractal shoot'!B30</f>
        <v>1</v>
      </c>
      <c r="G17" s="0" t="n">
        <f aca="false">3.1416*E17*E17/4</f>
        <v>0.7854</v>
      </c>
      <c r="H17" s="0" t="n">
        <f aca="false">G17*F17</f>
        <v>0.7854</v>
      </c>
      <c r="I17" s="0" t="n">
        <f aca="false">G17*(A17-A18)*F17</f>
        <v>0.0819032227722771</v>
      </c>
      <c r="J17" s="0" t="n">
        <f aca="false">J16+I17/10000</f>
        <v>0.000193348280287259</v>
      </c>
    </row>
    <row r="18" customFormat="false" ht="15.75" hidden="false" customHeight="false" outlineLevel="0" collapsed="false">
      <c r="A18" s="0" t="n">
        <f aca="false">'Fractal shoot'!$B$2-'Fractal shoot'!D30</f>
        <v>-0.146410891089109</v>
      </c>
      <c r="B18" s="0" t="n">
        <f aca="false">'Fractal shoot'!O31</f>
        <v>0.0032038099009901</v>
      </c>
      <c r="C18" s="0" t="n">
        <f aca="false">C17+B18</f>
        <v>0.121757704031561</v>
      </c>
      <c r="D18" s="0" t="n">
        <f aca="false">'Fractal shoot'!E31*'Fractal shoot'!B31/100</f>
        <v>0.01</v>
      </c>
      <c r="E18" s="0" t="n">
        <f aca="false">'Fractal shoot'!E31</f>
        <v>1</v>
      </c>
      <c r="F18" s="0" t="n">
        <f aca="false">'Fractal shoot'!B31</f>
        <v>1</v>
      </c>
      <c r="G18" s="0" t="n">
        <f aca="false">3.1416*E18*E18/4</f>
        <v>0.7854</v>
      </c>
      <c r="H18" s="0" t="n">
        <f aca="false">G18*F18</f>
        <v>0.7854</v>
      </c>
      <c r="I18" s="0" t="n">
        <f aca="false">G18*(A18-A19)*F18</f>
        <v>0.0800952475247525</v>
      </c>
      <c r="J18" s="0" t="n">
        <f aca="false">J17+I18/10000</f>
        <v>0.000201357805039735</v>
      </c>
    </row>
    <row r="19" customFormat="false" ht="15.75" hidden="false" customHeight="false" outlineLevel="0" collapsed="false">
      <c r="A19" s="0" t="n">
        <f aca="false">'Fractal shoot'!$B$2-'Fractal shoot'!D31</f>
        <v>-0.248391089108911</v>
      </c>
      <c r="B19" s="0" t="n">
        <f aca="false">'Fractal shoot'!O32</f>
        <v>0.00313149089108911</v>
      </c>
      <c r="C19" s="0" t="n">
        <f aca="false">C18+B19</f>
        <v>0.12488919492265</v>
      </c>
      <c r="D19" s="0" t="n">
        <f aca="false">'Fractal shoot'!E32*'Fractal shoot'!B32/100</f>
        <v>0.01</v>
      </c>
      <c r="E19" s="0" t="n">
        <f aca="false">'Fractal shoot'!E32</f>
        <v>1</v>
      </c>
      <c r="F19" s="0" t="n">
        <f aca="false">'Fractal shoot'!B32</f>
        <v>1</v>
      </c>
      <c r="G19" s="0" t="n">
        <f aca="false">3.1416*E19*E19/4</f>
        <v>0.7854</v>
      </c>
      <c r="H19" s="0" t="n">
        <f aca="false">G19*F19</f>
        <v>0.7854</v>
      </c>
      <c r="I19" s="0" t="n">
        <f aca="false">G19*(A19-A20)*F19</f>
        <v>0.0782872722772276</v>
      </c>
      <c r="J19" s="0" t="n">
        <f aca="false">J18+I19/10000</f>
        <v>0.000209186532267457</v>
      </c>
    </row>
    <row r="20" customFormat="false" ht="15.75" hidden="false" customHeight="false" outlineLevel="0" collapsed="false">
      <c r="A20" s="0" t="n">
        <f aca="false">'Fractal shoot'!$B$2-'Fractal shoot'!D32</f>
        <v>-0.348069306930693</v>
      </c>
      <c r="B20" s="0" t="n">
        <f aca="false">'Fractal shoot'!O33</f>
        <v>0.00305917188118812</v>
      </c>
      <c r="C20" s="0" t="n">
        <f aca="false">C19+B20</f>
        <v>0.127948366803838</v>
      </c>
      <c r="D20" s="0" t="n">
        <f aca="false">'Fractal shoot'!E33*'Fractal shoot'!B33/100</f>
        <v>0.01</v>
      </c>
      <c r="E20" s="0" t="n">
        <f aca="false">'Fractal shoot'!E33</f>
        <v>1</v>
      </c>
      <c r="F20" s="0" t="n">
        <f aca="false">'Fractal shoot'!B33</f>
        <v>1</v>
      </c>
      <c r="G20" s="0" t="n">
        <f aca="false">3.1416*E20*E20/4</f>
        <v>0.7854</v>
      </c>
      <c r="H20" s="0" t="n">
        <f aca="false">G20*F20</f>
        <v>0.7854</v>
      </c>
      <c r="I20" s="0" t="n">
        <f aca="false">G20*(A20-A21)*F20</f>
        <v>0.0764792970297029</v>
      </c>
      <c r="J20" s="0" t="n">
        <f aca="false">J19+I20/10000</f>
        <v>0.000216834461970428</v>
      </c>
    </row>
    <row r="21" customFormat="false" ht="15.75" hidden="false" customHeight="false" outlineLevel="0" collapsed="false">
      <c r="A21" s="0" t="n">
        <f aca="false">'Fractal shoot'!$B$2-'Fractal shoot'!D33</f>
        <v>-0.445445544554455</v>
      </c>
      <c r="B21" s="0" t="n">
        <f aca="false">'Fractal shoot'!O34</f>
        <v>0.00298685287128713</v>
      </c>
      <c r="C21" s="0" t="n">
        <f aca="false">C20+B21</f>
        <v>0.130935219675125</v>
      </c>
      <c r="D21" s="0" t="n">
        <f aca="false">'Fractal shoot'!E34*'Fractal shoot'!B34/100</f>
        <v>0.01</v>
      </c>
      <c r="E21" s="0" t="n">
        <f aca="false">'Fractal shoot'!E34</f>
        <v>1</v>
      </c>
      <c r="F21" s="0" t="n">
        <f aca="false">'Fractal shoot'!B34</f>
        <v>1</v>
      </c>
      <c r="G21" s="0" t="n">
        <f aca="false">3.1416*E21*E21/4</f>
        <v>0.7854</v>
      </c>
      <c r="H21" s="0" t="n">
        <f aca="false">G21*F21</f>
        <v>0.7854</v>
      </c>
      <c r="I21" s="0" t="n">
        <f aca="false">G21*(A21-A22)*F21</f>
        <v>0.0746713217821782</v>
      </c>
      <c r="J21" s="0" t="n">
        <f aca="false">J20+I21/10000</f>
        <v>0.000224301594148645</v>
      </c>
    </row>
    <row r="22" customFormat="false" ht="15.75" hidden="false" customHeight="false" outlineLevel="0" collapsed="false">
      <c r="A22" s="0" t="n">
        <f aca="false">'Fractal shoot'!$B$2-'Fractal shoot'!D34</f>
        <v>-0.540519801980198</v>
      </c>
      <c r="B22" s="0" t="n">
        <f aca="false">'Fractal shoot'!O35</f>
        <v>0.00291453386138614</v>
      </c>
      <c r="C22" s="0" t="n">
        <f aca="false">C21+B22</f>
        <v>0.133849753536511</v>
      </c>
      <c r="D22" s="0" t="n">
        <f aca="false">'Fractal shoot'!E35*'Fractal shoot'!B35/100</f>
        <v>0.01</v>
      </c>
      <c r="E22" s="0" t="n">
        <f aca="false">'Fractal shoot'!E35</f>
        <v>1</v>
      </c>
      <c r="F22" s="0" t="n">
        <f aca="false">'Fractal shoot'!B35</f>
        <v>1</v>
      </c>
      <c r="G22" s="0" t="n">
        <f aca="false">3.1416*E22*E22/4</f>
        <v>0.7854</v>
      </c>
      <c r="H22" s="0" t="n">
        <f aca="false">G22*F22</f>
        <v>0.7854</v>
      </c>
      <c r="I22" s="0" t="n">
        <f aca="false">G22*(A22-A23)*F22</f>
        <v>0.0728633465346535</v>
      </c>
      <c r="J22" s="0" t="n">
        <f aca="false">J21+I22/10000</f>
        <v>0.000231587928802111</v>
      </c>
    </row>
    <row r="23" customFormat="false" ht="15.75" hidden="false" customHeight="false" outlineLevel="0" collapsed="false">
      <c r="A23" s="0" t="n">
        <f aca="false">'Fractal shoot'!$B$2-'Fractal shoot'!D35</f>
        <v>-0.633292079207921</v>
      </c>
      <c r="B23" s="0" t="n">
        <f aca="false">'Fractal shoot'!O36</f>
        <v>0.00284221485148515</v>
      </c>
      <c r="C23" s="0" t="n">
        <f aca="false">C22+B23</f>
        <v>0.136691968387996</v>
      </c>
      <c r="D23" s="0" t="n">
        <f aca="false">'Fractal shoot'!E36*'Fractal shoot'!B36/100</f>
        <v>0.01</v>
      </c>
      <c r="E23" s="0" t="n">
        <f aca="false">'Fractal shoot'!E36</f>
        <v>1</v>
      </c>
      <c r="F23" s="0" t="n">
        <f aca="false">'Fractal shoot'!B36</f>
        <v>1</v>
      </c>
      <c r="G23" s="0" t="n">
        <f aca="false">3.1416*E23*E23/4</f>
        <v>0.7854</v>
      </c>
      <c r="H23" s="0" t="n">
        <f aca="false">G23*F23</f>
        <v>0.7854</v>
      </c>
      <c r="I23" s="0" t="n">
        <f aca="false">G23*(A23-A24)*F23</f>
        <v>0.0710553712871286</v>
      </c>
      <c r="J23" s="0" t="n">
        <f aca="false">J22+I23/10000</f>
        <v>0.000238693465930824</v>
      </c>
    </row>
    <row r="24" customFormat="false" ht="15.75" hidden="false" customHeight="false" outlineLevel="0" collapsed="false">
      <c r="A24" s="0" t="n">
        <f aca="false">'Fractal shoot'!$B$2-'Fractal shoot'!D36</f>
        <v>-0.723762376237624</v>
      </c>
      <c r="B24" s="0" t="n">
        <f aca="false">'Fractal shoot'!O37</f>
        <v>0.00276989584158416</v>
      </c>
      <c r="C24" s="0" t="n">
        <f aca="false">C23+B24</f>
        <v>0.13946186422958</v>
      </c>
      <c r="D24" s="0" t="n">
        <f aca="false">'Fractal shoot'!E37*'Fractal shoot'!B37/100</f>
        <v>0.01</v>
      </c>
      <c r="E24" s="0" t="n">
        <f aca="false">'Fractal shoot'!E37</f>
        <v>1</v>
      </c>
      <c r="F24" s="0" t="n">
        <f aca="false">'Fractal shoot'!B37</f>
        <v>1</v>
      </c>
      <c r="G24" s="0" t="n">
        <f aca="false">3.1416*E24*E24/4</f>
        <v>0.7854</v>
      </c>
      <c r="H24" s="0" t="n">
        <f aca="false">G24*F24</f>
        <v>0.7854</v>
      </c>
      <c r="I24" s="0" t="n">
        <f aca="false">G24*(A24-A25)*F24</f>
        <v>0.0692473960396039</v>
      </c>
      <c r="J24" s="0" t="n">
        <f aca="false">J23+I24/10000</f>
        <v>0.000245618205534784</v>
      </c>
    </row>
    <row r="25" customFormat="false" ht="15.75" hidden="false" customHeight="false" outlineLevel="0" collapsed="false">
      <c r="A25" s="0" t="n">
        <f aca="false">'Fractal shoot'!$B$2-'Fractal shoot'!D37</f>
        <v>-0.811930693069307</v>
      </c>
      <c r="B25" s="0" t="n">
        <f aca="false">'Fractal shoot'!O38</f>
        <v>0.00269757683168317</v>
      </c>
      <c r="C25" s="0" t="n">
        <f aca="false">C24+B25</f>
        <v>0.142159441061263</v>
      </c>
      <c r="D25" s="0" t="n">
        <f aca="false">'Fractal shoot'!E38*'Fractal shoot'!B38/100</f>
        <v>0.01</v>
      </c>
      <c r="E25" s="0" t="n">
        <f aca="false">'Fractal shoot'!E38</f>
        <v>1</v>
      </c>
      <c r="F25" s="0" t="n">
        <f aca="false">'Fractal shoot'!B38</f>
        <v>1</v>
      </c>
      <c r="G25" s="0" t="n">
        <f aca="false">3.1416*E25*E25/4</f>
        <v>0.7854</v>
      </c>
      <c r="H25" s="0" t="n">
        <f aca="false">G25*F25</f>
        <v>0.7854</v>
      </c>
      <c r="I25" s="0" t="n">
        <f aca="false">G25*(A25-A26)*F25</f>
        <v>0.0674394207920792</v>
      </c>
      <c r="J25" s="0" t="n">
        <f aca="false">J24+I25/10000</f>
        <v>0.000252362147613992</v>
      </c>
    </row>
    <row r="26" customFormat="false" ht="15.75" hidden="false" customHeight="false" outlineLevel="0" collapsed="false">
      <c r="A26" s="0" t="n">
        <f aca="false">'Fractal shoot'!$B$2-'Fractal shoot'!D38</f>
        <v>-0.89779702970297</v>
      </c>
      <c r="B26" s="0" t="n">
        <f aca="false">'Fractal shoot'!O39</f>
        <v>0.00262525782178218</v>
      </c>
      <c r="C26" s="0" t="n">
        <f aca="false">C25+B26</f>
        <v>0.144784698883046</v>
      </c>
      <c r="D26" s="0" t="n">
        <f aca="false">'Fractal shoot'!E39*'Fractal shoot'!B39/100</f>
        <v>0.01</v>
      </c>
      <c r="E26" s="0" t="n">
        <f aca="false">'Fractal shoot'!E39</f>
        <v>1</v>
      </c>
      <c r="F26" s="0" t="n">
        <f aca="false">'Fractal shoot'!B39</f>
        <v>1</v>
      </c>
      <c r="G26" s="0" t="n">
        <f aca="false">3.1416*E26*E26/4</f>
        <v>0.7854</v>
      </c>
      <c r="H26" s="0" t="n">
        <f aca="false">G26*F26</f>
        <v>0.7854</v>
      </c>
      <c r="I26" s="0" t="n">
        <f aca="false">G26*(A26-A27)*F26</f>
        <v>0.0656314455445547</v>
      </c>
      <c r="J26" s="0" t="n">
        <f aca="false">J25+I26/10000</f>
        <v>0.000258925292168447</v>
      </c>
    </row>
    <row r="27" customFormat="false" ht="15.75" hidden="false" customHeight="false" outlineLevel="0" collapsed="false">
      <c r="A27" s="0" t="n">
        <f aca="false">'Fractal shoot'!$B$2-'Fractal shoot'!D39</f>
        <v>-0.981361386138614</v>
      </c>
      <c r="B27" s="0" t="n">
        <f aca="false">'Fractal shoot'!O40</f>
        <v>0.00255293881188119</v>
      </c>
      <c r="C27" s="0" t="n">
        <f aca="false">C26+B27</f>
        <v>0.147337637694927</v>
      </c>
      <c r="D27" s="0" t="n">
        <f aca="false">'Fractal shoot'!E40*'Fractal shoot'!B40/100</f>
        <v>0.01</v>
      </c>
      <c r="E27" s="0" t="n">
        <f aca="false">'Fractal shoot'!E40</f>
        <v>1</v>
      </c>
      <c r="F27" s="0" t="n">
        <f aca="false">'Fractal shoot'!B40</f>
        <v>1</v>
      </c>
      <c r="G27" s="0" t="n">
        <f aca="false">3.1416*E27*E27/4</f>
        <v>0.7854</v>
      </c>
      <c r="H27" s="0" t="n">
        <f aca="false">G27*F27</f>
        <v>0.7854</v>
      </c>
      <c r="I27" s="0" t="n">
        <f aca="false">G27*(A27-A28)*F27</f>
        <v>0.0638234702970298</v>
      </c>
      <c r="J27" s="0" t="n">
        <f aca="false">J26+I27/10000</f>
        <v>0.00026530763919815</v>
      </c>
    </row>
    <row r="28" customFormat="false" ht="15.75" hidden="false" customHeight="false" outlineLevel="0" collapsed="false">
      <c r="A28" s="0" t="n">
        <f aca="false">'Fractal shoot'!$B$2-'Fractal shoot'!D40</f>
        <v>-1.06262376237624</v>
      </c>
      <c r="B28" s="0" t="n">
        <f aca="false">'Fractal shoot'!O41</f>
        <v>0.0024806198019802</v>
      </c>
      <c r="C28" s="0" t="n">
        <f aca="false">C27+B28</f>
        <v>0.149818257496907</v>
      </c>
      <c r="D28" s="0" t="n">
        <f aca="false">'Fractal shoot'!E41*'Fractal shoot'!B41/100</f>
        <v>0.01</v>
      </c>
      <c r="E28" s="0" t="n">
        <f aca="false">'Fractal shoot'!E41</f>
        <v>1</v>
      </c>
      <c r="F28" s="0" t="n">
        <f aca="false">'Fractal shoot'!B41</f>
        <v>1</v>
      </c>
      <c r="G28" s="0" t="n">
        <f aca="false">3.1416*E28*E28/4</f>
        <v>0.7854</v>
      </c>
      <c r="H28" s="0" t="n">
        <f aca="false">G28*F28</f>
        <v>0.7854</v>
      </c>
      <c r="I28" s="0" t="n">
        <f aca="false">G28*(A28-A29)*F28</f>
        <v>0.0620154950495047</v>
      </c>
      <c r="J28" s="0" t="n">
        <f aca="false">J27+I28/10000</f>
        <v>0.000271509188703101</v>
      </c>
    </row>
    <row r="29" customFormat="false" ht="15.75" hidden="false" customHeight="false" outlineLevel="0" collapsed="false">
      <c r="A29" s="0" t="n">
        <f aca="false">'Fractal shoot'!$B$2-'Fractal shoot'!D41</f>
        <v>-1.14158415841584</v>
      </c>
      <c r="B29" s="0" t="n">
        <f aca="false">'Fractal shoot'!O42</f>
        <v>0.00240830079207921</v>
      </c>
      <c r="C29" s="0" t="n">
        <f aca="false">C28+B29</f>
        <v>0.152226558288986</v>
      </c>
      <c r="D29" s="0" t="n">
        <f aca="false">'Fractal shoot'!E42*'Fractal shoot'!B42/100</f>
        <v>0.01</v>
      </c>
      <c r="E29" s="0" t="n">
        <f aca="false">'Fractal shoot'!E42</f>
        <v>1</v>
      </c>
      <c r="F29" s="0" t="n">
        <f aca="false">'Fractal shoot'!B42</f>
        <v>1</v>
      </c>
      <c r="G29" s="0" t="n">
        <f aca="false">3.1416*E29*E29/4</f>
        <v>0.7854</v>
      </c>
      <c r="H29" s="0" t="n">
        <f aca="false">G29*F29</f>
        <v>0.7854</v>
      </c>
      <c r="I29" s="0" t="n">
        <f aca="false">G29*(A29-A30)*F29</f>
        <v>0.06020751980198</v>
      </c>
      <c r="J29" s="0" t="n">
        <f aca="false">J28+I29/10000</f>
        <v>0.000277529940683299</v>
      </c>
    </row>
    <row r="30" customFormat="false" ht="15.75" hidden="false" customHeight="false" outlineLevel="0" collapsed="false">
      <c r="A30" s="0" t="n">
        <f aca="false">'Fractal shoot'!$B$2-'Fractal shoot'!D42</f>
        <v>-1.21824257425743</v>
      </c>
      <c r="B30" s="0" t="n">
        <f aca="false">'Fractal shoot'!O43</f>
        <v>0.00233598178217822</v>
      </c>
      <c r="C30" s="0" t="n">
        <f aca="false">C29+B30</f>
        <v>0.154562540071164</v>
      </c>
      <c r="D30" s="0" t="n">
        <f aca="false">'Fractal shoot'!E43*'Fractal shoot'!B43/100</f>
        <v>0.01</v>
      </c>
      <c r="E30" s="0" t="n">
        <f aca="false">'Fractal shoot'!E43</f>
        <v>1</v>
      </c>
      <c r="F30" s="0" t="n">
        <f aca="false">'Fractal shoot'!B43</f>
        <v>1</v>
      </c>
      <c r="G30" s="0" t="n">
        <f aca="false">3.1416*E30*E30/4</f>
        <v>0.7854</v>
      </c>
      <c r="H30" s="0" t="n">
        <f aca="false">G30*F30</f>
        <v>0.7854</v>
      </c>
      <c r="I30" s="0" t="n">
        <f aca="false">G30*(A30-A31)*F30</f>
        <v>0.0583995445544557</v>
      </c>
      <c r="J30" s="0" t="n">
        <f aca="false">J29+I30/10000</f>
        <v>0.000283369895138744</v>
      </c>
    </row>
    <row r="31" customFormat="false" ht="15.75" hidden="false" customHeight="false" outlineLevel="0" collapsed="false">
      <c r="A31" s="0" t="n">
        <f aca="false">'Fractal shoot'!$B$2-'Fractal shoot'!D43</f>
        <v>-1.29259900990099</v>
      </c>
      <c r="B31" s="0" t="n">
        <f aca="false">'Fractal shoot'!O44</f>
        <v>0.00226366277227723</v>
      </c>
      <c r="C31" s="0" t="n">
        <f aca="false">C30+B31</f>
        <v>0.156826202843442</v>
      </c>
      <c r="D31" s="0" t="n">
        <f aca="false">'Fractal shoot'!E44*'Fractal shoot'!B44/100</f>
        <v>0.01</v>
      </c>
      <c r="E31" s="0" t="n">
        <f aca="false">'Fractal shoot'!E44</f>
        <v>1</v>
      </c>
      <c r="F31" s="0" t="n">
        <f aca="false">'Fractal shoot'!B44</f>
        <v>1</v>
      </c>
      <c r="G31" s="0" t="n">
        <f aca="false">3.1416*E31*E31/4</f>
        <v>0.7854</v>
      </c>
      <c r="H31" s="0" t="n">
        <f aca="false">G31*F31</f>
        <v>0.7854</v>
      </c>
      <c r="I31" s="0" t="n">
        <f aca="false">G31*(A31-A32)*F31</f>
        <v>0.0565915693069306</v>
      </c>
      <c r="J31" s="0" t="n">
        <f aca="false">J30+I31/10000</f>
        <v>0.000289029052069437</v>
      </c>
    </row>
    <row r="32" customFormat="false" ht="15.75" hidden="false" customHeight="false" outlineLevel="0" collapsed="false">
      <c r="A32" s="0" t="n">
        <f aca="false">'Fractal shoot'!$B$2-'Fractal shoot'!D44</f>
        <v>-1.36465346534653</v>
      </c>
      <c r="B32" s="0" t="n">
        <f aca="false">'Fractal shoot'!O45</f>
        <v>0.00219134376237624</v>
      </c>
      <c r="C32" s="0" t="n">
        <f aca="false">C31+B32</f>
        <v>0.159017546605818</v>
      </c>
      <c r="D32" s="0" t="n">
        <f aca="false">'Fractal shoot'!E45*'Fractal shoot'!B45/100</f>
        <v>0.01</v>
      </c>
      <c r="E32" s="0" t="n">
        <f aca="false">'Fractal shoot'!E45</f>
        <v>1</v>
      </c>
      <c r="F32" s="0" t="n">
        <f aca="false">'Fractal shoot'!B45</f>
        <v>1</v>
      </c>
      <c r="G32" s="0" t="n">
        <f aca="false">3.1416*E32*E32/4</f>
        <v>0.7854</v>
      </c>
      <c r="H32" s="0" t="n">
        <f aca="false">G32*F32</f>
        <v>0.7854</v>
      </c>
      <c r="I32" s="0" t="n">
        <f aca="false">G32*(A32-A33)*F32</f>
        <v>0.0547835940594059</v>
      </c>
      <c r="J32" s="0" t="n">
        <f aca="false">J31+I32/10000</f>
        <v>0.000294507411475378</v>
      </c>
    </row>
    <row r="33" customFormat="false" ht="15.75" hidden="false" customHeight="false" outlineLevel="0" collapsed="false">
      <c r="A33" s="0" t="n">
        <f aca="false">'Fractal shoot'!$B$2-'Fractal shoot'!D45</f>
        <v>-1.43440594059406</v>
      </c>
      <c r="B33" s="0" t="n">
        <f aca="false">'Fractal shoot'!O46</f>
        <v>0.00211902475247525</v>
      </c>
      <c r="C33" s="0" t="n">
        <f aca="false">C32+B33</f>
        <v>0.161136571358293</v>
      </c>
      <c r="D33" s="0" t="n">
        <f aca="false">'Fractal shoot'!E46*'Fractal shoot'!B46/100</f>
        <v>0.01</v>
      </c>
      <c r="E33" s="0" t="n">
        <f aca="false">'Fractal shoot'!E46</f>
        <v>1</v>
      </c>
      <c r="F33" s="0" t="n">
        <f aca="false">'Fractal shoot'!B46</f>
        <v>1</v>
      </c>
      <c r="G33" s="0" t="n">
        <f aca="false">3.1416*E33*E33/4</f>
        <v>0.7854</v>
      </c>
      <c r="H33" s="0" t="n">
        <f aca="false">G33*F33</f>
        <v>0.7854</v>
      </c>
      <c r="I33" s="0" t="n">
        <f aca="false">G33*(A33-A34)*F33</f>
        <v>0.0529756188118812</v>
      </c>
      <c r="J33" s="0" t="n">
        <f aca="false">J32+I33/10000</f>
        <v>0.000299804973356566</v>
      </c>
    </row>
    <row r="34" customFormat="false" ht="15.75" hidden="false" customHeight="false" outlineLevel="0" collapsed="false">
      <c r="A34" s="0" t="n">
        <f aca="false">'Fractal shoot'!$B$2-'Fractal shoot'!D46</f>
        <v>-1.50185643564356</v>
      </c>
      <c r="B34" s="0" t="n">
        <f aca="false">'Fractal shoot'!O47</f>
        <v>0.00204670574257426</v>
      </c>
      <c r="C34" s="0" t="n">
        <f aca="false">C33+B34</f>
        <v>0.163183277100867</v>
      </c>
      <c r="D34" s="0" t="n">
        <f aca="false">'Fractal shoot'!E47*'Fractal shoot'!B47/100</f>
        <v>0.01</v>
      </c>
      <c r="E34" s="0" t="n">
        <f aca="false">'Fractal shoot'!E47</f>
        <v>1</v>
      </c>
      <c r="F34" s="0" t="n">
        <f aca="false">'Fractal shoot'!B47</f>
        <v>1</v>
      </c>
      <c r="G34" s="0" t="n">
        <f aca="false">3.1416*E34*E34/4</f>
        <v>0.7854</v>
      </c>
      <c r="H34" s="0" t="n">
        <f aca="false">G34*F34</f>
        <v>0.7854</v>
      </c>
      <c r="I34" s="0" t="n">
        <f aca="false">G34*(A34-A35)*F34</f>
        <v>0.0511676435643565</v>
      </c>
      <c r="J34" s="0" t="n">
        <f aca="false">J33+I34/10000</f>
        <v>0.000304921737713002</v>
      </c>
    </row>
    <row r="35" customFormat="false" ht="15.75" hidden="false" customHeight="false" outlineLevel="0" collapsed="false">
      <c r="A35" s="0" t="n">
        <f aca="false">'Fractal shoot'!$B$2-'Fractal shoot'!D47</f>
        <v>-1.56700495049505</v>
      </c>
      <c r="B35" s="0" t="n">
        <f aca="false">'Fractal shoot'!O48</f>
        <v>0.00197438673267327</v>
      </c>
      <c r="C35" s="0" t="n">
        <f aca="false">C34+B35</f>
        <v>0.165157663833541</v>
      </c>
      <c r="D35" s="0" t="n">
        <f aca="false">'Fractal shoot'!E48*'Fractal shoot'!B48/100</f>
        <v>0.01</v>
      </c>
      <c r="E35" s="0" t="n">
        <f aca="false">'Fractal shoot'!E48</f>
        <v>1</v>
      </c>
      <c r="F35" s="0" t="n">
        <f aca="false">'Fractal shoot'!B48</f>
        <v>1</v>
      </c>
      <c r="G35" s="0" t="n">
        <f aca="false">3.1416*E35*E35/4</f>
        <v>0.7854</v>
      </c>
      <c r="H35" s="0" t="n">
        <f aca="false">G35*F35</f>
        <v>0.7854</v>
      </c>
      <c r="I35" s="0" t="n">
        <f aca="false">G35*(A35-A36)*F35</f>
        <v>0.0493596683168314</v>
      </c>
      <c r="J35" s="0" t="n">
        <f aca="false">J34+I35/10000</f>
        <v>0.000309857704544685</v>
      </c>
    </row>
    <row r="36" customFormat="false" ht="15.75" hidden="false" customHeight="false" outlineLevel="0" collapsed="false">
      <c r="A36" s="0" t="n">
        <f aca="false">'Fractal shoot'!$B$2-'Fractal shoot'!D48</f>
        <v>-1.62985148514851</v>
      </c>
      <c r="B36" s="0" t="n">
        <f aca="false">'Fractal shoot'!O49</f>
        <v>0.00190206772277228</v>
      </c>
      <c r="C36" s="0" t="n">
        <f aca="false">C35+B36</f>
        <v>0.167059731556313</v>
      </c>
      <c r="D36" s="0" t="n">
        <f aca="false">'Fractal shoot'!E49*'Fractal shoot'!B49/100</f>
        <v>0.01</v>
      </c>
      <c r="E36" s="0" t="n">
        <f aca="false">'Fractal shoot'!E49</f>
        <v>1</v>
      </c>
      <c r="F36" s="0" t="n">
        <f aca="false">'Fractal shoot'!B49</f>
        <v>1</v>
      </c>
      <c r="G36" s="0" t="n">
        <f aca="false">3.1416*E36*E36/4</f>
        <v>0.7854</v>
      </c>
      <c r="H36" s="0" t="n">
        <f aca="false">G36*F36</f>
        <v>0.7854</v>
      </c>
      <c r="I36" s="0" t="n">
        <f aca="false">G36*(A36-A37)*F36</f>
        <v>0.047551693069307</v>
      </c>
      <c r="J36" s="0" t="n">
        <f aca="false">J35+I36/10000</f>
        <v>0.000314612873851616</v>
      </c>
    </row>
    <row r="37" customFormat="false" ht="15.75" hidden="false" customHeight="false" outlineLevel="0" collapsed="false">
      <c r="A37" s="0" t="n">
        <f aca="false">'Fractal shoot'!$B$2-'Fractal shoot'!D49</f>
        <v>-1.69039603960396</v>
      </c>
      <c r="B37" s="0" t="n">
        <f aca="false">'Fractal shoot'!O50</f>
        <v>0.00182974871287129</v>
      </c>
      <c r="C37" s="0" t="n">
        <f aca="false">C36+B37</f>
        <v>0.168889480269184</v>
      </c>
      <c r="D37" s="0" t="n">
        <f aca="false">'Fractal shoot'!E50*'Fractal shoot'!B50/100</f>
        <v>0.01</v>
      </c>
      <c r="E37" s="0" t="n">
        <f aca="false">'Fractal shoot'!E50</f>
        <v>1</v>
      </c>
      <c r="F37" s="0" t="n">
        <f aca="false">'Fractal shoot'!B50</f>
        <v>1</v>
      </c>
      <c r="G37" s="0" t="n">
        <f aca="false">3.1416*E37*E37/4</f>
        <v>0.7854</v>
      </c>
      <c r="H37" s="0" t="n">
        <f aca="false">G37*F37</f>
        <v>0.7854</v>
      </c>
      <c r="I37" s="0" t="n">
        <f aca="false">G37*(A37-A38)*F37</f>
        <v>0.0457437178217823</v>
      </c>
      <c r="J37" s="0" t="n">
        <f aca="false">J36+I37/10000</f>
        <v>0.000319187245633794</v>
      </c>
    </row>
    <row r="38" customFormat="false" ht="15.75" hidden="false" customHeight="false" outlineLevel="0" collapsed="false">
      <c r="A38" s="0" t="n">
        <f aca="false">'Fractal shoot'!$B$2-'Fractal shoot'!D50</f>
        <v>-1.74863861386139</v>
      </c>
      <c r="B38" s="0" t="n">
        <f aca="false">'Fractal shoot'!O51</f>
        <v>0.0017574297029703</v>
      </c>
      <c r="C38" s="0" t="n">
        <f aca="false">C37+B38</f>
        <v>0.170646909972155</v>
      </c>
      <c r="D38" s="0" t="n">
        <f aca="false">'Fractal shoot'!E51*'Fractal shoot'!B51/100</f>
        <v>0.01</v>
      </c>
      <c r="E38" s="0" t="n">
        <f aca="false">'Fractal shoot'!E51</f>
        <v>1</v>
      </c>
      <c r="F38" s="0" t="n">
        <f aca="false">'Fractal shoot'!B51</f>
        <v>1</v>
      </c>
      <c r="G38" s="0" t="n">
        <f aca="false">3.1416*E38*E38/4</f>
        <v>0.7854</v>
      </c>
      <c r="H38" s="0" t="n">
        <f aca="false">G38*F38</f>
        <v>0.7854</v>
      </c>
      <c r="I38" s="0" t="n">
        <f aca="false">G38*(A38-A39)*F38</f>
        <v>0.0439357425742573</v>
      </c>
      <c r="J38" s="0" t="n">
        <f aca="false">J37+I38/10000</f>
        <v>0.00032358081989122</v>
      </c>
    </row>
    <row r="39" customFormat="false" ht="15.75" hidden="false" customHeight="false" outlineLevel="0" collapsed="false">
      <c r="A39" s="0" t="n">
        <f aca="false">'Fractal shoot'!$B$2-'Fractal shoot'!D51</f>
        <v>-1.80457920792079</v>
      </c>
      <c r="B39" s="0" t="n">
        <f aca="false">'Fractal shoot'!O52</f>
        <v>0.00168511069306931</v>
      </c>
      <c r="C39" s="0" t="n">
        <f aca="false">C38+B39</f>
        <v>0.172332020665224</v>
      </c>
      <c r="D39" s="0" t="n">
        <f aca="false">'Fractal shoot'!E52*'Fractal shoot'!B52/100</f>
        <v>0.01</v>
      </c>
      <c r="E39" s="0" t="n">
        <f aca="false">'Fractal shoot'!E52</f>
        <v>1</v>
      </c>
      <c r="F39" s="0" t="n">
        <f aca="false">'Fractal shoot'!B52</f>
        <v>1</v>
      </c>
      <c r="G39" s="0" t="n">
        <f aca="false">3.1416*E39*E39/4</f>
        <v>0.7854</v>
      </c>
      <c r="H39" s="0" t="n">
        <f aca="false">G39*F39</f>
        <v>0.7854</v>
      </c>
      <c r="I39" s="0" t="n">
        <f aca="false">G39*(A39-A40)*F39</f>
        <v>0.0421277673267326</v>
      </c>
      <c r="J39" s="0" t="n">
        <f aca="false">J38+I39/10000</f>
        <v>0.000327793596623893</v>
      </c>
    </row>
    <row r="40" customFormat="false" ht="15.75" hidden="false" customHeight="false" outlineLevel="0" collapsed="false">
      <c r="A40" s="0" t="n">
        <f aca="false">'Fractal shoot'!$B$2-'Fractal shoot'!D52</f>
        <v>-1.85821782178218</v>
      </c>
      <c r="B40" s="0" t="n">
        <f aca="false">'Fractal shoot'!O53</f>
        <v>0.00161279168316832</v>
      </c>
      <c r="C40" s="0" t="n">
        <f aca="false">C39+B40</f>
        <v>0.173944812348392</v>
      </c>
      <c r="D40" s="0" t="n">
        <f aca="false">'Fractal shoot'!E53*'Fractal shoot'!B53/100</f>
        <v>0.01</v>
      </c>
      <c r="E40" s="0" t="n">
        <f aca="false">'Fractal shoot'!E53</f>
        <v>1</v>
      </c>
      <c r="F40" s="0" t="n">
        <f aca="false">'Fractal shoot'!B53</f>
        <v>1</v>
      </c>
      <c r="G40" s="0" t="n">
        <f aca="false">3.1416*E40*E40/4</f>
        <v>0.7854</v>
      </c>
      <c r="H40" s="0" t="n">
        <f aca="false">G40*F40</f>
        <v>0.7854</v>
      </c>
      <c r="I40" s="0" t="n">
        <f aca="false">G40*(A40-A41)*F40</f>
        <v>0.0403197920792079</v>
      </c>
      <c r="J40" s="0" t="n">
        <f aca="false">J39+I40/10000</f>
        <v>0.000331825575831814</v>
      </c>
    </row>
    <row r="41" customFormat="false" ht="15.75" hidden="false" customHeight="false" outlineLevel="0" collapsed="false">
      <c r="A41" s="0" t="n">
        <f aca="false">'Fractal shoot'!$B$2-'Fractal shoot'!D53</f>
        <v>-1.90955445544554</v>
      </c>
      <c r="B41" s="0" t="n">
        <f aca="false">'Fractal shoot'!O54</f>
        <v>0.00154047267326733</v>
      </c>
      <c r="C41" s="0" t="n">
        <f aca="false">C40+B41</f>
        <v>0.17548528502166</v>
      </c>
      <c r="D41" s="0" t="n">
        <f aca="false">'Fractal shoot'!E54*'Fractal shoot'!B54/100</f>
        <v>0.01</v>
      </c>
      <c r="E41" s="0" t="n">
        <f aca="false">'Fractal shoot'!E54</f>
        <v>1</v>
      </c>
      <c r="F41" s="0" t="n">
        <f aca="false">'Fractal shoot'!B54</f>
        <v>1</v>
      </c>
      <c r="G41" s="0" t="n">
        <f aca="false">3.1416*E41*E41/4</f>
        <v>0.7854</v>
      </c>
      <c r="H41" s="0" t="n">
        <f aca="false">G41*F41</f>
        <v>0.7854</v>
      </c>
      <c r="I41" s="0" t="n">
        <f aca="false">G41*(A41-A42)*F41</f>
        <v>0.0385118168316831</v>
      </c>
      <c r="J41" s="0" t="n">
        <f aca="false">J40+I41/10000</f>
        <v>0.000335676757514982</v>
      </c>
    </row>
    <row r="42" customFormat="false" ht="15.75" hidden="false" customHeight="false" outlineLevel="0" collapsed="false">
      <c r="A42" s="0" t="n">
        <f aca="false">'Fractal shoot'!$B$2-'Fractal shoot'!D54</f>
        <v>-1.95858910891089</v>
      </c>
      <c r="B42" s="0" t="n">
        <f aca="false">'Fractal shoot'!O55</f>
        <v>0.00146815366336634</v>
      </c>
      <c r="C42" s="0" t="n">
        <f aca="false">C41+B42</f>
        <v>0.176953438685026</v>
      </c>
      <c r="D42" s="0" t="n">
        <f aca="false">'Fractal shoot'!E55*'Fractal shoot'!B55/100</f>
        <v>0.01</v>
      </c>
      <c r="E42" s="0" t="n">
        <f aca="false">'Fractal shoot'!E55</f>
        <v>1</v>
      </c>
      <c r="F42" s="0" t="n">
        <f aca="false">'Fractal shoot'!B55</f>
        <v>1</v>
      </c>
      <c r="G42" s="0" t="n">
        <f aca="false">3.1416*E42*E42/4</f>
        <v>0.7854</v>
      </c>
      <c r="H42" s="0" t="n">
        <f aca="false">G42*F42</f>
        <v>0.7854</v>
      </c>
      <c r="I42" s="0" t="n">
        <f aca="false">G42*(A42-A43)*F42</f>
        <v>0.0367038415841584</v>
      </c>
      <c r="J42" s="0" t="n">
        <f aca="false">J41+I42/10000</f>
        <v>0.000339347141673398</v>
      </c>
    </row>
    <row r="43" customFormat="false" ht="15.75" hidden="false" customHeight="false" outlineLevel="0" collapsed="false">
      <c r="A43" s="0" t="n">
        <f aca="false">'Fractal shoot'!$B$2-'Fractal shoot'!D55</f>
        <v>-2.00532178217822</v>
      </c>
      <c r="B43" s="0" t="n">
        <f aca="false">'Fractal shoot'!O56</f>
        <v>0.00139583465346535</v>
      </c>
      <c r="C43" s="0" t="n">
        <f aca="false">C42+B43</f>
        <v>0.178349273338491</v>
      </c>
      <c r="D43" s="0" t="n">
        <f aca="false">'Fractal shoot'!E56*'Fractal shoot'!B56/100</f>
        <v>0.01</v>
      </c>
      <c r="E43" s="0" t="n">
        <f aca="false">'Fractal shoot'!E56</f>
        <v>1</v>
      </c>
      <c r="F43" s="0" t="n">
        <f aca="false">'Fractal shoot'!B56</f>
        <v>1</v>
      </c>
      <c r="G43" s="0" t="n">
        <f aca="false">3.1416*E43*E43/4</f>
        <v>0.7854</v>
      </c>
      <c r="H43" s="0" t="n">
        <f aca="false">G43*F43</f>
        <v>0.7854</v>
      </c>
      <c r="I43" s="0" t="n">
        <f aca="false">G43*(A43-A44)*F43</f>
        <v>0.0348958663366337</v>
      </c>
      <c r="J43" s="0" t="n">
        <f aca="false">J42+I43/10000</f>
        <v>0.000342836728307061</v>
      </c>
    </row>
    <row r="44" customFormat="false" ht="15.75" hidden="false" customHeight="false" outlineLevel="0" collapsed="false">
      <c r="A44" s="0" t="n">
        <f aca="false">'Fractal shoot'!$B$2-'Fractal shoot'!D56</f>
        <v>-2.04975247524752</v>
      </c>
      <c r="B44" s="0" t="n">
        <f aca="false">'Fractal shoot'!O57</f>
        <v>0.00132351564356436</v>
      </c>
      <c r="C44" s="0" t="n">
        <f aca="false">C43+B44</f>
        <v>0.179672788982056</v>
      </c>
      <c r="D44" s="0" t="n">
        <f aca="false">'Fractal shoot'!E57*'Fractal shoot'!B57/100</f>
        <v>0.01</v>
      </c>
      <c r="E44" s="0" t="n">
        <f aca="false">'Fractal shoot'!E57</f>
        <v>1</v>
      </c>
      <c r="F44" s="0" t="n">
        <f aca="false">'Fractal shoot'!B57</f>
        <v>1</v>
      </c>
      <c r="G44" s="0" t="n">
        <f aca="false">3.1416*E44*E44/4</f>
        <v>0.7854</v>
      </c>
      <c r="H44" s="0" t="n">
        <f aca="false">G44*F44</f>
        <v>0.7854</v>
      </c>
      <c r="I44" s="0" t="n">
        <f aca="false">G44*(A44-A45)*F44</f>
        <v>0.033087891089109</v>
      </c>
      <c r="J44" s="0" t="n">
        <f aca="false">J43+I44/10000</f>
        <v>0.000346145517415972</v>
      </c>
    </row>
    <row r="45" customFormat="false" ht="15.75" hidden="false" customHeight="false" outlineLevel="0" collapsed="false">
      <c r="A45" s="0" t="n">
        <f aca="false">'Fractal shoot'!$B$2-'Fractal shoot'!D57</f>
        <v>-2.09188118811881</v>
      </c>
      <c r="B45" s="0" t="n">
        <f aca="false">'Fractal shoot'!O58</f>
        <v>0.00125119663366337</v>
      </c>
      <c r="C45" s="0" t="n">
        <f aca="false">C44+B45</f>
        <v>0.180923985615719</v>
      </c>
      <c r="D45" s="0" t="n">
        <f aca="false">'Fractal shoot'!E58*'Fractal shoot'!B58/100</f>
        <v>0.01</v>
      </c>
      <c r="E45" s="0" t="n">
        <f aca="false">'Fractal shoot'!E58</f>
        <v>1</v>
      </c>
      <c r="F45" s="0" t="n">
        <f aca="false">'Fractal shoot'!B58</f>
        <v>1</v>
      </c>
      <c r="G45" s="0" t="n">
        <f aca="false">3.1416*E45*E45/4</f>
        <v>0.7854</v>
      </c>
      <c r="H45" s="0" t="n">
        <f aca="false">G45*F45</f>
        <v>0.7854</v>
      </c>
      <c r="I45" s="0" t="n">
        <f aca="false">G45*(A45-A46)*F45</f>
        <v>0.0312799158415843</v>
      </c>
      <c r="J45" s="0" t="n">
        <f aca="false">J44+I45/10000</f>
        <v>0.000349273509000131</v>
      </c>
    </row>
    <row r="46" customFormat="false" ht="15.75" hidden="false" customHeight="false" outlineLevel="0" collapsed="false">
      <c r="A46" s="0" t="n">
        <f aca="false">'Fractal shoot'!$B$2-'Fractal shoot'!D58</f>
        <v>-2.13170792079208</v>
      </c>
      <c r="B46" s="0" t="n">
        <f aca="false">'Fractal shoot'!O59</f>
        <v>0.00117887762376238</v>
      </c>
      <c r="C46" s="0" t="n">
        <f aca="false">C45+B46</f>
        <v>0.182102863239481</v>
      </c>
      <c r="D46" s="0" t="n">
        <f aca="false">'Fractal shoot'!E59*'Fractal shoot'!B59/100</f>
        <v>0.01</v>
      </c>
      <c r="E46" s="0" t="n">
        <f aca="false">'Fractal shoot'!E59</f>
        <v>1</v>
      </c>
      <c r="F46" s="0" t="n">
        <f aca="false">'Fractal shoot'!B59</f>
        <v>1</v>
      </c>
      <c r="G46" s="0" t="n">
        <f aca="false">3.1416*E46*E46/4</f>
        <v>0.7854</v>
      </c>
      <c r="H46" s="0" t="n">
        <f aca="false">G46*F46</f>
        <v>0.7854</v>
      </c>
      <c r="I46" s="0" t="n">
        <f aca="false">G46*(A46-A47)*F46</f>
        <v>0.0294719405940592</v>
      </c>
      <c r="J46" s="0" t="n">
        <f aca="false">J45+I46/10000</f>
        <v>0.000352220703059537</v>
      </c>
    </row>
    <row r="47" customFormat="false" ht="15.75" hidden="false" customHeight="false" outlineLevel="0" collapsed="false">
      <c r="A47" s="0" t="n">
        <f aca="false">'Fractal shoot'!$B$2-'Fractal shoot'!D59</f>
        <v>-2.16923267326733</v>
      </c>
      <c r="B47" s="0" t="n">
        <f aca="false">'Fractal shoot'!O60</f>
        <v>0.00110655861386139</v>
      </c>
      <c r="C47" s="0" t="n">
        <f aca="false">C46+B47</f>
        <v>0.183209421853343</v>
      </c>
      <c r="D47" s="0" t="n">
        <f aca="false">'Fractal shoot'!E60*'Fractal shoot'!B60/100</f>
        <v>0.01</v>
      </c>
      <c r="E47" s="0" t="n">
        <f aca="false">'Fractal shoot'!E60</f>
        <v>1</v>
      </c>
      <c r="F47" s="0" t="n">
        <f aca="false">'Fractal shoot'!B60</f>
        <v>1</v>
      </c>
      <c r="G47" s="0" t="n">
        <f aca="false">3.1416*E47*E47/4</f>
        <v>0.7854</v>
      </c>
      <c r="H47" s="0" t="n">
        <f aca="false">G47*F47</f>
        <v>0.7854</v>
      </c>
      <c r="I47" s="0" t="n">
        <f aca="false">G47*(A47-A48)*F47</f>
        <v>0.0276639653465345</v>
      </c>
      <c r="J47" s="0" t="n">
        <f aca="false">J46+I47/10000</f>
        <v>0.00035498709959419</v>
      </c>
    </row>
    <row r="48" customFormat="false" ht="15.75" hidden="false" customHeight="false" outlineLevel="0" collapsed="false">
      <c r="A48" s="0" t="n">
        <f aca="false">'Fractal shoot'!$B$2-'Fractal shoot'!D60</f>
        <v>-2.20445544554455</v>
      </c>
      <c r="B48" s="0" t="n">
        <f aca="false">'Fractal shoot'!O61</f>
        <v>0.0010342396039604</v>
      </c>
      <c r="C48" s="0" t="n">
        <f aca="false">C47+B48</f>
        <v>0.184243661457303</v>
      </c>
      <c r="D48" s="0" t="n">
        <f aca="false">'Fractal shoot'!E61*'Fractal shoot'!B61/100</f>
        <v>0.01</v>
      </c>
      <c r="E48" s="0" t="n">
        <f aca="false">'Fractal shoot'!E61</f>
        <v>1</v>
      </c>
      <c r="F48" s="0" t="n">
        <f aca="false">'Fractal shoot'!B61</f>
        <v>1</v>
      </c>
      <c r="G48" s="0" t="n">
        <f aca="false">3.1416*E48*E48/4</f>
        <v>0.7854</v>
      </c>
      <c r="H48" s="0" t="n">
        <f aca="false">G48*F48</f>
        <v>0.7854</v>
      </c>
      <c r="I48" s="0" t="n">
        <f aca="false">G48*(A48-A49)*F48</f>
        <v>0.0258559900990098</v>
      </c>
      <c r="J48" s="0" t="n">
        <f aca="false">J47+I48/10000</f>
        <v>0.000357572698604091</v>
      </c>
    </row>
    <row r="49" customFormat="false" ht="15.75" hidden="false" customHeight="false" outlineLevel="0" collapsed="false">
      <c r="A49" s="0" t="n">
        <f aca="false">'Fractal shoot'!$B$2-'Fractal shoot'!D61</f>
        <v>-2.23737623762376</v>
      </c>
      <c r="B49" s="0" t="n">
        <f aca="false">'Fractal shoot'!O62</f>
        <v>0.000961920594059406</v>
      </c>
      <c r="C49" s="0" t="n">
        <f aca="false">C48+B49</f>
        <v>0.185205582051363</v>
      </c>
      <c r="D49" s="0" t="n">
        <f aca="false">'Fractal shoot'!E62*'Fractal shoot'!B62/100</f>
        <v>0.01</v>
      </c>
      <c r="E49" s="0" t="n">
        <f aca="false">'Fractal shoot'!E62</f>
        <v>1</v>
      </c>
      <c r="F49" s="0" t="n">
        <f aca="false">'Fractal shoot'!B62</f>
        <v>1</v>
      </c>
      <c r="G49" s="0" t="n">
        <f aca="false">3.1416*E49*E49/4</f>
        <v>0.7854</v>
      </c>
      <c r="H49" s="0" t="n">
        <f aca="false">G49*F49</f>
        <v>0.7854</v>
      </c>
      <c r="I49" s="0" t="n">
        <f aca="false">G49*(A49-A50)*F49</f>
        <v>0.0240480148514851</v>
      </c>
      <c r="J49" s="0" t="n">
        <f aca="false">J48+I49/10000</f>
        <v>0.00035997750008924</v>
      </c>
    </row>
    <row r="50" customFormat="false" ht="15.75" hidden="false" customHeight="false" outlineLevel="0" collapsed="false">
      <c r="A50" s="0" t="n">
        <f aca="false">'Fractal shoot'!$B$2-'Fractal shoot'!D62</f>
        <v>-2.26799504950495</v>
      </c>
      <c r="B50" s="0" t="n">
        <f aca="false">'Fractal shoot'!O63</f>
        <v>0.000889601584158416</v>
      </c>
      <c r="C50" s="0" t="n">
        <f aca="false">C49+B50</f>
        <v>0.186095183635521</v>
      </c>
      <c r="D50" s="0" t="n">
        <f aca="false">'Fractal shoot'!E63*'Fractal shoot'!B63/100</f>
        <v>0.01</v>
      </c>
      <c r="E50" s="0" t="n">
        <f aca="false">'Fractal shoot'!E63</f>
        <v>1</v>
      </c>
      <c r="F50" s="0" t="n">
        <f aca="false">'Fractal shoot'!B63</f>
        <v>1</v>
      </c>
      <c r="G50" s="0" t="n">
        <f aca="false">3.1416*E50*E50/4</f>
        <v>0.7854</v>
      </c>
      <c r="H50" s="0" t="n">
        <f aca="false">G50*F50</f>
        <v>0.7854</v>
      </c>
      <c r="I50" s="0" t="n">
        <f aca="false">G50*(A50-A51)*F50</f>
        <v>0.0222400396039608</v>
      </c>
      <c r="J50" s="0" t="n">
        <f aca="false">J49+I50/10000</f>
        <v>0.000362201504049636</v>
      </c>
    </row>
    <row r="51" customFormat="false" ht="15.75" hidden="false" customHeight="false" outlineLevel="0" collapsed="false">
      <c r="A51" s="0" t="n">
        <f aca="false">'Fractal shoot'!$B$2-'Fractal shoot'!D63</f>
        <v>-2.29631188118812</v>
      </c>
      <c r="B51" s="0" t="n">
        <f aca="false">'Fractal shoot'!O64</f>
        <v>0.000817282574257426</v>
      </c>
      <c r="C51" s="0" t="n">
        <f aca="false">C50+B51</f>
        <v>0.186912466209778</v>
      </c>
      <c r="D51" s="0" t="n">
        <f aca="false">'Fractal shoot'!E64*'Fractal shoot'!B64/100</f>
        <v>0.01</v>
      </c>
      <c r="E51" s="0" t="n">
        <f aca="false">'Fractal shoot'!E64</f>
        <v>1</v>
      </c>
      <c r="F51" s="0" t="n">
        <f aca="false">'Fractal shoot'!B64</f>
        <v>1</v>
      </c>
      <c r="G51" s="0" t="n">
        <f aca="false">3.1416*E51*E51/4</f>
        <v>0.7854</v>
      </c>
      <c r="H51" s="0" t="n">
        <f aca="false">G51*F51</f>
        <v>0.7854</v>
      </c>
      <c r="I51" s="0" t="n">
        <f aca="false">G51*(A51-A52)*F51</f>
        <v>0.0204320643564357</v>
      </c>
      <c r="J51" s="0" t="n">
        <f aca="false">J50+I51/10000</f>
        <v>0.000364244710485279</v>
      </c>
    </row>
    <row r="52" customFormat="false" ht="15.75" hidden="false" customHeight="false" outlineLevel="0" collapsed="false">
      <c r="A52" s="0" t="n">
        <f aca="false">'Fractal shoot'!$B$2-'Fractal shoot'!D64</f>
        <v>-2.32232673267327</v>
      </c>
      <c r="B52" s="0" t="n">
        <f aca="false">'Fractal shoot'!O65</f>
        <v>0.000744963564356436</v>
      </c>
      <c r="C52" s="0" t="n">
        <f aca="false">C51+B52</f>
        <v>0.187657429774135</v>
      </c>
      <c r="D52" s="0" t="n">
        <f aca="false">'Fractal shoot'!E65*'Fractal shoot'!B65/100</f>
        <v>0.01</v>
      </c>
      <c r="E52" s="0" t="n">
        <f aca="false">'Fractal shoot'!E65</f>
        <v>1</v>
      </c>
      <c r="F52" s="0" t="n">
        <f aca="false">'Fractal shoot'!B65</f>
        <v>1</v>
      </c>
      <c r="G52" s="0" t="n">
        <f aca="false">3.1416*E52*E52/4</f>
        <v>0.7854</v>
      </c>
      <c r="H52" s="0" t="n">
        <f aca="false">G52*F52</f>
        <v>0.7854</v>
      </c>
      <c r="I52" s="0" t="n">
        <f aca="false">G52*(A52-A53)*F52</f>
        <v>0.018624089108911</v>
      </c>
      <c r="J52" s="0" t="n">
        <f aca="false">J51+I52/10000</f>
        <v>0.00036610711939617</v>
      </c>
    </row>
    <row r="53" customFormat="false" ht="15.75" hidden="false" customHeight="false" outlineLevel="0" collapsed="false">
      <c r="A53" s="0" t="n">
        <f aca="false">'Fractal shoot'!$B$2-'Fractal shoot'!D65</f>
        <v>-2.3460396039604</v>
      </c>
      <c r="B53" s="0" t="n">
        <f aca="false">'Fractal shoot'!O66</f>
        <v>0.000672644554455446</v>
      </c>
      <c r="C53" s="0" t="n">
        <f aca="false">C52+B53</f>
        <v>0.18833007432859</v>
      </c>
      <c r="D53" s="0" t="n">
        <f aca="false">'Fractal shoot'!E66*'Fractal shoot'!B66/100</f>
        <v>0.01</v>
      </c>
      <c r="E53" s="0" t="n">
        <f aca="false">'Fractal shoot'!E66</f>
        <v>1</v>
      </c>
      <c r="F53" s="0" t="n">
        <f aca="false">'Fractal shoot'!B66</f>
        <v>1</v>
      </c>
      <c r="G53" s="0" t="n">
        <f aca="false">3.1416*E53*E53/4</f>
        <v>0.7854</v>
      </c>
      <c r="H53" s="0" t="n">
        <f aca="false">G53*F53</f>
        <v>0.7854</v>
      </c>
      <c r="I53" s="0" t="n">
        <f aca="false">G53*(A53-A54)*F53</f>
        <v>0.0168161138613859</v>
      </c>
      <c r="J53" s="0" t="n">
        <f aca="false">J52+I53/10000</f>
        <v>0.000367788730782309</v>
      </c>
    </row>
    <row r="54" customFormat="false" ht="15.75" hidden="false" customHeight="false" outlineLevel="0" collapsed="false">
      <c r="A54" s="0" t="n">
        <f aca="false">'Fractal shoot'!$B$2-'Fractal shoot'!D66</f>
        <v>-2.36745049504951</v>
      </c>
      <c r="B54" s="0" t="n">
        <f aca="false">'Fractal shoot'!O67</f>
        <v>0.000600325544554455</v>
      </c>
      <c r="C54" s="0" t="n">
        <f aca="false">C53+B54</f>
        <v>0.188930399873145</v>
      </c>
      <c r="D54" s="0" t="n">
        <f aca="false">'Fractal shoot'!E67*'Fractal shoot'!B67/100</f>
        <v>0.01</v>
      </c>
      <c r="E54" s="0" t="n">
        <f aca="false">'Fractal shoot'!E67</f>
        <v>1</v>
      </c>
      <c r="F54" s="0" t="n">
        <f aca="false">'Fractal shoot'!B67</f>
        <v>1</v>
      </c>
      <c r="G54" s="0" t="n">
        <f aca="false">3.1416*E54*E54/4</f>
        <v>0.7854</v>
      </c>
      <c r="H54" s="0" t="n">
        <f aca="false">G54*F54</f>
        <v>0.7854</v>
      </c>
      <c r="I54" s="0" t="n">
        <f aca="false">G54*(A54-A55)*F54</f>
        <v>0.0150081386138616</v>
      </c>
      <c r="J54" s="0" t="n">
        <f aca="false">J53+I54/10000</f>
        <v>0.000369289544643695</v>
      </c>
    </row>
    <row r="55" customFormat="false" ht="15.75" hidden="false" customHeight="false" outlineLevel="0" collapsed="false">
      <c r="A55" s="0" t="n">
        <f aca="false">'Fractal shoot'!$B$2-'Fractal shoot'!D67</f>
        <v>-2.38655940594059</v>
      </c>
      <c r="B55" s="0" t="n">
        <f aca="false">'Fractal shoot'!O68</f>
        <v>0.000528006534653465</v>
      </c>
      <c r="C55" s="0" t="n">
        <f aca="false">C54+B55</f>
        <v>0.189458406407798</v>
      </c>
      <c r="D55" s="0" t="n">
        <f aca="false">'Fractal shoot'!E68*'Fractal shoot'!B68/100</f>
        <v>0.01</v>
      </c>
      <c r="E55" s="0" t="n">
        <f aca="false">'Fractal shoot'!E68</f>
        <v>1</v>
      </c>
      <c r="F55" s="0" t="n">
        <f aca="false">'Fractal shoot'!B68</f>
        <v>1</v>
      </c>
      <c r="G55" s="0" t="n">
        <f aca="false">3.1416*E55*E55/4</f>
        <v>0.7854</v>
      </c>
      <c r="H55" s="0" t="n">
        <f aca="false">G55*F55</f>
        <v>0.7854</v>
      </c>
      <c r="I55" s="0" t="n">
        <f aca="false">G55*(A55-A56)*F55</f>
        <v>0.0132001633663365</v>
      </c>
      <c r="J55" s="0" t="n">
        <f aca="false">J54+I55/10000</f>
        <v>0.000370609560980329</v>
      </c>
    </row>
    <row r="56" customFormat="false" ht="15.75" hidden="false" customHeight="false" outlineLevel="0" collapsed="false">
      <c r="A56" s="0" t="n">
        <f aca="false">'Fractal shoot'!$B$2-'Fractal shoot'!D68</f>
        <v>-2.40336633663366</v>
      </c>
      <c r="B56" s="0" t="n">
        <f aca="false">'Fractal shoot'!O69</f>
        <v>0.000455687524752476</v>
      </c>
      <c r="C56" s="0" t="n">
        <f aca="false">C55+B56</f>
        <v>0.189914093932551</v>
      </c>
      <c r="D56" s="0" t="n">
        <f aca="false">'Fractal shoot'!E69*'Fractal shoot'!B69/100</f>
        <v>0.01</v>
      </c>
      <c r="E56" s="0" t="n">
        <f aca="false">'Fractal shoot'!E69</f>
        <v>1</v>
      </c>
      <c r="F56" s="0" t="n">
        <f aca="false">'Fractal shoot'!B69</f>
        <v>1</v>
      </c>
      <c r="G56" s="0" t="n">
        <f aca="false">3.1416*E56*E56/4</f>
        <v>0.7854</v>
      </c>
      <c r="H56" s="0" t="n">
        <f aca="false">G56*F56</f>
        <v>0.7854</v>
      </c>
      <c r="I56" s="0" t="n">
        <f aca="false">G56*(A56-A57)*F56</f>
        <v>0.0113921881188118</v>
      </c>
      <c r="J56" s="0" t="n">
        <f aca="false">J55+I56/10000</f>
        <v>0.00037174877979221</v>
      </c>
    </row>
    <row r="57" customFormat="false" ht="15.75" hidden="false" customHeight="false" outlineLevel="0" collapsed="false">
      <c r="A57" s="0" t="n">
        <f aca="false">'Fractal shoot'!$B$2-'Fractal shoot'!D69</f>
        <v>-2.41787128712871</v>
      </c>
      <c r="B57" s="0" t="n">
        <f aca="false">'Fractal shoot'!O70</f>
        <v>0.000383368514851485</v>
      </c>
      <c r="C57" s="0" t="n">
        <f aca="false">C56+B57</f>
        <v>0.190297462447402</v>
      </c>
      <c r="D57" s="0" t="n">
        <f aca="false">'Fractal shoot'!E70*'Fractal shoot'!B70/100</f>
        <v>0.01</v>
      </c>
      <c r="E57" s="0" t="n">
        <f aca="false">'Fractal shoot'!E70</f>
        <v>1</v>
      </c>
      <c r="F57" s="0" t="n">
        <f aca="false">'Fractal shoot'!B70</f>
        <v>1</v>
      </c>
      <c r="G57" s="0" t="n">
        <f aca="false">3.1416*E57*E57/4</f>
        <v>0.7854</v>
      </c>
      <c r="H57" s="0" t="n">
        <f aca="false">G57*F57</f>
        <v>0.7854</v>
      </c>
      <c r="I57" s="0" t="n">
        <f aca="false">G57*(A57-A58)*F57</f>
        <v>0.00958421287128709</v>
      </c>
      <c r="J57" s="0" t="n">
        <f aca="false">J56+I57/10000</f>
        <v>0.000372707201079339</v>
      </c>
    </row>
    <row r="58" customFormat="false" ht="15.75" hidden="false" customHeight="false" outlineLevel="0" collapsed="false">
      <c r="A58" s="0" t="n">
        <f aca="false">'Fractal shoot'!$B$2-'Fractal shoot'!D70</f>
        <v>-2.43007425742574</v>
      </c>
      <c r="B58" s="0" t="n">
        <f aca="false">'Fractal shoot'!O71</f>
        <v>0.000311049504950495</v>
      </c>
      <c r="C58" s="0" t="n">
        <f aca="false">C57+B58</f>
        <v>0.190608511952353</v>
      </c>
      <c r="D58" s="0" t="n">
        <f aca="false">'Fractal shoot'!E71*'Fractal shoot'!B71/100</f>
        <v>0.01</v>
      </c>
      <c r="E58" s="0" t="n">
        <f aca="false">'Fractal shoot'!E71</f>
        <v>1</v>
      </c>
      <c r="F58" s="0" t="n">
        <f aca="false">'Fractal shoot'!B71</f>
        <v>1</v>
      </c>
      <c r="G58" s="0" t="n">
        <f aca="false">3.1416*E58*E58/4</f>
        <v>0.7854</v>
      </c>
      <c r="H58" s="0" t="n">
        <f aca="false">G58*F58</f>
        <v>0.7854</v>
      </c>
      <c r="I58" s="0" t="n">
        <f aca="false">G58*(A58-A59)*F58</f>
        <v>0.00777623762376238</v>
      </c>
      <c r="J58" s="0" t="n">
        <f aca="false">J57+I58/10000</f>
        <v>0.000373484824841715</v>
      </c>
    </row>
    <row r="59" customFormat="false" ht="15.75" hidden="false" customHeight="false" outlineLevel="0" collapsed="false">
      <c r="A59" s="0" t="n">
        <f aca="false">'Fractal shoot'!$B$2-'Fractal shoot'!D71</f>
        <v>-2.43997524752475</v>
      </c>
      <c r="B59" s="0" t="n">
        <f aca="false">'Fractal shoot'!O72</f>
        <v>0.000238730495049505</v>
      </c>
      <c r="C59" s="0" t="n">
        <f aca="false">C58+B59</f>
        <v>0.190847242447402</v>
      </c>
      <c r="D59" s="0" t="n">
        <f aca="false">'Fractal shoot'!E72*'Fractal shoot'!B72/100</f>
        <v>0.01</v>
      </c>
      <c r="E59" s="0" t="n">
        <f aca="false">'Fractal shoot'!E72</f>
        <v>1</v>
      </c>
      <c r="F59" s="0" t="n">
        <f aca="false">'Fractal shoot'!B72</f>
        <v>1</v>
      </c>
      <c r="G59" s="0" t="n">
        <f aca="false">3.1416*E59*E59/4</f>
        <v>0.7854</v>
      </c>
      <c r="H59" s="0" t="n">
        <f aca="false">G59*F59</f>
        <v>0.7854</v>
      </c>
      <c r="I59" s="0" t="n">
        <f aca="false">G59*(A59-A60)*F59</f>
        <v>0.00596826237623767</v>
      </c>
      <c r="J59" s="0" t="n">
        <f aca="false">J58+I59/10000</f>
        <v>0.000374081651079339</v>
      </c>
    </row>
    <row r="60" customFormat="false" ht="15.75" hidden="false" customHeight="false" outlineLevel="0" collapsed="false">
      <c r="A60" s="0" t="n">
        <f aca="false">'Fractal shoot'!$B$2-'Fractal shoot'!D72</f>
        <v>-2.44757425742574</v>
      </c>
      <c r="B60" s="0" t="n">
        <f aca="false">'Fractal shoot'!O73</f>
        <v>0.000166411485148515</v>
      </c>
      <c r="C60" s="0" t="n">
        <f aca="false">C59+B60</f>
        <v>0.191013653932551</v>
      </c>
      <c r="D60" s="0" t="n">
        <f aca="false">'Fractal shoot'!E73*'Fractal shoot'!B73/100</f>
        <v>0.01</v>
      </c>
      <c r="E60" s="0" t="n">
        <f aca="false">'Fractal shoot'!E73</f>
        <v>1</v>
      </c>
      <c r="F60" s="0" t="n">
        <f aca="false">'Fractal shoot'!B73</f>
        <v>1</v>
      </c>
      <c r="G60" s="0" t="n">
        <f aca="false">3.1416*E60*E60/4</f>
        <v>0.7854</v>
      </c>
      <c r="H60" s="0" t="n">
        <f aca="false">G60*F60</f>
        <v>0.7854</v>
      </c>
      <c r="I60" s="0" t="n">
        <f aca="false">G60*(A60-A61)*F60</f>
        <v>0.00416028712871261</v>
      </c>
      <c r="J60" s="0" t="n">
        <f aca="false">J59+I60/10000</f>
        <v>0.00037449767979221</v>
      </c>
    </row>
    <row r="61" customFormat="false" ht="15.75" hidden="false" customHeight="false" outlineLevel="0" collapsed="false">
      <c r="A61" s="0" t="n">
        <f aca="false">'Fractal shoot'!$B$2-'Fractal shoot'!D73</f>
        <v>-2.45287128712871</v>
      </c>
      <c r="B61" s="0" t="n">
        <f aca="false">'Fractal shoot'!O74</f>
        <v>9.40924752475248E-005</v>
      </c>
      <c r="C61" s="0" t="n">
        <f aca="false">C60+B61</f>
        <v>0.191107746407798</v>
      </c>
      <c r="D61" s="0" t="n">
        <f aca="false">'Fractal shoot'!E74*'Fractal shoot'!B74/100</f>
        <v>0.01</v>
      </c>
      <c r="E61" s="0" t="n">
        <f aca="false">'Fractal shoot'!E74</f>
        <v>1</v>
      </c>
      <c r="F61" s="0" t="n">
        <f aca="false">'Fractal shoot'!B74</f>
        <v>1</v>
      </c>
      <c r="G61" s="0" t="n">
        <f aca="false">3.1416*E61*E61/4</f>
        <v>0.7854</v>
      </c>
      <c r="H61" s="0" t="n">
        <f aca="false">G61*F61</f>
        <v>0.7854</v>
      </c>
      <c r="I61" s="0" t="n">
        <f aca="false">G61*(A61-A62)*F61</f>
        <v>0.00235231188118825</v>
      </c>
      <c r="J61" s="0" t="n">
        <f aca="false">J60+I61/10000</f>
        <v>0.000374732910980329</v>
      </c>
    </row>
    <row r="62" customFormat="false" ht="15.75" hidden="false" customHeight="false" outlineLevel="0" collapsed="false">
      <c r="A62" s="0" t="n">
        <f aca="false">'Fractal shoot'!$B$2-'Fractal shoot'!D74</f>
        <v>-2.45586633663366</v>
      </c>
      <c r="B62" s="0" t="n">
        <f aca="false">'Fractal shoot'!O75</f>
        <v>2.17734653465347E-005</v>
      </c>
      <c r="C62" s="0" t="n">
        <f aca="false">C61+B62</f>
        <v>0.191129519873145</v>
      </c>
      <c r="D62" s="0" t="n">
        <f aca="false">'Fractal shoot'!E75*'Fractal shoot'!B75/100</f>
        <v>0.01</v>
      </c>
      <c r="E62" s="0" t="n">
        <f aca="false">'Fractal shoot'!E75</f>
        <v>1</v>
      </c>
      <c r="F62" s="0" t="n">
        <f aca="false">'Fractal shoot'!B75</f>
        <v>1</v>
      </c>
      <c r="G62" s="0" t="n">
        <f aca="false">3.1416*E62*E62/4</f>
        <v>0.7854</v>
      </c>
      <c r="H62" s="0" t="n">
        <f aca="false">G62*F62</f>
        <v>0.7854</v>
      </c>
      <c r="I62" s="0" t="n">
        <f aca="false">G62*(A62-A63)*F62</f>
        <v>0.000544336633663192</v>
      </c>
      <c r="J62" s="0" t="n">
        <f aca="false">J61+I62/10000</f>
        <v>0.000374787344643695</v>
      </c>
    </row>
    <row r="63" customFormat="false" ht="15.75" hidden="false" customHeight="false" outlineLevel="0" collapsed="false">
      <c r="A63" s="0" t="n">
        <f aca="false">'Fractal shoot'!$B$2-'Fractal shoot'!D75</f>
        <v>-2.45655940594059</v>
      </c>
      <c r="B63" s="0" t="n">
        <f aca="false">'Fractal shoot'!O76</f>
        <v>-5.05455445544555E-005</v>
      </c>
      <c r="C63" s="0" t="n">
        <f aca="false">C62+B63</f>
        <v>0.19107897432859</v>
      </c>
      <c r="D63" s="0" t="n">
        <f aca="false">'Fractal shoot'!E76*'Fractal shoot'!B76/100</f>
        <v>0.01</v>
      </c>
      <c r="E63" s="0" t="n">
        <f aca="false">'Fractal shoot'!E76</f>
        <v>1</v>
      </c>
      <c r="F63" s="0" t="n">
        <f aca="false">'Fractal shoot'!B76</f>
        <v>1</v>
      </c>
      <c r="G63" s="0" t="n">
        <f aca="false">3.1416*E63*E63/4</f>
        <v>0.7854</v>
      </c>
      <c r="H63" s="0" t="n">
        <f aca="false">G63*F63</f>
        <v>0.7854</v>
      </c>
      <c r="I63" s="0" t="n">
        <f aca="false">G63*(A63-A64)*F63</f>
        <v>-0.00126363861386152</v>
      </c>
      <c r="J63" s="0" t="n">
        <f aca="false">J62+I63/10000</f>
        <v>0.000374660980782309</v>
      </c>
    </row>
    <row r="64" customFormat="false" ht="15.75" hidden="false" customHeight="false" outlineLevel="0" collapsed="false">
      <c r="A64" s="0" t="n">
        <f aca="false">'Fractal shoot'!$B$2-'Fractal shoot'!D76</f>
        <v>-2.4549504950495</v>
      </c>
      <c r="B64" s="0" t="n">
        <f aca="false">'Fractal shoot'!O77</f>
        <v>-0.000122864554455446</v>
      </c>
      <c r="C64" s="0" t="n">
        <f aca="false">C63+B64</f>
        <v>0.190956109774135</v>
      </c>
      <c r="D64" s="0" t="n">
        <f aca="false">'Fractal shoot'!E77*'Fractal shoot'!B77/100</f>
        <v>0.01</v>
      </c>
      <c r="E64" s="0" t="n">
        <f aca="false">'Fractal shoot'!E77</f>
        <v>1</v>
      </c>
      <c r="F64" s="0" t="n">
        <f aca="false">'Fractal shoot'!B77</f>
        <v>1</v>
      </c>
      <c r="G64" s="0" t="n">
        <f aca="false">3.1416*E64*E64/4</f>
        <v>0.7854</v>
      </c>
      <c r="H64" s="0" t="n">
        <f aca="false">G64*F64</f>
        <v>0.7854</v>
      </c>
      <c r="I64" s="0" t="n">
        <f aca="false">G64*(A64-A65)*F64</f>
        <v>-0.00307161386138588</v>
      </c>
      <c r="J64" s="0" t="n">
        <f aca="false">J63+I64/10000</f>
        <v>0.00037435381939617</v>
      </c>
    </row>
    <row r="65" customFormat="false" ht="15.75" hidden="false" customHeight="false" outlineLevel="0" collapsed="false">
      <c r="A65" s="0" t="n">
        <f aca="false">'Fractal shoot'!$B$2-'Fractal shoot'!D77</f>
        <v>-2.4510396039604</v>
      </c>
      <c r="B65" s="0" t="n">
        <f aca="false">'Fractal shoot'!O78</f>
        <v>-0.000195183564356436</v>
      </c>
      <c r="C65" s="0" t="n">
        <f aca="false">C64+B65</f>
        <v>0.190760926209778</v>
      </c>
      <c r="D65" s="0" t="n">
        <f aca="false">'Fractal shoot'!E78*'Fractal shoot'!B78/100</f>
        <v>0.01</v>
      </c>
      <c r="E65" s="0" t="n">
        <f aca="false">'Fractal shoot'!E78</f>
        <v>1</v>
      </c>
      <c r="F65" s="0" t="n">
        <f aca="false">'Fractal shoot'!B78</f>
        <v>1</v>
      </c>
      <c r="G65" s="0" t="n">
        <f aca="false">3.1416*E65*E65/4</f>
        <v>0.7854</v>
      </c>
      <c r="H65" s="0" t="n">
        <f aca="false">G65*F65</f>
        <v>0.7854</v>
      </c>
      <c r="I65" s="0" t="n">
        <f aca="false">G65*(A65-A66)*F65</f>
        <v>-0.00487958910891094</v>
      </c>
      <c r="J65" s="0" t="n">
        <f aca="false">J64+I65/10000</f>
        <v>0.000373865860485279</v>
      </c>
    </row>
    <row r="66" customFormat="false" ht="15.75" hidden="false" customHeight="false" outlineLevel="0" collapsed="false">
      <c r="A66" s="0" t="n">
        <f aca="false">'Fractal shoot'!$B$2-'Fractal shoot'!D78</f>
        <v>-2.44482673267327</v>
      </c>
      <c r="B66" s="0" t="n">
        <f aca="false">'Fractal shoot'!O79</f>
        <v>-0.000267502574257425</v>
      </c>
      <c r="C66" s="0" t="n">
        <f aca="false">C65+B66</f>
        <v>0.190493423635521</v>
      </c>
      <c r="D66" s="0" t="n">
        <f aca="false">'Fractal shoot'!E79*'Fractal shoot'!B79/100</f>
        <v>0.01</v>
      </c>
      <c r="E66" s="0" t="n">
        <f aca="false">'Fractal shoot'!E79</f>
        <v>1</v>
      </c>
      <c r="F66" s="0" t="n">
        <f aca="false">'Fractal shoot'!B79</f>
        <v>1</v>
      </c>
      <c r="G66" s="0" t="n">
        <f aca="false">3.1416*E66*E66/4</f>
        <v>0.7854</v>
      </c>
      <c r="H66" s="0" t="n">
        <f aca="false">G66*F66</f>
        <v>0.7854</v>
      </c>
      <c r="I66" s="0" t="n">
        <f aca="false">G66*(A66-A67)*F66</f>
        <v>-0.0066875643564353</v>
      </c>
      <c r="J66" s="0" t="n">
        <f aca="false">J65+I66/10000</f>
        <v>0.000373197104049636</v>
      </c>
    </row>
    <row r="67" customFormat="false" ht="15.75" hidden="false" customHeight="false" outlineLevel="0" collapsed="false">
      <c r="A67" s="0" t="n">
        <f aca="false">'Fractal shoot'!$B$2-'Fractal shoot'!D79</f>
        <v>-2.43631188118812</v>
      </c>
      <c r="B67" s="0" t="n">
        <f aca="false">'Fractal shoot'!O80</f>
        <v>-0.000339821584158415</v>
      </c>
      <c r="C67" s="0" t="n">
        <f aca="false">C66+B67</f>
        <v>0.190153602051363</v>
      </c>
      <c r="D67" s="0" t="n">
        <f aca="false">'Fractal shoot'!E80*'Fractal shoot'!B80/100</f>
        <v>0.01</v>
      </c>
      <c r="E67" s="0" t="n">
        <f aca="false">'Fractal shoot'!E80</f>
        <v>1</v>
      </c>
      <c r="F67" s="0" t="n">
        <f aca="false">'Fractal shoot'!B80</f>
        <v>1</v>
      </c>
      <c r="G67" s="0" t="n">
        <f aca="false">3.1416*E67*E67/4</f>
        <v>0.7854</v>
      </c>
      <c r="H67" s="0" t="n">
        <f aca="false">G67*F67</f>
        <v>0.7854</v>
      </c>
      <c r="I67" s="0" t="n">
        <f aca="false">G67*(A67-A68)*F67</f>
        <v>-0.00849553960396036</v>
      </c>
      <c r="J67" s="0" t="n">
        <f aca="false">J66+I67/10000</f>
        <v>0.00037234755008924</v>
      </c>
    </row>
    <row r="68" customFormat="false" ht="15.75" hidden="false" customHeight="false" outlineLevel="0" collapsed="false">
      <c r="A68" s="0" t="n">
        <f aca="false">'Fractal shoot'!$B$2-'Fractal shoot'!D80</f>
        <v>-2.42549504950495</v>
      </c>
      <c r="B68" s="0" t="n">
        <f aca="false">'Fractal shoot'!O81</f>
        <v>-0.000412140594059405</v>
      </c>
      <c r="C68" s="0" t="n">
        <f aca="false">C67+B68</f>
        <v>0.189741461457303</v>
      </c>
      <c r="D68" s="0" t="n">
        <f aca="false">'Fractal shoot'!E81*'Fractal shoot'!B81/100</f>
        <v>0.01</v>
      </c>
      <c r="E68" s="0" t="n">
        <f aca="false">'Fractal shoot'!E81</f>
        <v>1</v>
      </c>
      <c r="F68" s="0" t="n">
        <f aca="false">'Fractal shoot'!B81</f>
        <v>1</v>
      </c>
      <c r="G68" s="0" t="n">
        <f aca="false">3.1416*E68*E68/4</f>
        <v>0.7854</v>
      </c>
      <c r="H68" s="0" t="n">
        <f aca="false">G68*F68</f>
        <v>0.7854</v>
      </c>
      <c r="I68" s="0" t="n">
        <f aca="false">G68*(A68-A69)*F68</f>
        <v>-0.0103035148514851</v>
      </c>
      <c r="J68" s="0" t="n">
        <f aca="false">J67+I68/10000</f>
        <v>0.000371317198604091</v>
      </c>
    </row>
    <row r="69" customFormat="false" ht="15.75" hidden="false" customHeight="false" outlineLevel="0" collapsed="false">
      <c r="A69" s="0" t="n">
        <f aca="false">'Fractal shoot'!$B$2-'Fractal shoot'!D81</f>
        <v>-2.41237623762376</v>
      </c>
      <c r="B69" s="0" t="n">
        <f aca="false">'Fractal shoot'!O82</f>
        <v>-0.000484459603960396</v>
      </c>
      <c r="C69" s="0" t="n">
        <f aca="false">C68+B69</f>
        <v>0.189257001853343</v>
      </c>
      <c r="D69" s="0" t="n">
        <f aca="false">'Fractal shoot'!E82*'Fractal shoot'!B82/100</f>
        <v>0.01</v>
      </c>
      <c r="E69" s="0" t="n">
        <f aca="false">'Fractal shoot'!E82</f>
        <v>1</v>
      </c>
      <c r="F69" s="0" t="n">
        <f aca="false">'Fractal shoot'!B82</f>
        <v>1</v>
      </c>
      <c r="G69" s="0" t="n">
        <f aca="false">3.1416*E69*E69/4</f>
        <v>0.7854</v>
      </c>
      <c r="H69" s="0" t="n">
        <f aca="false">G69*F69</f>
        <v>0.7854</v>
      </c>
      <c r="I69" s="0" t="n">
        <f aca="false">G69*(A69-A70)*F69</f>
        <v>-0.0121114900990101</v>
      </c>
      <c r="J69" s="0" t="n">
        <f aca="false">J68+I69/10000</f>
        <v>0.00037010604959419</v>
      </c>
    </row>
    <row r="70" customFormat="false" ht="15.75" hidden="false" customHeight="false" outlineLevel="0" collapsed="false">
      <c r="A70" s="0" t="n">
        <f aca="false">'Fractal shoot'!$B$2-'Fractal shoot'!D82</f>
        <v>-2.39695544554455</v>
      </c>
      <c r="B70" s="0" t="n">
        <f aca="false">'Fractal shoot'!O83</f>
        <v>-0.000556778613861386</v>
      </c>
      <c r="C70" s="0" t="n">
        <f aca="false">C69+B70</f>
        <v>0.188700223239481</v>
      </c>
      <c r="D70" s="0" t="n">
        <f aca="false">'Fractal shoot'!E83*'Fractal shoot'!B83/100</f>
        <v>0.01</v>
      </c>
      <c r="E70" s="0" t="n">
        <f aca="false">'Fractal shoot'!E83</f>
        <v>1</v>
      </c>
      <c r="F70" s="0" t="n">
        <f aca="false">'Fractal shoot'!B83</f>
        <v>1</v>
      </c>
      <c r="G70" s="0" t="n">
        <f aca="false">3.1416*E70*E70/4</f>
        <v>0.7854</v>
      </c>
      <c r="H70" s="0" t="n">
        <f aca="false">G70*F70</f>
        <v>0.7854</v>
      </c>
      <c r="I70" s="0" t="n">
        <f aca="false">G70*(A70-A71)*F70</f>
        <v>-0.0139194653465345</v>
      </c>
      <c r="J70" s="0" t="n">
        <f aca="false">J69+I70/10000</f>
        <v>0.000368714103059537</v>
      </c>
    </row>
    <row r="71" customFormat="false" ht="15.75" hidden="false" customHeight="false" outlineLevel="0" collapsed="false">
      <c r="A71" s="0" t="n">
        <f aca="false">'Fractal shoot'!$B$2-'Fractal shoot'!D83</f>
        <v>-2.37923267326733</v>
      </c>
      <c r="B71" s="0" t="n">
        <f aca="false">'Fractal shoot'!O84</f>
        <v>-0.000629097623762376</v>
      </c>
      <c r="C71" s="0" t="n">
        <f aca="false">C70+B71</f>
        <v>0.188071125615719</v>
      </c>
      <c r="D71" s="0" t="n">
        <f aca="false">'Fractal shoot'!E84*'Fractal shoot'!B84/100</f>
        <v>0.01</v>
      </c>
      <c r="E71" s="0" t="n">
        <f aca="false">'Fractal shoot'!E84</f>
        <v>1</v>
      </c>
      <c r="F71" s="0" t="n">
        <f aca="false">'Fractal shoot'!B84</f>
        <v>1</v>
      </c>
      <c r="G71" s="0" t="n">
        <f aca="false">3.1416*E71*E71/4</f>
        <v>0.7854</v>
      </c>
      <c r="H71" s="0" t="n">
        <f aca="false">G71*F71</f>
        <v>0.7854</v>
      </c>
      <c r="I71" s="0" t="n">
        <f aca="false">G71*(A71-A72)*F71</f>
        <v>-0.0157274405940595</v>
      </c>
      <c r="J71" s="0" t="n">
        <f aca="false">J70+I71/10000</f>
        <v>0.000367141359000131</v>
      </c>
    </row>
    <row r="72" customFormat="false" ht="15.75" hidden="false" customHeight="false" outlineLevel="0" collapsed="false">
      <c r="A72" s="0" t="n">
        <f aca="false">'Fractal shoot'!$B$2-'Fractal shoot'!D84</f>
        <v>-2.35920792079208</v>
      </c>
      <c r="B72" s="0" t="n">
        <f aca="false">'Fractal shoot'!O85</f>
        <v>-0.000701416633663366</v>
      </c>
      <c r="C72" s="0" t="n">
        <f aca="false">C71+B72</f>
        <v>0.187369708982056</v>
      </c>
      <c r="D72" s="0" t="n">
        <f aca="false">'Fractal shoot'!E85*'Fractal shoot'!B85/100</f>
        <v>0.01</v>
      </c>
      <c r="E72" s="0" t="n">
        <f aca="false">'Fractal shoot'!E85</f>
        <v>1</v>
      </c>
      <c r="F72" s="0" t="n">
        <f aca="false">'Fractal shoot'!B85</f>
        <v>1</v>
      </c>
      <c r="G72" s="0" t="n">
        <f aca="false">3.1416*E72*E72/4</f>
        <v>0.7854</v>
      </c>
      <c r="H72" s="0" t="n">
        <f aca="false">G72*F72</f>
        <v>0.7854</v>
      </c>
      <c r="I72" s="0" t="n">
        <f aca="false">G72*(A72-A73)*F72</f>
        <v>-0.0175354158415843</v>
      </c>
      <c r="J72" s="0" t="n">
        <f aca="false">J71+I72/10000</f>
        <v>0.000365387817415972</v>
      </c>
    </row>
    <row r="73" customFormat="false" ht="15.75" hidden="false" customHeight="false" outlineLevel="0" collapsed="false">
      <c r="A73" s="0" t="n">
        <f aca="false">'Fractal shoot'!$B$2-'Fractal shoot'!D85</f>
        <v>-2.33688118811881</v>
      </c>
      <c r="B73" s="0" t="n">
        <f aca="false">'Fractal shoot'!O86</f>
        <v>-0.000773735643564356</v>
      </c>
      <c r="C73" s="0" t="n">
        <f aca="false">C72+B73</f>
        <v>0.186595973338491</v>
      </c>
      <c r="D73" s="0" t="n">
        <f aca="false">'Fractal shoot'!E86*'Fractal shoot'!B86/100</f>
        <v>0.01</v>
      </c>
      <c r="E73" s="0" t="n">
        <f aca="false">'Fractal shoot'!E86</f>
        <v>1</v>
      </c>
      <c r="F73" s="0" t="n">
        <f aca="false">'Fractal shoot'!B86</f>
        <v>1</v>
      </c>
      <c r="G73" s="0" t="n">
        <f aca="false">3.1416*E73*E73/4</f>
        <v>0.7854</v>
      </c>
      <c r="H73" s="0" t="n">
        <f aca="false">G73*F73</f>
        <v>0.7854</v>
      </c>
      <c r="I73" s="0" t="n">
        <f aca="false">G73*(A73-A74)*F73</f>
        <v>-0.019343391089109</v>
      </c>
      <c r="J73" s="0" t="n">
        <f aca="false">J72+I73/10000</f>
        <v>0.000363453478307061</v>
      </c>
    </row>
    <row r="74" customFormat="false" ht="15.75" hidden="false" customHeight="false" outlineLevel="0" collapsed="false">
      <c r="A74" s="0" t="n">
        <f aca="false">'Fractal shoot'!$B$2-'Fractal shoot'!D86</f>
        <v>-2.31225247524752</v>
      </c>
      <c r="B74" s="0" t="n">
        <f aca="false">'Fractal shoot'!O87</f>
        <v>-0.000846054653465346</v>
      </c>
      <c r="C74" s="0" t="n">
        <f aca="false">C73+B74</f>
        <v>0.185749918685026</v>
      </c>
      <c r="D74" s="0" t="n">
        <f aca="false">'Fractal shoot'!E87*'Fractal shoot'!B87/100</f>
        <v>0.01</v>
      </c>
      <c r="E74" s="0" t="n">
        <f aca="false">'Fractal shoot'!E87</f>
        <v>1</v>
      </c>
      <c r="F74" s="0" t="n">
        <f aca="false">'Fractal shoot'!B87</f>
        <v>1</v>
      </c>
      <c r="G74" s="0" t="n">
        <f aca="false">3.1416*E74*E74/4</f>
        <v>0.7854</v>
      </c>
      <c r="H74" s="0" t="n">
        <f aca="false">G74*F74</f>
        <v>0.7854</v>
      </c>
      <c r="I74" s="0" t="n">
        <f aca="false">G74*(A74-A75)*F74</f>
        <v>-0.0211513663366337</v>
      </c>
      <c r="J74" s="0" t="n">
        <f aca="false">J73+I74/10000</f>
        <v>0.000361338341673398</v>
      </c>
    </row>
    <row r="75" customFormat="false" ht="15.75" hidden="false" customHeight="false" outlineLevel="0" collapsed="false">
      <c r="A75" s="0" t="n">
        <f aca="false">'Fractal shoot'!$B$2-'Fractal shoot'!D87</f>
        <v>-2.28532178217822</v>
      </c>
      <c r="B75" s="0" t="n">
        <f aca="false">'Fractal shoot'!O88</f>
        <v>-0.000918373663366336</v>
      </c>
      <c r="C75" s="0" t="n">
        <f aca="false">C74+B75</f>
        <v>0.18483154502166</v>
      </c>
      <c r="D75" s="0" t="n">
        <f aca="false">'Fractal shoot'!E88*'Fractal shoot'!B88/100</f>
        <v>0.01</v>
      </c>
      <c r="E75" s="0" t="n">
        <f aca="false">'Fractal shoot'!E88</f>
        <v>1</v>
      </c>
      <c r="F75" s="0" t="n">
        <f aca="false">'Fractal shoot'!B88</f>
        <v>1</v>
      </c>
      <c r="G75" s="0" t="n">
        <f aca="false">3.1416*E75*E75/4</f>
        <v>0.7854</v>
      </c>
      <c r="H75" s="0" t="n">
        <f aca="false">G75*F75</f>
        <v>0.7854</v>
      </c>
      <c r="I75" s="0" t="n">
        <f aca="false">G75*(A75-A76)*F75</f>
        <v>-0.0229593415841584</v>
      </c>
      <c r="J75" s="0" t="n">
        <f aca="false">J74+I75/10000</f>
        <v>0.000359042407514982</v>
      </c>
    </row>
    <row r="76" customFormat="false" ht="15.75" hidden="false" customHeight="false" outlineLevel="0" collapsed="false">
      <c r="A76" s="0" t="n">
        <f aca="false">'Fractal shoot'!$B$2-'Fractal shoot'!D88</f>
        <v>-2.25608910891089</v>
      </c>
      <c r="B76" s="0" t="n">
        <f aca="false">'Fractal shoot'!O89</f>
        <v>-0.000990692673267326</v>
      </c>
      <c r="C76" s="0" t="n">
        <f aca="false">C75+B76</f>
        <v>0.183840852348392</v>
      </c>
      <c r="D76" s="0" t="n">
        <f aca="false">'Fractal shoot'!E89*'Fractal shoot'!B89/100</f>
        <v>0.01</v>
      </c>
      <c r="E76" s="0" t="n">
        <f aca="false">'Fractal shoot'!E89</f>
        <v>1</v>
      </c>
      <c r="F76" s="0" t="n">
        <f aca="false">'Fractal shoot'!B89</f>
        <v>1</v>
      </c>
      <c r="G76" s="0" t="n">
        <f aca="false">3.1416*E76*E76/4</f>
        <v>0.7854</v>
      </c>
      <c r="H76" s="0" t="n">
        <f aca="false">G76*F76</f>
        <v>0.7854</v>
      </c>
      <c r="I76" s="0" t="n">
        <f aca="false">G76*(A76-A77)*F76</f>
        <v>-0.0247673168316831</v>
      </c>
      <c r="J76" s="0" t="n">
        <f aca="false">J75+I76/10000</f>
        <v>0.000356565675831814</v>
      </c>
    </row>
    <row r="77" customFormat="false" ht="15.75" hidden="false" customHeight="false" outlineLevel="0" collapsed="false">
      <c r="A77" s="0" t="n">
        <f aca="false">'Fractal shoot'!$B$2-'Fractal shoot'!D89</f>
        <v>-2.22455445544554</v>
      </c>
      <c r="B77" s="0" t="n">
        <f aca="false">'Fractal shoot'!O90</f>
        <v>-0.00106301168316832</v>
      </c>
      <c r="C77" s="0" t="n">
        <f aca="false">C76+B77</f>
        <v>0.182777840665224</v>
      </c>
      <c r="D77" s="0" t="n">
        <f aca="false">'Fractal shoot'!E90*'Fractal shoot'!B90/100</f>
        <v>0.01</v>
      </c>
      <c r="E77" s="0" t="n">
        <f aca="false">'Fractal shoot'!E90</f>
        <v>1</v>
      </c>
      <c r="F77" s="0" t="n">
        <f aca="false">'Fractal shoot'!B90</f>
        <v>1</v>
      </c>
      <c r="G77" s="0" t="n">
        <f aca="false">3.1416*E77*E77/4</f>
        <v>0.7854</v>
      </c>
      <c r="H77" s="0" t="n">
        <f aca="false">G77*F77</f>
        <v>0.7854</v>
      </c>
      <c r="I77" s="0" t="n">
        <f aca="false">G77*(A77-A78)*F77</f>
        <v>-0.0265752920792082</v>
      </c>
      <c r="J77" s="0" t="n">
        <f aca="false">J76+I77/10000</f>
        <v>0.000353908146623893</v>
      </c>
    </row>
    <row r="78" customFormat="false" ht="15.75" hidden="false" customHeight="false" outlineLevel="0" collapsed="false">
      <c r="A78" s="0" t="n">
        <f aca="false">'Fractal shoot'!$B$2-'Fractal shoot'!D90</f>
        <v>-2.19071782178218</v>
      </c>
      <c r="B78" s="0" t="n">
        <f aca="false">'Fractal shoot'!O91</f>
        <v>-0.00113533069306931</v>
      </c>
      <c r="C78" s="0" t="n">
        <f aca="false">C77+B78</f>
        <v>0.181642509972155</v>
      </c>
      <c r="D78" s="0" t="n">
        <f aca="false">'Fractal shoot'!E91*'Fractal shoot'!B91/100</f>
        <v>0.01</v>
      </c>
      <c r="E78" s="0" t="n">
        <f aca="false">'Fractal shoot'!E91</f>
        <v>1</v>
      </c>
      <c r="F78" s="0" t="n">
        <f aca="false">'Fractal shoot'!B91</f>
        <v>1</v>
      </c>
      <c r="G78" s="0" t="n">
        <f aca="false">3.1416*E78*E78/4</f>
        <v>0.7854</v>
      </c>
      <c r="H78" s="0" t="n">
        <f aca="false">G78*F78</f>
        <v>0.7854</v>
      </c>
      <c r="I78" s="0" t="n">
        <f aca="false">G78*(A78-A79)*F78</f>
        <v>-0.0283832673267329</v>
      </c>
      <c r="J78" s="0" t="n">
        <f aca="false">J77+I78/10000</f>
        <v>0.00035106981989122</v>
      </c>
    </row>
    <row r="79" customFormat="false" ht="15.75" hidden="false" customHeight="false" outlineLevel="0" collapsed="false">
      <c r="A79" s="0" t="n">
        <f aca="false">'Fractal shoot'!$B$2-'Fractal shoot'!D91</f>
        <v>-2.15457920792079</v>
      </c>
      <c r="B79" s="0" t="n">
        <f aca="false">'Fractal shoot'!O92</f>
        <v>-0.0012076497029703</v>
      </c>
      <c r="C79" s="0" t="n">
        <f aca="false">C78+B79</f>
        <v>0.180434860269184</v>
      </c>
      <c r="D79" s="0" t="n">
        <f aca="false">'Fractal shoot'!E92*'Fractal shoot'!B92/100</f>
        <v>0.01</v>
      </c>
      <c r="E79" s="0" t="n">
        <f aca="false">'Fractal shoot'!E92</f>
        <v>1</v>
      </c>
      <c r="F79" s="0" t="n">
        <f aca="false">'Fractal shoot'!B92</f>
        <v>1</v>
      </c>
      <c r="G79" s="0" t="n">
        <f aca="false">3.1416*E79*E79/4</f>
        <v>0.7854</v>
      </c>
      <c r="H79" s="0" t="n">
        <f aca="false">G79*F79</f>
        <v>0.7854</v>
      </c>
      <c r="I79" s="0" t="n">
        <f aca="false">G79*(A79-A80)*F79</f>
        <v>-0.0301912425742565</v>
      </c>
      <c r="J79" s="0" t="n">
        <f aca="false">J78+I79/10000</f>
        <v>0.000348050695633794</v>
      </c>
    </row>
    <row r="80" customFormat="false" ht="15.75" hidden="false" customHeight="false" outlineLevel="0" collapsed="false">
      <c r="A80" s="0" t="n">
        <f aca="false">'Fractal shoot'!$B$2-'Fractal shoot'!D92</f>
        <v>-2.11613861386139</v>
      </c>
      <c r="B80" s="0" t="n">
        <f aca="false">'Fractal shoot'!O93</f>
        <v>-0.00127996871287129</v>
      </c>
      <c r="C80" s="0" t="n">
        <f aca="false">C79+B80</f>
        <v>0.179154891556313</v>
      </c>
      <c r="D80" s="0" t="n">
        <f aca="false">'Fractal shoot'!E93*'Fractal shoot'!B93/100</f>
        <v>0.01</v>
      </c>
      <c r="E80" s="0" t="n">
        <f aca="false">'Fractal shoot'!E93</f>
        <v>1</v>
      </c>
      <c r="F80" s="0" t="n">
        <f aca="false">'Fractal shoot'!B93</f>
        <v>1</v>
      </c>
      <c r="G80" s="0" t="n">
        <f aca="false">3.1416*E80*E80/4</f>
        <v>0.7854</v>
      </c>
      <c r="H80" s="0" t="n">
        <f aca="false">G80*F80</f>
        <v>0.7854</v>
      </c>
      <c r="I80" s="0" t="n">
        <f aca="false">G80*(A80-A81)*F80</f>
        <v>-0.0319992178217823</v>
      </c>
      <c r="J80" s="0" t="n">
        <f aca="false">J79+I80/10000</f>
        <v>0.000344850773851616</v>
      </c>
    </row>
    <row r="81" customFormat="false" ht="15.75" hidden="false" customHeight="false" outlineLevel="0" collapsed="false">
      <c r="A81" s="0" t="n">
        <f aca="false">'Fractal shoot'!$B$2-'Fractal shoot'!D93</f>
        <v>-2.07539603960396</v>
      </c>
      <c r="B81" s="0" t="n">
        <f aca="false">'Fractal shoot'!O94</f>
        <v>-0.00135228772277228</v>
      </c>
      <c r="C81" s="0" t="n">
        <f aca="false">C80+B81</f>
        <v>0.177802603833541</v>
      </c>
      <c r="D81" s="0" t="n">
        <f aca="false">'Fractal shoot'!E94*'Fractal shoot'!B94/100</f>
        <v>0.01</v>
      </c>
      <c r="E81" s="0" t="n">
        <f aca="false">'Fractal shoot'!E94</f>
        <v>1</v>
      </c>
      <c r="F81" s="0" t="n">
        <f aca="false">'Fractal shoot'!B94</f>
        <v>1</v>
      </c>
      <c r="G81" s="0" t="n">
        <f aca="false">3.1416*E81*E81/4</f>
        <v>0.7854</v>
      </c>
      <c r="H81" s="0" t="n">
        <f aca="false">G81*F81</f>
        <v>0.7854</v>
      </c>
      <c r="I81" s="0" t="n">
        <f aca="false">G81*(A81-A82)*F81</f>
        <v>-0.033807193069307</v>
      </c>
      <c r="J81" s="0" t="n">
        <f aca="false">J80+I81/10000</f>
        <v>0.000341470054544685</v>
      </c>
    </row>
    <row r="82" customFormat="false" ht="15.75" hidden="false" customHeight="false" outlineLevel="0" collapsed="false">
      <c r="A82" s="0" t="n">
        <f aca="false">'Fractal shoot'!$B$2-'Fractal shoot'!D94</f>
        <v>-2.03235148514852</v>
      </c>
      <c r="B82" s="0" t="n">
        <f aca="false">'Fractal shoot'!O95</f>
        <v>-0.00142460673267327</v>
      </c>
      <c r="C82" s="0" t="n">
        <f aca="false">C81+B82</f>
        <v>0.176377997100867</v>
      </c>
      <c r="D82" s="0" t="n">
        <f aca="false">'Fractal shoot'!E95*'Fractal shoot'!B95/100</f>
        <v>0.01</v>
      </c>
      <c r="E82" s="0" t="n">
        <f aca="false">'Fractal shoot'!E95</f>
        <v>1</v>
      </c>
      <c r="F82" s="0" t="n">
        <f aca="false">'Fractal shoot'!B95</f>
        <v>1</v>
      </c>
      <c r="G82" s="0" t="n">
        <f aca="false">3.1416*E82*E82/4</f>
        <v>0.7854</v>
      </c>
      <c r="H82" s="0" t="n">
        <f aca="false">G82*F82</f>
        <v>0.7854</v>
      </c>
      <c r="I82" s="0" t="n">
        <f aca="false">G82*(A82-A83)*F82</f>
        <v>-0.0356151683168317</v>
      </c>
      <c r="J82" s="0" t="n">
        <f aca="false">J81+I82/10000</f>
        <v>0.000337908537713002</v>
      </c>
    </row>
    <row r="83" customFormat="false" ht="15.75" hidden="false" customHeight="false" outlineLevel="0" collapsed="false">
      <c r="A83" s="0" t="n">
        <f aca="false">'Fractal shoot'!$B$2-'Fractal shoot'!D95</f>
        <v>-1.98700495049505</v>
      </c>
      <c r="B83" s="0" t="n">
        <f aca="false">'Fractal shoot'!O96</f>
        <v>-0.00149692574257426</v>
      </c>
      <c r="C83" s="0" t="n">
        <f aca="false">C82+B83</f>
        <v>0.174881071358293</v>
      </c>
      <c r="D83" s="0" t="n">
        <f aca="false">'Fractal shoot'!E96*'Fractal shoot'!B96/100</f>
        <v>0.01</v>
      </c>
      <c r="E83" s="0" t="n">
        <f aca="false">'Fractal shoot'!E96</f>
        <v>1</v>
      </c>
      <c r="F83" s="0" t="n">
        <f aca="false">'Fractal shoot'!B96</f>
        <v>1</v>
      </c>
      <c r="G83" s="0" t="n">
        <f aca="false">3.1416*E83*E83/4</f>
        <v>0.7854</v>
      </c>
      <c r="H83" s="0" t="n">
        <f aca="false">G83*F83</f>
        <v>0.7854</v>
      </c>
      <c r="I83" s="0" t="n">
        <f aca="false">G83*(A83-A84)*F83</f>
        <v>-0.0374231435643564</v>
      </c>
      <c r="J83" s="0" t="n">
        <f aca="false">J82+I83/10000</f>
        <v>0.000334166223356567</v>
      </c>
    </row>
    <row r="84" customFormat="false" ht="15.75" hidden="false" customHeight="false" outlineLevel="0" collapsed="false">
      <c r="A84" s="0" t="n">
        <f aca="false">'Fractal shoot'!$B$2-'Fractal shoot'!D96</f>
        <v>-1.93935643564357</v>
      </c>
      <c r="B84" s="0" t="n">
        <f aca="false">'Fractal shoot'!O97</f>
        <v>-0.00156924475247525</v>
      </c>
      <c r="C84" s="0" t="n">
        <f aca="false">C83+B84</f>
        <v>0.173311826605818</v>
      </c>
      <c r="D84" s="0" t="n">
        <f aca="false">'Fractal shoot'!E97*'Fractal shoot'!B97/100</f>
        <v>0.01</v>
      </c>
      <c r="E84" s="0" t="n">
        <f aca="false">'Fractal shoot'!E97</f>
        <v>1</v>
      </c>
      <c r="F84" s="0" t="n">
        <f aca="false">'Fractal shoot'!B97</f>
        <v>1</v>
      </c>
      <c r="G84" s="0" t="n">
        <f aca="false">3.1416*E84*E84/4</f>
        <v>0.7854</v>
      </c>
      <c r="H84" s="0" t="n">
        <f aca="false">G84*F84</f>
        <v>0.7854</v>
      </c>
      <c r="I84" s="0" t="n">
        <f aca="false">G84*(A84-A85)*F84</f>
        <v>-0.0392311188118811</v>
      </c>
      <c r="J84" s="0" t="n">
        <f aca="false">J83+I84/10000</f>
        <v>0.000330243111475378</v>
      </c>
    </row>
    <row r="85" customFormat="false" ht="15.75" hidden="false" customHeight="false" outlineLevel="0" collapsed="false">
      <c r="A85" s="0" t="n">
        <f aca="false">'Fractal shoot'!$B$2-'Fractal shoot'!D97</f>
        <v>-1.88940594059406</v>
      </c>
      <c r="B85" s="0" t="n">
        <f aca="false">'Fractal shoot'!O98</f>
        <v>-0.00164156376237624</v>
      </c>
      <c r="C85" s="0" t="n">
        <f aca="false">C84+B85</f>
        <v>0.171670262843442</v>
      </c>
      <c r="D85" s="0" t="n">
        <f aca="false">'Fractal shoot'!E98*'Fractal shoot'!B98/100</f>
        <v>0.01</v>
      </c>
      <c r="E85" s="0" t="n">
        <f aca="false">'Fractal shoot'!E98</f>
        <v>1</v>
      </c>
      <c r="F85" s="0" t="n">
        <f aca="false">'Fractal shoot'!B98</f>
        <v>1</v>
      </c>
      <c r="G85" s="0" t="n">
        <f aca="false">3.1416*E85*E85/4</f>
        <v>0.7854</v>
      </c>
      <c r="H85" s="0" t="n">
        <f aca="false">G85*F85</f>
        <v>0.7854</v>
      </c>
      <c r="I85" s="0" t="n">
        <f aca="false">G85*(A85-A86)*F85</f>
        <v>-0.0410390940594062</v>
      </c>
      <c r="J85" s="0" t="n">
        <f aca="false">J84+I85/10000</f>
        <v>0.000326139202069438</v>
      </c>
    </row>
    <row r="86" customFormat="false" ht="15.75" hidden="false" customHeight="false" outlineLevel="0" collapsed="false">
      <c r="A86" s="0" t="n">
        <f aca="false">'Fractal shoot'!$B$2-'Fractal shoot'!D98</f>
        <v>-1.83715346534653</v>
      </c>
      <c r="B86" s="0" t="n">
        <f aca="false">'Fractal shoot'!O99</f>
        <v>-0.00171388277227723</v>
      </c>
      <c r="C86" s="0" t="n">
        <f aca="false">C85+B86</f>
        <v>0.169956380071164</v>
      </c>
      <c r="D86" s="0" t="n">
        <f aca="false">'Fractal shoot'!E99*'Fractal shoot'!B99/100</f>
        <v>0.01</v>
      </c>
      <c r="E86" s="0" t="n">
        <f aca="false">'Fractal shoot'!E99</f>
        <v>1</v>
      </c>
      <c r="F86" s="0" t="n">
        <f aca="false">'Fractal shoot'!B99</f>
        <v>1</v>
      </c>
      <c r="G86" s="0" t="n">
        <f aca="false">3.1416*E86*E86/4</f>
        <v>0.7854</v>
      </c>
      <c r="H86" s="0" t="n">
        <f aca="false">G86*F86</f>
        <v>0.7854</v>
      </c>
      <c r="I86" s="0" t="n">
        <f aca="false">G86*(A86-A87)*F86</f>
        <v>-0.0428470693069305</v>
      </c>
      <c r="J86" s="0" t="n">
        <f aca="false">J85+I86/10000</f>
        <v>0.000321854495138745</v>
      </c>
    </row>
    <row r="87" customFormat="false" ht="15.75" hidden="false" customHeight="false" outlineLevel="0" collapsed="false">
      <c r="A87" s="0" t="n">
        <f aca="false">'Fractal shoot'!$B$2-'Fractal shoot'!D99</f>
        <v>-1.78259900990099</v>
      </c>
      <c r="B87" s="0" t="n">
        <f aca="false">'Fractal shoot'!O100</f>
        <v>-0.00178620178217822</v>
      </c>
      <c r="C87" s="0" t="n">
        <f aca="false">C86+B87</f>
        <v>0.168170178288986</v>
      </c>
      <c r="D87" s="0" t="n">
        <f aca="false">'Fractal shoot'!E100*'Fractal shoot'!B100/100</f>
        <v>0.01</v>
      </c>
      <c r="E87" s="0" t="n">
        <f aca="false">'Fractal shoot'!E100</f>
        <v>1</v>
      </c>
      <c r="F87" s="0" t="n">
        <f aca="false">'Fractal shoot'!B100</f>
        <v>1</v>
      </c>
      <c r="G87" s="0" t="n">
        <f aca="false">3.1416*E87*E87/4</f>
        <v>0.7854</v>
      </c>
      <c r="H87" s="0" t="n">
        <f aca="false">G87*F87</f>
        <v>0.7854</v>
      </c>
      <c r="I87" s="0" t="n">
        <f aca="false">G87*(A87-A88)*F87</f>
        <v>-0.0446550445544556</v>
      </c>
      <c r="J87" s="0" t="n">
        <f aca="false">J86+I87/10000</f>
        <v>0.000317388990683299</v>
      </c>
    </row>
    <row r="88" customFormat="false" ht="15.75" hidden="false" customHeight="false" outlineLevel="0" collapsed="false">
      <c r="A88" s="0" t="n">
        <f aca="false">'Fractal shoot'!$B$2-'Fractal shoot'!D100</f>
        <v>-1.72574257425743</v>
      </c>
      <c r="B88" s="0" t="n">
        <f aca="false">'Fractal shoot'!O101</f>
        <v>-0.00185852079207921</v>
      </c>
      <c r="C88" s="0" t="n">
        <f aca="false">C87+B88</f>
        <v>0.166311657496907</v>
      </c>
      <c r="D88" s="0" t="n">
        <f aca="false">'Fractal shoot'!E101*'Fractal shoot'!B101/100</f>
        <v>0.01</v>
      </c>
      <c r="E88" s="0" t="n">
        <f aca="false">'Fractal shoot'!E101</f>
        <v>1</v>
      </c>
      <c r="F88" s="0" t="n">
        <f aca="false">'Fractal shoot'!B101</f>
        <v>1</v>
      </c>
      <c r="G88" s="0" t="n">
        <f aca="false">3.1416*E88*E88/4</f>
        <v>0.7854</v>
      </c>
      <c r="H88" s="0" t="n">
        <f aca="false">G88*F88</f>
        <v>0.7854</v>
      </c>
      <c r="I88" s="0" t="n">
        <f aca="false">G88*(A88-A89)*F88</f>
        <v>-0.0464630198019803</v>
      </c>
      <c r="J88" s="0" t="n">
        <f aca="false">J87+I88/10000</f>
        <v>0.000312742688703101</v>
      </c>
    </row>
    <row r="89" customFormat="false" ht="15.75" hidden="false" customHeight="false" outlineLevel="0" collapsed="false">
      <c r="A89" s="0" t="n">
        <f aca="false">'Fractal shoot'!$B$2-'Fractal shoot'!D101</f>
        <v>-1.66658415841584</v>
      </c>
      <c r="B89" s="0" t="n">
        <f aca="false">'Fractal shoot'!O102</f>
        <v>-0.0019308398019802</v>
      </c>
      <c r="C89" s="0" t="n">
        <f aca="false">C88+B89</f>
        <v>0.164380817694927</v>
      </c>
      <c r="D89" s="0" t="n">
        <f aca="false">'Fractal shoot'!E102*'Fractal shoot'!B102/100</f>
        <v>0.01</v>
      </c>
      <c r="E89" s="0" t="n">
        <f aca="false">'Fractal shoot'!E102</f>
        <v>1</v>
      </c>
      <c r="F89" s="0" t="n">
        <f aca="false">'Fractal shoot'!B102</f>
        <v>1</v>
      </c>
      <c r="G89" s="0" t="n">
        <f aca="false">3.1416*E89*E89/4</f>
        <v>0.7854</v>
      </c>
      <c r="H89" s="0" t="n">
        <f aca="false">G89*F89</f>
        <v>0.7854</v>
      </c>
      <c r="I89" s="0" t="n">
        <f aca="false">G89*(A89-A90)*F89</f>
        <v>-0.048270995049505</v>
      </c>
      <c r="J89" s="0" t="n">
        <f aca="false">J88+I89/10000</f>
        <v>0.000307915589198151</v>
      </c>
    </row>
    <row r="90" customFormat="false" ht="15.75" hidden="false" customHeight="false" outlineLevel="0" collapsed="false">
      <c r="A90" s="0" t="n">
        <f aca="false">'Fractal shoot'!$B$2-'Fractal shoot'!D102</f>
        <v>-1.60512376237624</v>
      </c>
      <c r="B90" s="0" t="n">
        <f aca="false">'Fractal shoot'!O103</f>
        <v>-0.00200315881188119</v>
      </c>
      <c r="C90" s="0" t="n">
        <f aca="false">C89+B90</f>
        <v>0.162377658883046</v>
      </c>
      <c r="D90" s="0" t="n">
        <f aca="false">'Fractal shoot'!E103*'Fractal shoot'!B103/100</f>
        <v>0.01</v>
      </c>
      <c r="E90" s="0" t="n">
        <f aca="false">'Fractal shoot'!E103</f>
        <v>1</v>
      </c>
      <c r="F90" s="0" t="n">
        <f aca="false">'Fractal shoot'!B103</f>
        <v>1</v>
      </c>
      <c r="G90" s="0" t="n">
        <f aca="false">3.1416*E90*E90/4</f>
        <v>0.7854</v>
      </c>
      <c r="H90" s="0" t="n">
        <f aca="false">G90*F90</f>
        <v>0.7854</v>
      </c>
      <c r="I90" s="0" t="n">
        <f aca="false">G90*(A90-A91)*F90</f>
        <v>-0.0500789702970297</v>
      </c>
      <c r="J90" s="0" t="n">
        <f aca="false">J89+I90/10000</f>
        <v>0.000302907692168448</v>
      </c>
    </row>
    <row r="91" customFormat="false" ht="15.75" hidden="false" customHeight="false" outlineLevel="0" collapsed="false">
      <c r="A91" s="0" t="n">
        <f aca="false">'Fractal shoot'!$B$2-'Fractal shoot'!D103</f>
        <v>-1.54136138613861</v>
      </c>
      <c r="B91" s="0" t="n">
        <f aca="false">'Fractal shoot'!O104</f>
        <v>-0.00207547782178218</v>
      </c>
      <c r="C91" s="0" t="n">
        <f aca="false">C90+B91</f>
        <v>0.160302181061263</v>
      </c>
      <c r="D91" s="0" t="n">
        <f aca="false">'Fractal shoot'!E104*'Fractal shoot'!B104/100</f>
        <v>0.01</v>
      </c>
      <c r="E91" s="0" t="n">
        <f aca="false">'Fractal shoot'!E104</f>
        <v>1</v>
      </c>
      <c r="F91" s="0" t="n">
        <f aca="false">'Fractal shoot'!B104</f>
        <v>1</v>
      </c>
      <c r="G91" s="0" t="n">
        <f aca="false">3.1416*E91*E91/4</f>
        <v>0.7854</v>
      </c>
      <c r="H91" s="0" t="n">
        <f aca="false">G91*F91</f>
        <v>0.7854</v>
      </c>
      <c r="I91" s="0" t="n">
        <f aca="false">G91*(A91-A92)*F91</f>
        <v>-0.0518869455445544</v>
      </c>
      <c r="J91" s="0" t="n">
        <f aca="false">J90+I91/10000</f>
        <v>0.000297718997613992</v>
      </c>
    </row>
    <row r="92" customFormat="false" ht="15.75" hidden="false" customHeight="false" outlineLevel="0" collapsed="false">
      <c r="A92" s="0" t="n">
        <f aca="false">'Fractal shoot'!$B$2-'Fractal shoot'!D104</f>
        <v>-1.47529702970297</v>
      </c>
      <c r="B92" s="0" t="n">
        <f aca="false">'Fractal shoot'!O105</f>
        <v>-0.00214779683168317</v>
      </c>
      <c r="C92" s="0" t="n">
        <f aca="false">C91+B92</f>
        <v>0.15815438422958</v>
      </c>
      <c r="D92" s="0" t="n">
        <f aca="false">'Fractal shoot'!E105*'Fractal shoot'!B105/100</f>
        <v>0.01</v>
      </c>
      <c r="E92" s="0" t="n">
        <f aca="false">'Fractal shoot'!E105</f>
        <v>1</v>
      </c>
      <c r="F92" s="0" t="n">
        <f aca="false">'Fractal shoot'!B105</f>
        <v>1</v>
      </c>
      <c r="G92" s="0" t="n">
        <f aca="false">3.1416*E92*E92/4</f>
        <v>0.7854</v>
      </c>
      <c r="H92" s="0" t="n">
        <f aca="false">G92*F92</f>
        <v>0.7854</v>
      </c>
      <c r="I92" s="0" t="n">
        <f aca="false">G92*(A92-A93)*F92</f>
        <v>-0.0536949207920785</v>
      </c>
      <c r="J92" s="0" t="n">
        <f aca="false">J91+I92/10000</f>
        <v>0.000292349505534784</v>
      </c>
    </row>
    <row r="93" customFormat="false" ht="15.75" hidden="false" customHeight="false" outlineLevel="0" collapsed="false">
      <c r="A93" s="0" t="n">
        <f aca="false">'Fractal shoot'!$B$2-'Fractal shoot'!D105</f>
        <v>-1.40693069306931</v>
      </c>
      <c r="B93" s="0" t="n">
        <f aca="false">'Fractal shoot'!O106</f>
        <v>-0.00222011584158416</v>
      </c>
      <c r="C93" s="0" t="n">
        <f aca="false">C92+B93</f>
        <v>0.155934268387996</v>
      </c>
      <c r="D93" s="0" t="n">
        <f aca="false">'Fractal shoot'!E106*'Fractal shoot'!B106/100</f>
        <v>0.01</v>
      </c>
      <c r="E93" s="0" t="n">
        <f aca="false">'Fractal shoot'!E106</f>
        <v>1</v>
      </c>
      <c r="F93" s="0" t="n">
        <f aca="false">'Fractal shoot'!B106</f>
        <v>1</v>
      </c>
      <c r="G93" s="0" t="n">
        <f aca="false">3.1416*E93*E93/4</f>
        <v>0.7854</v>
      </c>
      <c r="H93" s="0" t="n">
        <f aca="false">G93*F93</f>
        <v>0.7854</v>
      </c>
      <c r="I93" s="0" t="n">
        <f aca="false">G93*(A93-A94)*F93</f>
        <v>-0.0555028960396039</v>
      </c>
      <c r="J93" s="0" t="n">
        <f aca="false">J92+I93/10000</f>
        <v>0.000286799215930824</v>
      </c>
    </row>
    <row r="94" customFormat="false" ht="15.75" hidden="false" customHeight="false" outlineLevel="0" collapsed="false">
      <c r="A94" s="0" t="n">
        <f aca="false">'Fractal shoot'!$B$2-'Fractal shoot'!D106</f>
        <v>-1.33626237623762</v>
      </c>
      <c r="B94" s="0" t="n">
        <f aca="false">'Fractal shoot'!O107</f>
        <v>-0.00229243485148515</v>
      </c>
      <c r="C94" s="0" t="n">
        <f aca="false">C93+B94</f>
        <v>0.153641833536511</v>
      </c>
      <c r="D94" s="0" t="n">
        <f aca="false">'Fractal shoot'!E107*'Fractal shoot'!B107/100</f>
        <v>0.01</v>
      </c>
      <c r="E94" s="0" t="n">
        <f aca="false">'Fractal shoot'!E107</f>
        <v>1</v>
      </c>
      <c r="F94" s="0" t="n">
        <f aca="false">'Fractal shoot'!B107</f>
        <v>1</v>
      </c>
      <c r="G94" s="0" t="n">
        <f aca="false">3.1416*E94*E94/4</f>
        <v>0.7854</v>
      </c>
      <c r="H94" s="0" t="n">
        <f aca="false">G94*F94</f>
        <v>0.7854</v>
      </c>
      <c r="I94" s="0" t="n">
        <f aca="false">G94*(A94-A95)*F94</f>
        <v>-0.0573108712871289</v>
      </c>
      <c r="J94" s="0" t="n">
        <f aca="false">J93+I94/10000</f>
        <v>0.000281068128802111</v>
      </c>
    </row>
    <row r="95" customFormat="false" ht="15.75" hidden="false" customHeight="false" outlineLevel="0" collapsed="false">
      <c r="A95" s="0" t="n">
        <f aca="false">'Fractal shoot'!$B$2-'Fractal shoot'!D107</f>
        <v>-1.26329207920792</v>
      </c>
      <c r="B95" s="0" t="n">
        <f aca="false">'Fractal shoot'!O108</f>
        <v>-0.00236475386138614</v>
      </c>
      <c r="C95" s="0" t="n">
        <f aca="false">C94+B95</f>
        <v>0.151277079675125</v>
      </c>
      <c r="D95" s="0" t="n">
        <f aca="false">'Fractal shoot'!E108*'Fractal shoot'!B108/100</f>
        <v>0.01</v>
      </c>
      <c r="E95" s="0" t="n">
        <f aca="false">'Fractal shoot'!E108</f>
        <v>1</v>
      </c>
      <c r="F95" s="0" t="n">
        <f aca="false">'Fractal shoot'!B108</f>
        <v>1</v>
      </c>
      <c r="G95" s="0" t="n">
        <f aca="false">3.1416*E95*E95/4</f>
        <v>0.7854</v>
      </c>
      <c r="H95" s="0" t="n">
        <f aca="false">G95*F95</f>
        <v>0.7854</v>
      </c>
      <c r="I95" s="0" t="n">
        <f aca="false">G95*(A95-A96)*F95</f>
        <v>-0.0591188465346533</v>
      </c>
      <c r="J95" s="0" t="n">
        <f aca="false">J94+I95/10000</f>
        <v>0.000275156244148646</v>
      </c>
    </row>
    <row r="96" customFormat="false" ht="15.75" hidden="false" customHeight="false" outlineLevel="0" collapsed="false">
      <c r="A96" s="0" t="n">
        <f aca="false">'Fractal shoot'!$B$2-'Fractal shoot'!D108</f>
        <v>-1.1880198019802</v>
      </c>
      <c r="B96" s="0" t="n">
        <f aca="false">'Fractal shoot'!O109</f>
        <v>-0.00243707287128713</v>
      </c>
      <c r="C96" s="0" t="n">
        <f aca="false">C95+B96</f>
        <v>0.148840006803838</v>
      </c>
      <c r="D96" s="0" t="n">
        <f aca="false">'Fractal shoot'!E109*'Fractal shoot'!B109/100</f>
        <v>0.01</v>
      </c>
      <c r="E96" s="0" t="n">
        <f aca="false">'Fractal shoot'!E109</f>
        <v>1</v>
      </c>
      <c r="F96" s="0" t="n">
        <f aca="false">'Fractal shoot'!B109</f>
        <v>1</v>
      </c>
      <c r="G96" s="0" t="n">
        <f aca="false">3.1416*E96*E96/4</f>
        <v>0.7854</v>
      </c>
      <c r="H96" s="0" t="n">
        <f aca="false">G96*F96</f>
        <v>0.7854</v>
      </c>
      <c r="I96" s="0" t="n">
        <f aca="false">G96*(A96-A97)*F96</f>
        <v>-0.0609268217821783</v>
      </c>
      <c r="J96" s="0" t="n">
        <f aca="false">J95+I96/10000</f>
        <v>0.000269063561970428</v>
      </c>
    </row>
    <row r="97" customFormat="false" ht="15.75" hidden="false" customHeight="false" outlineLevel="0" collapsed="false">
      <c r="A97" s="0" t="n">
        <f aca="false">'Fractal shoot'!$B$2-'Fractal shoot'!D109</f>
        <v>-1.11044554455446</v>
      </c>
      <c r="B97" s="0" t="n">
        <f aca="false">'Fractal shoot'!O110</f>
        <v>-0.00250939188118812</v>
      </c>
      <c r="C97" s="0" t="n">
        <f aca="false">C96+B97</f>
        <v>0.14633061492265</v>
      </c>
      <c r="D97" s="0" t="n">
        <f aca="false">'Fractal shoot'!E110*'Fractal shoot'!B110/100</f>
        <v>0.01</v>
      </c>
      <c r="E97" s="0" t="n">
        <f aca="false">'Fractal shoot'!E110</f>
        <v>1</v>
      </c>
      <c r="F97" s="0" t="n">
        <f aca="false">'Fractal shoot'!B110</f>
        <v>1</v>
      </c>
      <c r="G97" s="0" t="n">
        <f aca="false">3.1416*E97*E97/4</f>
        <v>0.7854</v>
      </c>
      <c r="H97" s="0" t="n">
        <f aca="false">G97*F97</f>
        <v>0.7854</v>
      </c>
      <c r="I97" s="0" t="n">
        <f aca="false">G97*(A97-A98)*F97</f>
        <v>-0.0627347970297031</v>
      </c>
      <c r="J97" s="0" t="n">
        <f aca="false">J96+I97/10000</f>
        <v>0.000262790082267458</v>
      </c>
    </row>
    <row r="98" customFormat="false" ht="15.75" hidden="false" customHeight="false" outlineLevel="0" collapsed="false">
      <c r="A98" s="0" t="n">
        <f aca="false">'Fractal shoot'!$B$2-'Fractal shoot'!D110</f>
        <v>-1.03056930693069</v>
      </c>
      <c r="B98" s="0" t="n">
        <f aca="false">'Fractal shoot'!O111</f>
        <v>-0.00258171089108911</v>
      </c>
      <c r="C98" s="0" t="n">
        <f aca="false">C97+B98</f>
        <v>0.143748904031561</v>
      </c>
      <c r="D98" s="0" t="n">
        <f aca="false">'Fractal shoot'!E111*'Fractal shoot'!B111/100</f>
        <v>0.01</v>
      </c>
      <c r="E98" s="0" t="n">
        <f aca="false">'Fractal shoot'!E111</f>
        <v>1</v>
      </c>
      <c r="F98" s="0" t="n">
        <f aca="false">'Fractal shoot'!B111</f>
        <v>1</v>
      </c>
      <c r="G98" s="0" t="n">
        <f aca="false">3.1416*E98*E98/4</f>
        <v>0.7854</v>
      </c>
      <c r="H98" s="0" t="n">
        <f aca="false">G98*F98</f>
        <v>0.7854</v>
      </c>
      <c r="I98" s="0" t="n">
        <f aca="false">G98*(A98-A99)*F98</f>
        <v>-0.0645427722772278</v>
      </c>
      <c r="J98" s="0" t="n">
        <f aca="false">J97+I98/10000</f>
        <v>0.000256335805039735</v>
      </c>
    </row>
    <row r="99" customFormat="false" ht="15.75" hidden="false" customHeight="false" outlineLevel="0" collapsed="false">
      <c r="A99" s="0" t="n">
        <f aca="false">'Fractal shoot'!$B$2-'Fractal shoot'!D111</f>
        <v>-0.948391089108911</v>
      </c>
      <c r="B99" s="0" t="n">
        <f aca="false">'Fractal shoot'!O112</f>
        <v>-0.0026540299009901</v>
      </c>
      <c r="C99" s="0" t="n">
        <f aca="false">C98+B99</f>
        <v>0.14109487413057</v>
      </c>
      <c r="D99" s="0" t="n">
        <f aca="false">'Fractal shoot'!E112*'Fractal shoot'!B112/100</f>
        <v>0.01</v>
      </c>
      <c r="E99" s="0" t="n">
        <f aca="false">'Fractal shoot'!E112</f>
        <v>1</v>
      </c>
      <c r="F99" s="0" t="n">
        <f aca="false">'Fractal shoot'!B112</f>
        <v>1</v>
      </c>
      <c r="G99" s="0" t="n">
        <f aca="false">3.1416*E99*E99/4</f>
        <v>0.7854</v>
      </c>
      <c r="H99" s="0" t="n">
        <f aca="false">G99*F99</f>
        <v>0.7854</v>
      </c>
      <c r="I99" s="0" t="n">
        <f aca="false">G99*(A99-A100)*F99</f>
        <v>-0.0663507475247525</v>
      </c>
      <c r="J99" s="0" t="n">
        <f aca="false">J98+I99/10000</f>
        <v>0.00024970073028726</v>
      </c>
    </row>
    <row r="100" customFormat="false" ht="15.75" hidden="false" customHeight="false" outlineLevel="0" collapsed="false">
      <c r="A100" s="0" t="n">
        <f aca="false">'Fractal shoot'!$B$2-'Fractal shoot'!D112</f>
        <v>-0.863910891089109</v>
      </c>
      <c r="B100" s="0" t="n">
        <f aca="false">'Fractal shoot'!O113</f>
        <v>-0.00272634891089109</v>
      </c>
      <c r="C100" s="0" t="n">
        <f aca="false">C99+B100</f>
        <v>0.138368525219679</v>
      </c>
      <c r="D100" s="0" t="n">
        <f aca="false">'Fractal shoot'!E113*'Fractal shoot'!B113/100</f>
        <v>0.01</v>
      </c>
      <c r="E100" s="0" t="n">
        <f aca="false">'Fractal shoot'!E113</f>
        <v>1</v>
      </c>
      <c r="F100" s="0" t="n">
        <f aca="false">'Fractal shoot'!B113</f>
        <v>1</v>
      </c>
      <c r="G100" s="0" t="n">
        <f aca="false">3.1416*E100*E100/4</f>
        <v>0.7854</v>
      </c>
      <c r="H100" s="0" t="n">
        <f aca="false">G100*F100</f>
        <v>0.7854</v>
      </c>
      <c r="I100" s="0" t="n">
        <f aca="false">G100*(A100-A101)*F100</f>
        <v>-0.0681587227722774</v>
      </c>
      <c r="J100" s="0" t="n">
        <f aca="false">J99+I100/10000</f>
        <v>0.000242884858010032</v>
      </c>
    </row>
    <row r="101" customFormat="false" ht="15.75" hidden="false" customHeight="false" outlineLevel="0" collapsed="false">
      <c r="A101" s="0" t="n">
        <f aca="false">'Fractal shoot'!$B$2-'Fractal shoot'!D113</f>
        <v>-0.777128712871287</v>
      </c>
      <c r="B101" s="0" t="n">
        <f aca="false">'Fractal shoot'!O114</f>
        <v>-0.00279866792079208</v>
      </c>
      <c r="C101" s="0" t="n">
        <f aca="false">C100+B101</f>
        <v>0.135569857298887</v>
      </c>
      <c r="D101" s="0" t="n">
        <f aca="false">'Fractal shoot'!E114*'Fractal shoot'!B114/100</f>
        <v>0.01</v>
      </c>
      <c r="E101" s="0" t="n">
        <f aca="false">'Fractal shoot'!E114</f>
        <v>1</v>
      </c>
      <c r="F101" s="0" t="n">
        <f aca="false">'Fractal shoot'!B114</f>
        <v>1</v>
      </c>
      <c r="G101" s="0" t="n">
        <f aca="false">3.1416*E101*E101/4</f>
        <v>0.7854</v>
      </c>
      <c r="H101" s="0" t="n">
        <f aca="false">G101*F101</f>
        <v>0.7854</v>
      </c>
      <c r="I101" s="0" t="n">
        <f aca="false">G101*(A101-A102)*F101</f>
        <v>-0.0699666980198021</v>
      </c>
      <c r="J101" s="0" t="n">
        <f aca="false">J100+I101/10000</f>
        <v>0.000235888188208052</v>
      </c>
    </row>
    <row r="102" customFormat="false" ht="15.75" hidden="false" customHeight="false" outlineLevel="0" collapsed="false">
      <c r="A102" s="0" t="n">
        <f aca="false">'Fractal shoot'!$B$2-'Fractal shoot'!D114</f>
        <v>-0.688044554455446</v>
      </c>
      <c r="B102" s="0" t="n">
        <f aca="false">'Fractal shoot'!O115</f>
        <v>-0.00287098693069307</v>
      </c>
      <c r="C102" s="0" t="n">
        <f aca="false">C101+B102</f>
        <v>0.132698870368194</v>
      </c>
      <c r="D102" s="0" t="n">
        <f aca="false">'Fractal shoot'!E115*'Fractal shoot'!B115/100</f>
        <v>0.01</v>
      </c>
      <c r="E102" s="0" t="n">
        <f aca="false">'Fractal shoot'!E115</f>
        <v>1</v>
      </c>
      <c r="F102" s="0" t="n">
        <f aca="false">'Fractal shoot'!B115</f>
        <v>1</v>
      </c>
      <c r="G102" s="0" t="n">
        <f aca="false">3.1416*E102*E102/4</f>
        <v>0.7854</v>
      </c>
      <c r="H102" s="0" t="n">
        <f aca="false">G102*F102</f>
        <v>0.7854</v>
      </c>
      <c r="I102" s="0" t="n">
        <f aca="false">G102*(A102-A103)*F102</f>
        <v>-0.0717746732673268</v>
      </c>
      <c r="J102" s="0" t="n">
        <f aca="false">J101+I102/10000</f>
        <v>0.000228710720881319</v>
      </c>
    </row>
    <row r="103" customFormat="false" ht="15.75" hidden="false" customHeight="false" outlineLevel="0" collapsed="false">
      <c r="A103" s="0" t="n">
        <f aca="false">'Fractal shoot'!$B$2-'Fractal shoot'!D115</f>
        <v>-0.596658415841584</v>
      </c>
      <c r="B103" s="0" t="n">
        <f aca="false">'Fractal shoot'!O116</f>
        <v>-0.00294330594059406</v>
      </c>
      <c r="C103" s="0" t="n">
        <f aca="false">C102+B103</f>
        <v>0.1297555644276</v>
      </c>
      <c r="D103" s="0" t="n">
        <f aca="false">'Fractal shoot'!E116*'Fractal shoot'!B116/100</f>
        <v>0.01</v>
      </c>
      <c r="E103" s="0" t="n">
        <f aca="false">'Fractal shoot'!E116</f>
        <v>1</v>
      </c>
      <c r="F103" s="0" t="n">
        <f aca="false">'Fractal shoot'!B116</f>
        <v>1</v>
      </c>
      <c r="G103" s="0" t="n">
        <f aca="false">3.1416*E103*E103/4</f>
        <v>0.7854</v>
      </c>
      <c r="H103" s="0" t="n">
        <f aca="false">G103*F103</f>
        <v>0.7854</v>
      </c>
      <c r="I103" s="0" t="n">
        <f aca="false">G103*(A103-A104)*F103</f>
        <v>-0.0735826485148515</v>
      </c>
      <c r="J103" s="0" t="n">
        <f aca="false">J102+I103/10000</f>
        <v>0.000221352456029834</v>
      </c>
    </row>
    <row r="104" customFormat="false" ht="15.75" hidden="false" customHeight="false" outlineLevel="0" collapsed="false">
      <c r="A104" s="0" t="n">
        <f aca="false">'Fractal shoot'!$B$2-'Fractal shoot'!D116</f>
        <v>-0.502970297029703</v>
      </c>
      <c r="B104" s="0" t="n">
        <f aca="false">'Fractal shoot'!O117</f>
        <v>-0.00301562495049505</v>
      </c>
      <c r="C104" s="0" t="n">
        <f aca="false">C103+B104</f>
        <v>0.126739939477105</v>
      </c>
      <c r="D104" s="0" t="n">
        <f aca="false">'Fractal shoot'!E117*'Fractal shoot'!B117/100</f>
        <v>0.01</v>
      </c>
      <c r="E104" s="0" t="n">
        <f aca="false">'Fractal shoot'!E117</f>
        <v>1</v>
      </c>
      <c r="F104" s="0" t="n">
        <f aca="false">'Fractal shoot'!B117</f>
        <v>1</v>
      </c>
      <c r="G104" s="0" t="n">
        <f aca="false">3.1416*E104*E104/4</f>
        <v>0.7854</v>
      </c>
      <c r="H104" s="0" t="n">
        <f aca="false">G104*F104</f>
        <v>0.7854</v>
      </c>
      <c r="I104" s="0" t="n">
        <f aca="false">G104*(A104-A105)*F104</f>
        <v>-0.0753906237623753</v>
      </c>
      <c r="J104" s="0" t="n">
        <f aca="false">J103+I104/10000</f>
        <v>0.000213813393653596</v>
      </c>
    </row>
    <row r="105" customFormat="false" ht="15.75" hidden="false" customHeight="false" outlineLevel="0" collapsed="false">
      <c r="A105" s="0" t="n">
        <f aca="false">'Fractal shoot'!$B$2-'Fractal shoot'!D117</f>
        <v>-0.406980198019803</v>
      </c>
      <c r="B105" s="0" t="n">
        <f aca="false">'Fractal shoot'!O118</f>
        <v>-0.00308794396039604</v>
      </c>
      <c r="C105" s="0" t="n">
        <f aca="false">C104+B105</f>
        <v>0.123651995516709</v>
      </c>
      <c r="D105" s="0" t="n">
        <f aca="false">'Fractal shoot'!E118*'Fractal shoot'!B118/100</f>
        <v>0.01</v>
      </c>
      <c r="E105" s="0" t="n">
        <f aca="false">'Fractal shoot'!E118</f>
        <v>1</v>
      </c>
      <c r="F105" s="0" t="n">
        <f aca="false">'Fractal shoot'!B118</f>
        <v>1</v>
      </c>
      <c r="G105" s="0" t="n">
        <f aca="false">3.1416*E105*E105/4</f>
        <v>0.7854</v>
      </c>
      <c r="H105" s="0" t="n">
        <f aca="false">G105*F105</f>
        <v>0.7854</v>
      </c>
      <c r="I105" s="0" t="n">
        <f aca="false">G105*(A105-A106)*F105</f>
        <v>-0.0771985990099009</v>
      </c>
      <c r="J105" s="0" t="n">
        <f aca="false">J104+I105/10000</f>
        <v>0.000206093533752606</v>
      </c>
    </row>
    <row r="106" customFormat="false" ht="15.75" hidden="false" customHeight="false" outlineLevel="0" collapsed="false">
      <c r="A106" s="0" t="n">
        <f aca="false">'Fractal shoot'!$B$2-'Fractal shoot'!D118</f>
        <v>-0.308688118811882</v>
      </c>
      <c r="B106" s="0" t="n">
        <f aca="false">'Fractal shoot'!O119</f>
        <v>-0.00316026297029703</v>
      </c>
      <c r="C106" s="0" t="n">
        <f aca="false">C105+B106</f>
        <v>0.120491732546412</v>
      </c>
      <c r="D106" s="0" t="n">
        <f aca="false">'Fractal shoot'!E119*'Fractal shoot'!B119/100</f>
        <v>0.01</v>
      </c>
      <c r="E106" s="0" t="n">
        <f aca="false">'Fractal shoot'!E119</f>
        <v>1</v>
      </c>
      <c r="F106" s="0" t="n">
        <f aca="false">'Fractal shoot'!B119</f>
        <v>1</v>
      </c>
      <c r="G106" s="0" t="n">
        <f aca="false">3.1416*E106*E106/4</f>
        <v>0.7854</v>
      </c>
      <c r="H106" s="0" t="n">
        <f aca="false">G106*F106</f>
        <v>0.7854</v>
      </c>
      <c r="I106" s="0" t="n">
        <f aca="false">G106*(A106-A107)*F106</f>
        <v>-0.0790065742574258</v>
      </c>
      <c r="J106" s="0" t="n">
        <f aca="false">J105+I106/10000</f>
        <v>0.000198192876326864</v>
      </c>
    </row>
    <row r="107" customFormat="false" ht="15.75" hidden="false" customHeight="false" outlineLevel="0" collapsed="false">
      <c r="A107" s="0" t="n">
        <f aca="false">'Fractal shoot'!$B$2-'Fractal shoot'!D119</f>
        <v>-0.208094059405942</v>
      </c>
      <c r="B107" s="0" t="n">
        <f aca="false">'Fractal shoot'!O120</f>
        <v>-0.00323258198019802</v>
      </c>
      <c r="C107" s="0" t="n">
        <f aca="false">C106+B107</f>
        <v>0.117259150566214</v>
      </c>
      <c r="D107" s="0" t="n">
        <f aca="false">'Fractal shoot'!E120*'Fractal shoot'!B120/100</f>
        <v>0.01</v>
      </c>
      <c r="E107" s="0" t="n">
        <f aca="false">'Fractal shoot'!E120</f>
        <v>1</v>
      </c>
      <c r="F107" s="0" t="n">
        <f aca="false">'Fractal shoot'!B120</f>
        <v>1</v>
      </c>
      <c r="G107" s="0" t="n">
        <f aca="false">3.1416*E107*E107/4</f>
        <v>0.7854</v>
      </c>
      <c r="H107" s="0" t="n">
        <f aca="false">G107*F107</f>
        <v>0.7854</v>
      </c>
      <c r="I107" s="0" t="n">
        <f aca="false">G107*(A107-A108)*F107</f>
        <v>-0.0808145495049507</v>
      </c>
      <c r="J107" s="0" t="n">
        <f aca="false">J106+I107/10000</f>
        <v>0.000190111421376369</v>
      </c>
    </row>
    <row r="108" customFormat="false" ht="15.75" hidden="false" customHeight="false" outlineLevel="0" collapsed="false">
      <c r="A108" s="0" t="n">
        <f aca="false">'Fractal shoot'!$B$2-'Fractal shoot'!D120</f>
        <v>-0.105198019801981</v>
      </c>
      <c r="B108" s="0" t="n">
        <f aca="false">B107</f>
        <v>-0.00323258198019802</v>
      </c>
      <c r="C108" s="0" t="n">
        <f aca="false">C107+B108</f>
        <v>0.114026568586016</v>
      </c>
      <c r="D108" s="0" t="n">
        <f aca="false">D107</f>
        <v>0.01</v>
      </c>
      <c r="E108" s="0" t="n">
        <f aca="false">E107</f>
        <v>1</v>
      </c>
      <c r="F108" s="0" t="n">
        <f aca="false">F107</f>
        <v>1</v>
      </c>
      <c r="G108" s="0" t="n">
        <f aca="false">G107</f>
        <v>0.7854</v>
      </c>
      <c r="H108" s="0" t="n">
        <f aca="false">H107</f>
        <v>0.7854</v>
      </c>
      <c r="I108" s="0" t="n">
        <f aca="false">I107</f>
        <v>-0.0808145495049507</v>
      </c>
      <c r="J108" s="0" t="n">
        <f aca="false">J107+I108/10000</f>
        <v>0.000182029966425873</v>
      </c>
    </row>
    <row r="111" customFormat="false" ht="15.75" hidden="false" customHeight="false" outlineLevel="0" collapsed="false">
      <c r="A111" s="0" t="n">
        <f aca="false">-'Fractal root'!$B$2+'Fractal root'!D21</f>
        <v>-0.4625</v>
      </c>
      <c r="B111" s="0" t="n">
        <f aca="false">3*'Fractal root'!O21</f>
        <v>1.5</v>
      </c>
      <c r="C111" s="0" t="n">
        <f aca="false">B111</f>
        <v>1.5</v>
      </c>
      <c r="D111" s="0" t="n">
        <f aca="false">'Fractal root'!E21*'Fractal root'!B21/100*3</f>
        <v>12.7323656735421</v>
      </c>
      <c r="E111" s="0" t="n">
        <f aca="false">'Fractal root'!E21</f>
        <v>0.1</v>
      </c>
      <c r="F111" s="0" t="n">
        <f aca="false">'Fractal root'!B21</f>
        <v>4244.12189118072</v>
      </c>
      <c r="G111" s="0" t="n">
        <f aca="false">3.1416*E111*E111/4*3</f>
        <v>0.023562</v>
      </c>
      <c r="H111" s="0" t="n">
        <f aca="false">G111*F111</f>
        <v>100</v>
      </c>
      <c r="I111" s="0" t="n">
        <f aca="false">G111*(-A111+A112)*F111</f>
        <v>3.68490099009901</v>
      </c>
      <c r="J111" s="0" t="n">
        <f aca="false">J110+I111/10000</f>
        <v>0.000368490099009901</v>
      </c>
    </row>
    <row r="112" customFormat="false" ht="15.75" hidden="false" customHeight="false" outlineLevel="0" collapsed="false">
      <c r="A112" s="0" t="n">
        <f aca="false">-'Fractal root'!$B$2+'Fractal root'!D22</f>
        <v>-0.42565099009901</v>
      </c>
      <c r="B112" s="0" t="n">
        <f aca="false">3*'Fractal root'!O22</f>
        <v>0.347636683782009</v>
      </c>
      <c r="C112" s="0" t="n">
        <f aca="false">B112+C111</f>
        <v>1.84763668378201</v>
      </c>
      <c r="D112" s="0" t="n">
        <f aca="false">'Fractal root'!E22*'Fractal root'!B22/100*3</f>
        <v>3.00295543309234</v>
      </c>
      <c r="E112" s="0" t="n">
        <f aca="false">'Fractal root'!E22</f>
        <v>0.173276958550849</v>
      </c>
      <c r="F112" s="0" t="n">
        <f aca="false">'Fractal root'!B22</f>
        <v>577.679313357967</v>
      </c>
      <c r="G112" s="0" t="n">
        <f aca="false">3.1416*E112*E112/4*3</f>
        <v>0.0707446796639476</v>
      </c>
      <c r="H112" s="0" t="n">
        <f aca="false">G112*F112</f>
        <v>40.8677379719986</v>
      </c>
      <c r="I112" s="0" t="n">
        <f aca="false">G112*(-A112+A113)*F112</f>
        <v>1.47933118837254</v>
      </c>
      <c r="J112" s="0" t="n">
        <f aca="false">J111+I112/10000</f>
        <v>0.000516423217847155</v>
      </c>
    </row>
    <row r="113" customFormat="false" ht="15.75" hidden="false" customHeight="false" outlineLevel="0" collapsed="false">
      <c r="A113" s="0" t="n">
        <f aca="false">-'Fractal root'!$B$2+'Fractal root'!D23</f>
        <v>-0.38945297029703</v>
      </c>
      <c r="B113" s="0" t="n">
        <f aca="false">3*'Fractal root'!O23</f>
        <v>0.0805423639602709</v>
      </c>
      <c r="C113" s="0" t="n">
        <f aca="false">B113+C112</f>
        <v>1.92817904774228</v>
      </c>
      <c r="D113" s="0" t="n">
        <f aca="false">'Fractal root'!E23*'Fractal root'!B23/100*3</f>
        <v>0.708253404304724</v>
      </c>
      <c r="E113" s="0" t="n">
        <f aca="false">'Fractal root'!E23</f>
        <v>0.300249043646327</v>
      </c>
      <c r="F113" s="0" t="n">
        <f aca="false">'Fractal root'!B23</f>
        <v>78.6295487354378</v>
      </c>
      <c r="G113" s="0" t="n">
        <f aca="false">3.1416*E113*E113/4*3</f>
        <v>0.21241022412166</v>
      </c>
      <c r="H113" s="0" t="n">
        <f aca="false">G113*F113</f>
        <v>16.7017200694793</v>
      </c>
      <c r="I113" s="0" t="n">
        <f aca="false">G113*(-A113+A114)*F113</f>
        <v>0.593696539400477</v>
      </c>
      <c r="J113" s="0" t="n">
        <f aca="false">J112+I113/10000</f>
        <v>0.000575792871787203</v>
      </c>
    </row>
    <row r="114" customFormat="false" ht="15.75" hidden="false" customHeight="false" outlineLevel="0" collapsed="false">
      <c r="A114" s="0" t="n">
        <f aca="false">-'Fractal root'!$B$2+'Fractal root'!D24</f>
        <v>-0.353905940594059</v>
      </c>
      <c r="B114" s="0" t="n">
        <f aca="false">3*'Fractal root'!O24</f>
        <v>0.0186544590563353</v>
      </c>
      <c r="C114" s="0" t="n">
        <f aca="false">B114+C113</f>
        <v>1.94683350679861</v>
      </c>
      <c r="D114" s="0" t="n">
        <f aca="false">'Fractal root'!E24*'Fractal root'!B24/100*3</f>
        <v>0.167043066700686</v>
      </c>
      <c r="E114" s="0" t="n">
        <f aca="false">'Fractal root'!E24</f>
        <v>0.520262410908367</v>
      </c>
      <c r="F114" s="0" t="n">
        <f aca="false">'Fractal root'!B24</f>
        <v>10.7024880264449</v>
      </c>
      <c r="G114" s="0" t="n">
        <f aca="false">3.1416*E114*E114/4*3</f>
        <v>0.637759666532305</v>
      </c>
      <c r="H114" s="0" t="n">
        <f aca="false">G114*F114</f>
        <v>6.82561519481152</v>
      </c>
      <c r="I114" s="0" t="n">
        <f aca="false">G114*(-A114+A115)*F114</f>
        <v>0.238186938159537</v>
      </c>
      <c r="J114" s="0" t="n">
        <f aca="false">J113+I114/10000</f>
        <v>0.000599611565603157</v>
      </c>
    </row>
    <row r="115" customFormat="false" ht="15.75" hidden="false" customHeight="false" outlineLevel="0" collapsed="false">
      <c r="A115" s="0" t="n">
        <f aca="false">-'Fractal root'!$B$2+'Fractal root'!D25</f>
        <v>-0.319009900990099</v>
      </c>
      <c r="B115" s="0" t="n">
        <f aca="false">3*'Fractal root'!O25</f>
        <v>0.00431911997296026</v>
      </c>
      <c r="C115" s="0" t="n">
        <f aca="false">B115+C114</f>
        <v>1.95115262677158</v>
      </c>
      <c r="D115" s="0" t="n">
        <f aca="false">'Fractal root'!E25*'Fractal root'!B25/100*3</f>
        <v>0.039397461365063</v>
      </c>
      <c r="E115" s="0" t="n">
        <f aca="false">'Fractal root'!E25</f>
        <v>0.901494882105341</v>
      </c>
      <c r="F115" s="0" t="n">
        <f aca="false">'Fractal root'!B25</f>
        <v>1.45674561024886</v>
      </c>
      <c r="G115" s="0" t="n">
        <f aca="false">3.1416*E115*E115/4*3</f>
        <v>1.91486729952525</v>
      </c>
      <c r="H115" s="0" t="n">
        <f aca="false">G115*F115</f>
        <v>2.78947453279249</v>
      </c>
      <c r="I115" s="0" t="n">
        <f aca="false">G115*(-A115+A116)*F115</f>
        <v>0.0955256934682775</v>
      </c>
      <c r="J115" s="0" t="n">
        <f aca="false">J114+I115/10000</f>
        <v>0.000609164134949984</v>
      </c>
    </row>
    <row r="116" customFormat="false" ht="15.75" hidden="false" customHeight="false" outlineLevel="0" collapsed="false">
      <c r="A116" s="0" t="n">
        <f aca="false">-'Fractal root'!$B$2+'Fractal root'!D26</f>
        <v>-0.284764851485148</v>
      </c>
      <c r="B116" s="0" t="n">
        <f aca="false">3*'Fractal root'!O26</f>
        <v>0.00322752742574258</v>
      </c>
      <c r="C116" s="0" t="n">
        <f aca="false">B116+C115</f>
        <v>1.95438015419732</v>
      </c>
      <c r="D116" s="0" t="n">
        <f aca="false">'Fractal root'!E26*'Fractal root'!B26/100*3</f>
        <v>0.03</v>
      </c>
      <c r="E116" s="0" t="n">
        <f aca="false">'Fractal root'!E26</f>
        <v>1</v>
      </c>
      <c r="F116" s="0" t="n">
        <f aca="false">'Fractal root'!B26</f>
        <v>1</v>
      </c>
      <c r="G116" s="0" t="n">
        <f aca="false">3.1416*E116*E116/4*3</f>
        <v>2.3562</v>
      </c>
      <c r="H116" s="0" t="n">
        <f aca="false">G116*F116</f>
        <v>2.3562</v>
      </c>
      <c r="I116" s="0" t="n">
        <f aca="false">G116*(-A116+A117)*F116</f>
        <v>0.0791543227722772</v>
      </c>
      <c r="J116" s="0" t="n">
        <f aca="false">J115+I116/10000</f>
        <v>0.000617079567227212</v>
      </c>
    </row>
    <row r="117" customFormat="false" ht="15.75" hidden="false" customHeight="false" outlineLevel="0" collapsed="false">
      <c r="A117" s="0" t="n">
        <f aca="false">-'Fractal root'!$B$2+'Fractal root'!D27</f>
        <v>-0.251170792079208</v>
      </c>
      <c r="B117" s="0" t="n">
        <f aca="false">3*'Fractal root'!O27</f>
        <v>0.00316617291089109</v>
      </c>
      <c r="C117" s="0" t="n">
        <f aca="false">B117+C116</f>
        <v>1.95754632710821</v>
      </c>
      <c r="D117" s="0" t="n">
        <f aca="false">'Fractal root'!E27*'Fractal root'!B27/100*3</f>
        <v>0.03</v>
      </c>
      <c r="E117" s="0" t="n">
        <f aca="false">'Fractal root'!E27</f>
        <v>1</v>
      </c>
      <c r="F117" s="0" t="n">
        <f aca="false">'Fractal root'!B27</f>
        <v>1</v>
      </c>
      <c r="G117" s="0" t="n">
        <f aca="false">3.1416*E117*E117/4*3</f>
        <v>2.3562</v>
      </c>
      <c r="H117" s="0" t="n">
        <f aca="false">G117*F117</f>
        <v>2.3562</v>
      </c>
      <c r="I117" s="0" t="n">
        <f aca="false">G117*(-A117+A118)*F117</f>
        <v>0.0776204599009902</v>
      </c>
      <c r="J117" s="0" t="n">
        <f aca="false">J116+I117/10000</f>
        <v>0.000624841613217311</v>
      </c>
    </row>
    <row r="118" customFormat="false" ht="15.75" hidden="false" customHeight="false" outlineLevel="0" collapsed="false">
      <c r="A118" s="0" t="n">
        <f aca="false">-'Fractal root'!$B$2+'Fractal root'!D28</f>
        <v>-0.218227722772277</v>
      </c>
      <c r="B118" s="0" t="n">
        <f aca="false">3*'Fractal root'!O28</f>
        <v>0.0031048183960396</v>
      </c>
      <c r="C118" s="0" t="n">
        <f aca="false">B118+C117</f>
        <v>1.96065114550425</v>
      </c>
      <c r="D118" s="0" t="n">
        <f aca="false">'Fractal root'!E28*'Fractal root'!B28/100*3</f>
        <v>0.03</v>
      </c>
      <c r="E118" s="0" t="n">
        <f aca="false">'Fractal root'!E28</f>
        <v>1</v>
      </c>
      <c r="F118" s="0" t="n">
        <f aca="false">'Fractal root'!B28</f>
        <v>1</v>
      </c>
      <c r="G118" s="0" t="n">
        <f aca="false">3.1416*E118*E118/4*3</f>
        <v>2.3562</v>
      </c>
      <c r="H118" s="0" t="n">
        <f aca="false">G118*F118</f>
        <v>2.3562</v>
      </c>
      <c r="I118" s="0" t="n">
        <f aca="false">G118*(-A118+A119)*F118</f>
        <v>0.0760865970297029</v>
      </c>
      <c r="J118" s="0" t="n">
        <f aca="false">J117+I118/10000</f>
        <v>0.000632450272920281</v>
      </c>
    </row>
    <row r="119" customFormat="false" ht="15.75" hidden="false" customHeight="false" outlineLevel="0" collapsed="false">
      <c r="A119" s="0" t="n">
        <f aca="false">-'Fractal root'!$B$2+'Fractal root'!D29</f>
        <v>-0.185935643564356</v>
      </c>
      <c r="B119" s="0" t="n">
        <f aca="false">3*'Fractal root'!O29</f>
        <v>0.00304346388118812</v>
      </c>
      <c r="C119" s="0" t="n">
        <f aca="false">B119+C118</f>
        <v>1.96369460938544</v>
      </c>
      <c r="D119" s="0" t="n">
        <f aca="false">'Fractal root'!E29*'Fractal root'!B29/100*3</f>
        <v>0.03</v>
      </c>
      <c r="E119" s="0" t="n">
        <f aca="false">'Fractal root'!E29</f>
        <v>1</v>
      </c>
      <c r="F119" s="0" t="n">
        <f aca="false">'Fractal root'!B29</f>
        <v>1</v>
      </c>
      <c r="G119" s="0" t="n">
        <f aca="false">3.1416*E119*E119/4*3</f>
        <v>2.3562</v>
      </c>
      <c r="H119" s="0" t="n">
        <f aca="false">G119*F119</f>
        <v>2.3562</v>
      </c>
      <c r="I119" s="0" t="n">
        <f aca="false">G119*(-A119+A120)*F119</f>
        <v>0.0745527341584159</v>
      </c>
      <c r="J119" s="0" t="n">
        <f aca="false">J118+I119/10000</f>
        <v>0.000639905546336123</v>
      </c>
    </row>
    <row r="120" customFormat="false" ht="15.75" hidden="false" customHeight="false" outlineLevel="0" collapsed="false">
      <c r="A120" s="0" t="n">
        <f aca="false">-'Fractal root'!$B$2+'Fractal root'!D30</f>
        <v>-0.154294554455446</v>
      </c>
      <c r="B120" s="0" t="n">
        <f aca="false">3*'Fractal root'!O30</f>
        <v>0.00298210936633663</v>
      </c>
      <c r="C120" s="0" t="n">
        <f aca="false">B120+C119</f>
        <v>1.96667671875177</v>
      </c>
      <c r="D120" s="0" t="n">
        <f aca="false">'Fractal root'!E30*'Fractal root'!B30/100*3</f>
        <v>0.03</v>
      </c>
      <c r="E120" s="0" t="n">
        <f aca="false">'Fractal root'!E30</f>
        <v>1</v>
      </c>
      <c r="F120" s="0" t="n">
        <f aca="false">'Fractal root'!B30</f>
        <v>1</v>
      </c>
      <c r="G120" s="0" t="n">
        <f aca="false">3.1416*E120*E120/4*3</f>
        <v>2.3562</v>
      </c>
      <c r="H120" s="0" t="n">
        <f aca="false">G120*F120</f>
        <v>2.3562</v>
      </c>
      <c r="I120" s="0" t="n">
        <f aca="false">G120*(-A120+A121)*F120</f>
        <v>0.0730188712871289</v>
      </c>
      <c r="J120" s="0" t="n">
        <f aca="false">J119+I120/10000</f>
        <v>0.000647207433464836</v>
      </c>
    </row>
    <row r="121" customFormat="false" ht="15.75" hidden="false" customHeight="false" outlineLevel="0" collapsed="false">
      <c r="A121" s="0" t="n">
        <f aca="false">-'Fractal root'!$B$2+'Fractal root'!D31</f>
        <v>-0.123304455445545</v>
      </c>
      <c r="B121" s="0" t="n">
        <f aca="false">3*'Fractal root'!O31</f>
        <v>0.00292075485148515</v>
      </c>
      <c r="C121" s="0" t="n">
        <f aca="false">B121+C120</f>
        <v>1.96959747360326</v>
      </c>
      <c r="D121" s="0" t="n">
        <f aca="false">'Fractal root'!E31*'Fractal root'!B31/100*3</f>
        <v>0.03</v>
      </c>
      <c r="E121" s="0" t="n">
        <f aca="false">'Fractal root'!E31</f>
        <v>1</v>
      </c>
      <c r="F121" s="0" t="n">
        <f aca="false">'Fractal root'!B31</f>
        <v>1</v>
      </c>
      <c r="G121" s="0" t="n">
        <f aca="false">3.1416*E121*E121/4*3</f>
        <v>2.3562</v>
      </c>
      <c r="H121" s="0" t="n">
        <f aca="false">G121*F121</f>
        <v>2.3562</v>
      </c>
      <c r="I121" s="0" t="n">
        <f aca="false">G121*(-A121+A122)*F121</f>
        <v>0.0714850084158416</v>
      </c>
      <c r="J121" s="0" t="n">
        <f aca="false">J120+I121/10000</f>
        <v>0.00065435593430642</v>
      </c>
    </row>
    <row r="122" customFormat="false" ht="15.75" hidden="false" customHeight="false" outlineLevel="0" collapsed="false">
      <c r="A122" s="0" t="n">
        <f aca="false">-'Fractal root'!$B$2+'Fractal root'!D32</f>
        <v>-0.0929653465346534</v>
      </c>
      <c r="B122" s="0" t="n">
        <f aca="false">3*'Fractal root'!O32</f>
        <v>0.00285940033663366</v>
      </c>
      <c r="C122" s="0" t="n">
        <f aca="false">B122+C121</f>
        <v>1.97245687393989</v>
      </c>
      <c r="D122" s="0" t="n">
        <f aca="false">'Fractal root'!E32*'Fractal root'!B32/100*3</f>
        <v>0.03</v>
      </c>
      <c r="E122" s="0" t="n">
        <f aca="false">'Fractal root'!E32</f>
        <v>1</v>
      </c>
      <c r="F122" s="0" t="n">
        <f aca="false">'Fractal root'!B32</f>
        <v>1</v>
      </c>
      <c r="G122" s="0" t="n">
        <f aca="false">3.1416*E122*E122/4*3</f>
        <v>2.3562</v>
      </c>
      <c r="H122" s="0" t="n">
        <f aca="false">G122*F122</f>
        <v>2.3562</v>
      </c>
      <c r="I122" s="0" t="n">
        <f aca="false">G122*(-A122+A123)*F122</f>
        <v>0.0699511455445546</v>
      </c>
      <c r="J122" s="0" t="n">
        <f aca="false">J121+I122/10000</f>
        <v>0.000661351048860875</v>
      </c>
    </row>
    <row r="123" customFormat="false" ht="15.75" hidden="false" customHeight="false" outlineLevel="0" collapsed="false">
      <c r="A123" s="0" t="n">
        <f aca="false">-'Fractal root'!$B$2+'Fractal root'!D33</f>
        <v>-0.0632772277227722</v>
      </c>
      <c r="B123" s="0" t="n">
        <f aca="false">3*'Fractal root'!O33</f>
        <v>0.00279804582178218</v>
      </c>
      <c r="C123" s="0" t="n">
        <f aca="false">B123+C122</f>
        <v>1.97525491976167</v>
      </c>
      <c r="D123" s="0" t="n">
        <f aca="false">'Fractal root'!E33*'Fractal root'!B33/100*3</f>
        <v>0.03</v>
      </c>
      <c r="E123" s="0" t="n">
        <f aca="false">'Fractal root'!E33</f>
        <v>1</v>
      </c>
      <c r="F123" s="0" t="n">
        <f aca="false">'Fractal root'!B33</f>
        <v>1</v>
      </c>
      <c r="G123" s="0" t="n">
        <f aca="false">3.1416*E123*E123/4*3</f>
        <v>2.3562</v>
      </c>
      <c r="H123" s="0" t="n">
        <f aca="false">G123*F123</f>
        <v>2.3562</v>
      </c>
      <c r="I123" s="0" t="n">
        <f aca="false">G123*(-A123+A124)*F123</f>
        <v>0.0684172826732672</v>
      </c>
      <c r="J123" s="0" t="n">
        <f aca="false">J122+I123/10000</f>
        <v>0.000668192777128202</v>
      </c>
    </row>
    <row r="124" customFormat="false" ht="15.75" hidden="false" customHeight="false" outlineLevel="0" collapsed="false">
      <c r="A124" s="0" t="n">
        <f aca="false">-'Fractal root'!$B$2+'Fractal root'!D34</f>
        <v>-0.034240099009901</v>
      </c>
      <c r="B124" s="0" t="n">
        <f aca="false">3*'Fractal root'!O34</f>
        <v>0.00273669130693069</v>
      </c>
      <c r="C124" s="0" t="n">
        <f aca="false">B124+C123</f>
        <v>1.9779916110686</v>
      </c>
      <c r="D124" s="0" t="n">
        <f aca="false">'Fractal root'!E34*'Fractal root'!B34/100*3</f>
        <v>0.03</v>
      </c>
      <c r="E124" s="0" t="n">
        <f aca="false">'Fractal root'!E34</f>
        <v>1</v>
      </c>
      <c r="F124" s="0" t="n">
        <f aca="false">'Fractal root'!B34</f>
        <v>1</v>
      </c>
      <c r="G124" s="0" t="n">
        <f aca="false">3.1416*E124*E124/4*3</f>
        <v>2.3562</v>
      </c>
      <c r="H124" s="0" t="n">
        <f aca="false">G124*F124</f>
        <v>2.3562</v>
      </c>
      <c r="I124" s="0" t="n">
        <f aca="false">G124*(-A124+A125)*F124</f>
        <v>0.0668834198019803</v>
      </c>
      <c r="J124" s="0" t="n">
        <f aca="false">J123+I124/10000</f>
        <v>0.0006748811191084</v>
      </c>
    </row>
    <row r="125" customFormat="false" ht="15.75" hidden="false" customHeight="false" outlineLevel="0" collapsed="false">
      <c r="A125" s="0" t="n">
        <f aca="false">-'Fractal root'!$B$2+'Fractal root'!D35</f>
        <v>-0.00585396039603958</v>
      </c>
      <c r="B125" s="0" t="n">
        <f aca="false">3*'Fractal root'!O35</f>
        <v>0.00267533679207921</v>
      </c>
      <c r="C125" s="0" t="n">
        <f aca="false">B125+C124</f>
        <v>1.98066694786068</v>
      </c>
      <c r="D125" s="0" t="n">
        <f aca="false">'Fractal root'!E35*'Fractal root'!B35/100*3</f>
        <v>0.03</v>
      </c>
      <c r="E125" s="0" t="n">
        <f aca="false">'Fractal root'!E35</f>
        <v>1</v>
      </c>
      <c r="F125" s="0" t="n">
        <f aca="false">'Fractal root'!B35</f>
        <v>1</v>
      </c>
      <c r="G125" s="0" t="n">
        <f aca="false">3.1416*E125*E125/4*3</f>
        <v>2.3562</v>
      </c>
      <c r="H125" s="0" t="n">
        <f aca="false">G125*F125</f>
        <v>2.3562</v>
      </c>
      <c r="I125" s="0" t="n">
        <f aca="false">G125*(-A125+A126)*F125</f>
        <v>0.0653495569306931</v>
      </c>
      <c r="J125" s="0" t="n">
        <f aca="false">J124+I125/10000</f>
        <v>0.000681416074801469</v>
      </c>
    </row>
    <row r="126" customFormat="false" ht="15.75" hidden="false" customHeight="false" outlineLevel="0" collapsed="false">
      <c r="A126" s="0" t="n">
        <f aca="false">-'Fractal root'!$B$2+'Fractal root'!D36</f>
        <v>0.0218811881188119</v>
      </c>
      <c r="B126" s="0" t="n">
        <f aca="false">3*'Fractal root'!O36</f>
        <v>0.00261398227722772</v>
      </c>
      <c r="C126" s="0" t="n">
        <f aca="false">B126+C125</f>
        <v>1.98328093013791</v>
      </c>
      <c r="D126" s="0" t="n">
        <f aca="false">'Fractal root'!E36*'Fractal root'!B36/100*3</f>
        <v>0.03</v>
      </c>
      <c r="E126" s="0" t="n">
        <f aca="false">'Fractal root'!E36</f>
        <v>1</v>
      </c>
      <c r="F126" s="0" t="n">
        <f aca="false">'Fractal root'!B36</f>
        <v>1</v>
      </c>
      <c r="G126" s="0" t="n">
        <f aca="false">3.1416*E126*E126/4*3</f>
        <v>2.3562</v>
      </c>
      <c r="H126" s="0" t="n">
        <f aca="false">G126*F126</f>
        <v>2.3562</v>
      </c>
      <c r="I126" s="0" t="n">
        <f aca="false">G126*(-A126+A127)*F126</f>
        <v>0.0638156940594059</v>
      </c>
      <c r="J126" s="0" t="n">
        <f aca="false">J125+I126/10000</f>
        <v>0.00068779764420741</v>
      </c>
    </row>
    <row r="127" customFormat="false" ht="15.75" hidden="false" customHeight="false" outlineLevel="0" collapsed="false">
      <c r="A127" s="0" t="n">
        <f aca="false">-'Fractal root'!$B$2+'Fractal root'!D37</f>
        <v>0.0489653465346535</v>
      </c>
      <c r="B127" s="0" t="n">
        <f aca="false">3*'Fractal root'!O37</f>
        <v>0.00255262776237624</v>
      </c>
      <c r="C127" s="0" t="n">
        <f aca="false">B127+C126</f>
        <v>1.98583355790029</v>
      </c>
      <c r="D127" s="0" t="n">
        <f aca="false">'Fractal root'!E37*'Fractal root'!B37/100*3</f>
        <v>0.03</v>
      </c>
      <c r="E127" s="0" t="n">
        <f aca="false">'Fractal root'!E37</f>
        <v>1</v>
      </c>
      <c r="F127" s="0" t="n">
        <f aca="false">'Fractal root'!B37</f>
        <v>1</v>
      </c>
      <c r="G127" s="0" t="n">
        <f aca="false">3.1416*E127*E127/4*3</f>
        <v>2.3562</v>
      </c>
      <c r="H127" s="0" t="n">
        <f aca="false">G127*F127</f>
        <v>2.3562</v>
      </c>
      <c r="I127" s="0" t="n">
        <f aca="false">G127*(-A127+A128)*F127</f>
        <v>0.062281831188119</v>
      </c>
      <c r="J127" s="0" t="n">
        <f aca="false">J126+I127/10000</f>
        <v>0.000694025827326222</v>
      </c>
    </row>
    <row r="128" customFormat="false" ht="15.75" hidden="false" customHeight="false" outlineLevel="0" collapsed="false">
      <c r="A128" s="0" t="n">
        <f aca="false">-'Fractal root'!$B$2+'Fractal root'!D38</f>
        <v>0.0753985148514852</v>
      </c>
      <c r="B128" s="0" t="n">
        <f aca="false">3*'Fractal root'!O38</f>
        <v>0.00249127324752475</v>
      </c>
      <c r="C128" s="0" t="n">
        <f aca="false">B128+C127</f>
        <v>1.98832483114781</v>
      </c>
      <c r="D128" s="0" t="n">
        <f aca="false">'Fractal root'!E38*'Fractal root'!B38/100*3</f>
        <v>0.03</v>
      </c>
      <c r="E128" s="0" t="n">
        <f aca="false">'Fractal root'!E38</f>
        <v>1</v>
      </c>
      <c r="F128" s="0" t="n">
        <f aca="false">'Fractal root'!B38</f>
        <v>1</v>
      </c>
      <c r="G128" s="0" t="n">
        <f aca="false">3.1416*E128*E128/4*3</f>
        <v>2.3562</v>
      </c>
      <c r="H128" s="0" t="n">
        <f aca="false">G128*F128</f>
        <v>2.3562</v>
      </c>
      <c r="I128" s="0" t="n">
        <f aca="false">G128*(-A128+A129)*F128</f>
        <v>0.0607479683168315</v>
      </c>
      <c r="J128" s="0" t="n">
        <f aca="false">J127+I128/10000</f>
        <v>0.000700100624157905</v>
      </c>
    </row>
    <row r="129" customFormat="false" ht="15.75" hidden="false" customHeight="false" outlineLevel="0" collapsed="false">
      <c r="A129" s="0" t="n">
        <f aca="false">-'Fractal root'!$B$2+'Fractal root'!D39</f>
        <v>0.101180693069307</v>
      </c>
      <c r="B129" s="0" t="n">
        <f aca="false">3*'Fractal root'!O39</f>
        <v>0.00242991873267327</v>
      </c>
      <c r="C129" s="0" t="n">
        <f aca="false">B129+C128</f>
        <v>1.99075474988049</v>
      </c>
      <c r="D129" s="0" t="n">
        <f aca="false">'Fractal root'!E39*'Fractal root'!B39/100*3</f>
        <v>0.03</v>
      </c>
      <c r="E129" s="0" t="n">
        <f aca="false">'Fractal root'!E39</f>
        <v>1</v>
      </c>
      <c r="F129" s="0" t="n">
        <f aca="false">'Fractal root'!B39</f>
        <v>1</v>
      </c>
      <c r="G129" s="0" t="n">
        <f aca="false">3.1416*E129*E129/4*3</f>
        <v>2.3562</v>
      </c>
      <c r="H129" s="0" t="n">
        <f aca="false">G129*F129</f>
        <v>2.3562</v>
      </c>
      <c r="I129" s="0" t="n">
        <f aca="false">G129*(-A129+A130)*F129</f>
        <v>0.0592141054455446</v>
      </c>
      <c r="J129" s="0" t="n">
        <f aca="false">J128+I129/10000</f>
        <v>0.00070602203470246</v>
      </c>
    </row>
    <row r="130" customFormat="false" ht="15.75" hidden="false" customHeight="false" outlineLevel="0" collapsed="false">
      <c r="A130" s="0" t="n">
        <f aca="false">-'Fractal root'!$B$2+'Fractal root'!D40</f>
        <v>0.126311881188119</v>
      </c>
      <c r="B130" s="0" t="n">
        <f aca="false">3*'Fractal root'!O40</f>
        <v>0.00236856421782178</v>
      </c>
      <c r="C130" s="0" t="n">
        <f aca="false">B130+C129</f>
        <v>1.99312331409831</v>
      </c>
      <c r="D130" s="0" t="n">
        <f aca="false">'Fractal root'!E40*'Fractal root'!B40/100*3</f>
        <v>0.03</v>
      </c>
      <c r="E130" s="0" t="n">
        <f aca="false">'Fractal root'!E40</f>
        <v>1</v>
      </c>
      <c r="F130" s="0" t="n">
        <f aca="false">'Fractal root'!B40</f>
        <v>1</v>
      </c>
      <c r="G130" s="0" t="n">
        <f aca="false">3.1416*E130*E130/4*3</f>
        <v>2.3562</v>
      </c>
      <c r="H130" s="0" t="n">
        <f aca="false">G130*F130</f>
        <v>2.3562</v>
      </c>
      <c r="I130" s="0" t="n">
        <f aca="false">G130*(-A130+A131)*F130</f>
        <v>0.0576802425742576</v>
      </c>
      <c r="J130" s="0" t="n">
        <f aca="false">J129+I130/10000</f>
        <v>0.000711790058959885</v>
      </c>
    </row>
    <row r="131" customFormat="false" ht="15.75" hidden="false" customHeight="false" outlineLevel="0" collapsed="false">
      <c r="A131" s="0" t="n">
        <f aca="false">-'Fractal root'!$B$2+'Fractal root'!D41</f>
        <v>0.150792079207921</v>
      </c>
      <c r="B131" s="0" t="n">
        <f aca="false">3*'Fractal root'!O41</f>
        <v>0.0023072097029703</v>
      </c>
      <c r="C131" s="0" t="n">
        <f aca="false">B131+C130</f>
        <v>1.99543052380128</v>
      </c>
      <c r="D131" s="0" t="n">
        <f aca="false">'Fractal root'!E41*'Fractal root'!B41/100*3</f>
        <v>0.03</v>
      </c>
      <c r="E131" s="0" t="n">
        <f aca="false">'Fractal root'!E41</f>
        <v>1</v>
      </c>
      <c r="F131" s="0" t="n">
        <f aca="false">'Fractal root'!B41</f>
        <v>1</v>
      </c>
      <c r="G131" s="0" t="n">
        <f aca="false">3.1416*E131*E131/4*3</f>
        <v>2.3562</v>
      </c>
      <c r="H131" s="0" t="n">
        <f aca="false">G131*F131</f>
        <v>2.3562</v>
      </c>
      <c r="I131" s="0" t="n">
        <f aca="false">G131*(-A131+A132)*F131</f>
        <v>0.0561463797029702</v>
      </c>
      <c r="J131" s="0" t="n">
        <f aca="false">J130+I131/10000</f>
        <v>0.000717404696930182</v>
      </c>
    </row>
    <row r="132" customFormat="false" ht="15.75" hidden="false" customHeight="false" outlineLevel="0" collapsed="false">
      <c r="A132" s="0" t="n">
        <f aca="false">-'Fractal root'!$B$2+'Fractal root'!D42</f>
        <v>0.174621287128713</v>
      </c>
      <c r="B132" s="0" t="n">
        <f aca="false">3*'Fractal root'!O42</f>
        <v>0.00224585518811881</v>
      </c>
      <c r="C132" s="0" t="n">
        <f aca="false">B132+C131</f>
        <v>1.9976763789894</v>
      </c>
      <c r="D132" s="0" t="n">
        <f aca="false">'Fractal root'!E42*'Fractal root'!B42/100*3</f>
        <v>0.03</v>
      </c>
      <c r="E132" s="0" t="n">
        <f aca="false">'Fractal root'!E42</f>
        <v>1</v>
      </c>
      <c r="F132" s="0" t="n">
        <f aca="false">'Fractal root'!B42</f>
        <v>1</v>
      </c>
      <c r="G132" s="0" t="n">
        <f aca="false">3.1416*E132*E132/4*3</f>
        <v>2.3562</v>
      </c>
      <c r="H132" s="0" t="n">
        <f aca="false">G132*F132</f>
        <v>2.3562</v>
      </c>
      <c r="I132" s="0" t="n">
        <f aca="false">G132*(-A132+A133)*F132</f>
        <v>0.0546125168316832</v>
      </c>
      <c r="J132" s="0" t="n">
        <f aca="false">J131+I132/10000</f>
        <v>0.000722865948613351</v>
      </c>
    </row>
    <row r="133" customFormat="false" ht="15.75" hidden="false" customHeight="false" outlineLevel="0" collapsed="false">
      <c r="A133" s="0" t="n">
        <f aca="false">-'Fractal root'!$B$2+'Fractal root'!D43</f>
        <v>0.197799504950495</v>
      </c>
      <c r="B133" s="0" t="n">
        <f aca="false">3*'Fractal root'!O43</f>
        <v>0.00218450067326733</v>
      </c>
      <c r="C133" s="0" t="n">
        <f aca="false">B133+C132</f>
        <v>1.99986087966266</v>
      </c>
      <c r="D133" s="0" t="n">
        <f aca="false">'Fractal root'!E43*'Fractal root'!B43/100*3</f>
        <v>0.03</v>
      </c>
      <c r="E133" s="0" t="n">
        <f aca="false">'Fractal root'!E43</f>
        <v>1</v>
      </c>
      <c r="F133" s="0" t="n">
        <f aca="false">'Fractal root'!B43</f>
        <v>1</v>
      </c>
      <c r="G133" s="0" t="n">
        <f aca="false">3.1416*E133*E133/4*3</f>
        <v>2.3562</v>
      </c>
      <c r="H133" s="0" t="n">
        <f aca="false">G133*F133</f>
        <v>2.3562</v>
      </c>
      <c r="I133" s="0" t="n">
        <f aca="false">G133*(-A133+A134)*F133</f>
        <v>0.0530786539603961</v>
      </c>
      <c r="J133" s="0" t="n">
        <f aca="false">J132+I133/10000</f>
        <v>0.00072817381400939</v>
      </c>
    </row>
    <row r="134" customFormat="false" ht="15.75" hidden="false" customHeight="false" outlineLevel="0" collapsed="false">
      <c r="A134" s="0" t="n">
        <f aca="false">-'Fractal root'!$B$2+'Fractal root'!D44</f>
        <v>0.220326732673267</v>
      </c>
      <c r="B134" s="0" t="n">
        <f aca="false">3*'Fractal root'!O44</f>
        <v>0.00212314615841584</v>
      </c>
      <c r="C134" s="0" t="n">
        <f aca="false">B134+C133</f>
        <v>2.00198402582108</v>
      </c>
      <c r="D134" s="0" t="n">
        <f aca="false">'Fractal root'!E44*'Fractal root'!B44/100*3</f>
        <v>0.03</v>
      </c>
      <c r="E134" s="0" t="n">
        <f aca="false">'Fractal root'!E44</f>
        <v>1</v>
      </c>
      <c r="F134" s="0" t="n">
        <f aca="false">'Fractal root'!B44</f>
        <v>1</v>
      </c>
      <c r="G134" s="0" t="n">
        <f aca="false">3.1416*E134*E134/4*3</f>
        <v>2.3562</v>
      </c>
      <c r="H134" s="0" t="n">
        <f aca="false">G134*F134</f>
        <v>2.3562</v>
      </c>
      <c r="I134" s="0" t="n">
        <f aca="false">G134*(-A134+A135)*F134</f>
        <v>0.0515447910891089</v>
      </c>
      <c r="J134" s="0" t="n">
        <f aca="false">J133+I134/10000</f>
        <v>0.000733328293118301</v>
      </c>
    </row>
    <row r="135" customFormat="false" ht="15.75" hidden="false" customHeight="false" outlineLevel="0" collapsed="false">
      <c r="A135" s="0" t="n">
        <f aca="false">-'Fractal root'!$B$2+'Fractal root'!D45</f>
        <v>0.24220297029703</v>
      </c>
      <c r="B135" s="0" t="n">
        <f aca="false">3*'Fractal root'!O45</f>
        <v>0.00206179164356436</v>
      </c>
      <c r="C135" s="0" t="n">
        <f aca="false">B135+C134</f>
        <v>2.00404581746464</v>
      </c>
      <c r="D135" s="0" t="n">
        <f aca="false">'Fractal root'!E45*'Fractal root'!B45/100*3</f>
        <v>0.03</v>
      </c>
      <c r="E135" s="0" t="n">
        <f aca="false">'Fractal root'!E45</f>
        <v>1</v>
      </c>
      <c r="F135" s="0" t="n">
        <f aca="false">'Fractal root'!B45</f>
        <v>1</v>
      </c>
      <c r="G135" s="0" t="n">
        <f aca="false">3.1416*E135*E135/4*3</f>
        <v>2.3562</v>
      </c>
      <c r="H135" s="0" t="n">
        <f aca="false">G135*F135</f>
        <v>2.3562</v>
      </c>
      <c r="I135" s="0" t="n">
        <f aca="false">G135*(-A135+A136)*F135</f>
        <v>0.0500109282178219</v>
      </c>
      <c r="J135" s="0" t="n">
        <f aca="false">J134+I135/10000</f>
        <v>0.000738329385940083</v>
      </c>
    </row>
    <row r="136" customFormat="false" ht="15.75" hidden="false" customHeight="false" outlineLevel="0" collapsed="false">
      <c r="A136" s="0" t="n">
        <f aca="false">-'Fractal root'!$B$2+'Fractal root'!D46</f>
        <v>0.263428217821782</v>
      </c>
      <c r="B136" s="0" t="n">
        <f aca="false">3*'Fractal root'!O46</f>
        <v>0.00200043712871287</v>
      </c>
      <c r="C136" s="0" t="n">
        <f aca="false">B136+C135</f>
        <v>2.00604625459336</v>
      </c>
      <c r="D136" s="0" t="n">
        <f aca="false">'Fractal root'!E46*'Fractal root'!B46/100*3</f>
        <v>0.03</v>
      </c>
      <c r="E136" s="0" t="n">
        <f aca="false">'Fractal root'!E46</f>
        <v>1</v>
      </c>
      <c r="F136" s="0" t="n">
        <f aca="false">'Fractal root'!B46</f>
        <v>1</v>
      </c>
      <c r="G136" s="0" t="n">
        <f aca="false">3.1416*E136*E136/4*3</f>
        <v>2.3562</v>
      </c>
      <c r="H136" s="0" t="n">
        <f aca="false">G136*F136</f>
        <v>2.3562</v>
      </c>
      <c r="I136" s="0" t="n">
        <f aca="false">G136*(-A136+A137)*F136</f>
        <v>0.0484770653465347</v>
      </c>
      <c r="J136" s="0" t="n">
        <f aca="false">J135+I136/10000</f>
        <v>0.000743177092474737</v>
      </c>
    </row>
    <row r="137" customFormat="false" ht="15.75" hidden="false" customHeight="false" outlineLevel="0" collapsed="false">
      <c r="A137" s="0" t="n">
        <f aca="false">-'Fractal root'!$B$2+'Fractal root'!D47</f>
        <v>0.284002475247525</v>
      </c>
      <c r="B137" s="0" t="n">
        <f aca="false">3*'Fractal root'!O47</f>
        <v>0.00193908261386139</v>
      </c>
      <c r="C137" s="0" t="n">
        <f aca="false">B137+C136</f>
        <v>2.00798533720722</v>
      </c>
      <c r="D137" s="0" t="n">
        <f aca="false">'Fractal root'!E47*'Fractal root'!B47/100*3</f>
        <v>0.03</v>
      </c>
      <c r="E137" s="0" t="n">
        <f aca="false">'Fractal root'!E47</f>
        <v>1</v>
      </c>
      <c r="F137" s="0" t="n">
        <f aca="false">'Fractal root'!B47</f>
        <v>1</v>
      </c>
      <c r="G137" s="0" t="n">
        <f aca="false">3.1416*E137*E137/4*3</f>
        <v>2.3562</v>
      </c>
      <c r="H137" s="0" t="n">
        <f aca="false">G137*F137</f>
        <v>2.3562</v>
      </c>
      <c r="I137" s="0" t="n">
        <f aca="false">G137*(-A137+A138)*F137</f>
        <v>0.0469432024752475</v>
      </c>
      <c r="J137" s="0" t="n">
        <f aca="false">J136+I137/10000</f>
        <v>0.000747871412722262</v>
      </c>
    </row>
    <row r="138" customFormat="false" ht="15.75" hidden="false" customHeight="false" outlineLevel="0" collapsed="false">
      <c r="A138" s="0" t="n">
        <f aca="false">-'Fractal root'!$B$2+'Fractal root'!D48</f>
        <v>0.303925742574257</v>
      </c>
      <c r="B138" s="0" t="n">
        <f aca="false">3*'Fractal root'!O48</f>
        <v>0.0018777280990099</v>
      </c>
      <c r="C138" s="0" t="n">
        <f aca="false">B138+C137</f>
        <v>2.00986306530623</v>
      </c>
      <c r="D138" s="0" t="n">
        <f aca="false">'Fractal root'!E48*'Fractal root'!B48/100*3</f>
        <v>0.03</v>
      </c>
      <c r="E138" s="0" t="n">
        <f aca="false">'Fractal root'!E48</f>
        <v>1</v>
      </c>
      <c r="F138" s="0" t="n">
        <f aca="false">'Fractal root'!B48</f>
        <v>1</v>
      </c>
      <c r="G138" s="0" t="n">
        <f aca="false">3.1416*E138*E138/4*3</f>
        <v>2.3562</v>
      </c>
      <c r="H138" s="0" t="n">
        <f aca="false">G138*F138</f>
        <v>2.3562</v>
      </c>
      <c r="I138" s="0" t="n">
        <f aca="false">G138*(-A138+A139)*F138</f>
        <v>0.0454093396039603</v>
      </c>
      <c r="J138" s="0" t="n">
        <f aca="false">J137+I138/10000</f>
        <v>0.000752412346682658</v>
      </c>
    </row>
    <row r="139" customFormat="false" ht="15.75" hidden="false" customHeight="false" outlineLevel="0" collapsed="false">
      <c r="A139" s="0" t="n">
        <f aca="false">-'Fractal root'!$B$2+'Fractal root'!D49</f>
        <v>0.32319801980198</v>
      </c>
      <c r="B139" s="0" t="n">
        <f aca="false">3*'Fractal root'!O49</f>
        <v>0.00181637358415842</v>
      </c>
      <c r="C139" s="0" t="n">
        <f aca="false">B139+C138</f>
        <v>2.01167943889039</v>
      </c>
      <c r="D139" s="0" t="n">
        <f aca="false">'Fractal root'!E49*'Fractal root'!B49/100*3</f>
        <v>0.03</v>
      </c>
      <c r="E139" s="0" t="n">
        <f aca="false">'Fractal root'!E49</f>
        <v>1</v>
      </c>
      <c r="F139" s="0" t="n">
        <f aca="false">'Fractal root'!B49</f>
        <v>1</v>
      </c>
      <c r="G139" s="0" t="n">
        <f aca="false">3.1416*E139*E139/4*3</f>
        <v>2.3562</v>
      </c>
      <c r="H139" s="0" t="n">
        <f aca="false">G139*F139</f>
        <v>2.3562</v>
      </c>
      <c r="I139" s="0" t="n">
        <f aca="false">G139*(-A139+A140)*F139</f>
        <v>0.0438754767326731</v>
      </c>
      <c r="J139" s="0" t="n">
        <f aca="false">J138+I139/10000</f>
        <v>0.000756799894355925</v>
      </c>
    </row>
    <row r="140" customFormat="false" ht="15.75" hidden="false" customHeight="false" outlineLevel="0" collapsed="false">
      <c r="A140" s="0" t="n">
        <f aca="false">-'Fractal root'!$B$2+'Fractal root'!D50</f>
        <v>0.341819306930693</v>
      </c>
      <c r="B140" s="0" t="n">
        <f aca="false">3*'Fractal root'!O50</f>
        <v>0.00175501906930693</v>
      </c>
      <c r="C140" s="0" t="n">
        <f aca="false">B140+C139</f>
        <v>2.01343445795969</v>
      </c>
      <c r="D140" s="0" t="n">
        <f aca="false">'Fractal root'!E50*'Fractal root'!B50/100*3</f>
        <v>0.03</v>
      </c>
      <c r="E140" s="0" t="n">
        <f aca="false">'Fractal root'!E50</f>
        <v>1</v>
      </c>
      <c r="F140" s="0" t="n">
        <f aca="false">'Fractal root'!B50</f>
        <v>1</v>
      </c>
      <c r="G140" s="0" t="n">
        <f aca="false">3.1416*E140*E140/4*3</f>
        <v>2.3562</v>
      </c>
      <c r="H140" s="0" t="n">
        <f aca="false">G140*F140</f>
        <v>2.3562</v>
      </c>
      <c r="I140" s="0" t="n">
        <f aca="false">G140*(-A140+A141)*F140</f>
        <v>0.0423416138613865</v>
      </c>
      <c r="J140" s="0" t="n">
        <f aca="false">J139+I140/10000</f>
        <v>0.000761034055742064</v>
      </c>
    </row>
    <row r="141" customFormat="false" ht="15.75" hidden="false" customHeight="false" outlineLevel="0" collapsed="false">
      <c r="A141" s="0" t="n">
        <f aca="false">-'Fractal root'!$B$2+'Fractal root'!D51</f>
        <v>0.359789603960396</v>
      </c>
      <c r="B141" s="0" t="n">
        <f aca="false">3*'Fractal root'!O51</f>
        <v>0.00169366455445545</v>
      </c>
      <c r="C141" s="0" t="n">
        <f aca="false">B141+C140</f>
        <v>2.01512812251415</v>
      </c>
      <c r="D141" s="0" t="n">
        <f aca="false">'Fractal root'!E51*'Fractal root'!B51/100*3</f>
        <v>0.03</v>
      </c>
      <c r="E141" s="0" t="n">
        <f aca="false">'Fractal root'!E51</f>
        <v>1</v>
      </c>
      <c r="F141" s="0" t="n">
        <f aca="false">'Fractal root'!B51</f>
        <v>1</v>
      </c>
      <c r="G141" s="0" t="n">
        <f aca="false">3.1416*E141*E141/4*3</f>
        <v>2.3562</v>
      </c>
      <c r="H141" s="0" t="n">
        <f aca="false">G141*F141</f>
        <v>2.3562</v>
      </c>
      <c r="I141" s="0" t="n">
        <f aca="false">G141*(-A141+A142)*F141</f>
        <v>0.040807750990099</v>
      </c>
      <c r="J141" s="0" t="n">
        <f aca="false">J140+I141/10000</f>
        <v>0.000765114830841073</v>
      </c>
    </row>
    <row r="142" customFormat="false" ht="15.75" hidden="false" customHeight="false" outlineLevel="0" collapsed="false">
      <c r="A142" s="0" t="n">
        <f aca="false">-'Fractal root'!$B$2+'Fractal root'!D52</f>
        <v>0.377108910891089</v>
      </c>
      <c r="B142" s="0" t="n">
        <f aca="false">3*'Fractal root'!O52</f>
        <v>0.00163231003960396</v>
      </c>
      <c r="C142" s="0" t="n">
        <f aca="false">B142+C141</f>
        <v>2.01676043255375</v>
      </c>
      <c r="D142" s="0" t="n">
        <f aca="false">'Fractal root'!E52*'Fractal root'!B52/100*3</f>
        <v>0.03</v>
      </c>
      <c r="E142" s="0" t="n">
        <f aca="false">'Fractal root'!E52</f>
        <v>1</v>
      </c>
      <c r="F142" s="0" t="n">
        <f aca="false">'Fractal root'!B52</f>
        <v>1</v>
      </c>
      <c r="G142" s="0" t="n">
        <f aca="false">3.1416*E142*E142/4*3</f>
        <v>2.3562</v>
      </c>
      <c r="H142" s="0" t="n">
        <f aca="false">G142*F142</f>
        <v>2.3562</v>
      </c>
      <c r="I142" s="0" t="n">
        <f aca="false">G142*(-A142+A143)*F142</f>
        <v>0.0392738881188118</v>
      </c>
      <c r="J142" s="0" t="n">
        <f aca="false">J141+I142/10000</f>
        <v>0.000769042219652955</v>
      </c>
    </row>
    <row r="143" customFormat="false" ht="15.75" hidden="false" customHeight="false" outlineLevel="0" collapsed="false">
      <c r="A143" s="0" t="n">
        <f aca="false">-'Fractal root'!$B$2+'Fractal root'!D53</f>
        <v>0.393777227722772</v>
      </c>
      <c r="B143" s="0" t="n">
        <f aca="false">3*'Fractal root'!O53</f>
        <v>0.00157095552475248</v>
      </c>
      <c r="C143" s="0" t="n">
        <f aca="false">B143+C142</f>
        <v>2.01833138807851</v>
      </c>
      <c r="D143" s="0" t="n">
        <f aca="false">'Fractal root'!E53*'Fractal root'!B53/100*3</f>
        <v>0.03</v>
      </c>
      <c r="E143" s="0" t="n">
        <f aca="false">'Fractal root'!E53</f>
        <v>1</v>
      </c>
      <c r="F143" s="0" t="n">
        <f aca="false">'Fractal root'!B53</f>
        <v>1</v>
      </c>
      <c r="G143" s="0" t="n">
        <f aca="false">3.1416*E143*E143/4*3</f>
        <v>2.3562</v>
      </c>
      <c r="H143" s="0" t="n">
        <f aca="false">G143*F143</f>
        <v>2.3562</v>
      </c>
      <c r="I143" s="0" t="n">
        <f aca="false">G143*(-A143+A144)*F143</f>
        <v>0.0377400252475249</v>
      </c>
      <c r="J143" s="0" t="n">
        <f aca="false">J142+I143/10000</f>
        <v>0.000772816222177707</v>
      </c>
    </row>
    <row r="144" customFormat="false" ht="15.75" hidden="false" customHeight="false" outlineLevel="0" collapsed="false">
      <c r="A144" s="0" t="n">
        <f aca="false">-'Fractal root'!$B$2+'Fractal root'!D54</f>
        <v>0.409794554455446</v>
      </c>
      <c r="B144" s="0" t="n">
        <f aca="false">3*'Fractal root'!O54</f>
        <v>0.00150960100990099</v>
      </c>
      <c r="C144" s="0" t="n">
        <f aca="false">B144+C143</f>
        <v>2.01984098908841</v>
      </c>
      <c r="D144" s="0" t="n">
        <f aca="false">'Fractal root'!E54*'Fractal root'!B54/100*3</f>
        <v>0.03</v>
      </c>
      <c r="E144" s="0" t="n">
        <f aca="false">'Fractal root'!E54</f>
        <v>1</v>
      </c>
      <c r="F144" s="0" t="n">
        <f aca="false">'Fractal root'!B54</f>
        <v>1</v>
      </c>
      <c r="G144" s="0" t="n">
        <f aca="false">3.1416*E144*E144/4*3</f>
        <v>2.3562</v>
      </c>
      <c r="H144" s="0" t="n">
        <f aca="false">G144*F144</f>
        <v>2.3562</v>
      </c>
      <c r="I144" s="0" t="n">
        <f aca="false">G144*(-A144+A145)*F144</f>
        <v>0.0362061623762377</v>
      </c>
      <c r="J144" s="0" t="n">
        <f aca="false">J143+I144/10000</f>
        <v>0.000776436838415331</v>
      </c>
    </row>
    <row r="145" customFormat="false" ht="15.75" hidden="false" customHeight="false" outlineLevel="0" collapsed="false">
      <c r="A145" s="0" t="n">
        <f aca="false">-'Fractal root'!$B$2+'Fractal root'!D55</f>
        <v>0.425160891089109</v>
      </c>
      <c r="B145" s="0" t="n">
        <f aca="false">3*'Fractal root'!O55</f>
        <v>0.00144824649504951</v>
      </c>
      <c r="C145" s="0" t="n">
        <f aca="false">B145+C144</f>
        <v>2.02128923558346</v>
      </c>
      <c r="D145" s="0" t="n">
        <f aca="false">'Fractal root'!E55*'Fractal root'!B55/100*3</f>
        <v>0.03</v>
      </c>
      <c r="E145" s="0" t="n">
        <f aca="false">'Fractal root'!E55</f>
        <v>1</v>
      </c>
      <c r="F145" s="0" t="n">
        <f aca="false">'Fractal root'!B55</f>
        <v>1</v>
      </c>
      <c r="G145" s="0" t="n">
        <f aca="false">3.1416*E145*E145/4*3</f>
        <v>2.3562</v>
      </c>
      <c r="H145" s="0" t="n">
        <f aca="false">G145*F145</f>
        <v>2.3562</v>
      </c>
      <c r="I145" s="0" t="n">
        <f aca="false">G145*(-A145+A146)*F145</f>
        <v>0.0346722995049507</v>
      </c>
      <c r="J145" s="0" t="n">
        <f aca="false">J144+I145/10000</f>
        <v>0.000779904068365826</v>
      </c>
    </row>
    <row r="146" customFormat="false" ht="15.75" hidden="false" customHeight="false" outlineLevel="0" collapsed="false">
      <c r="A146" s="0" t="n">
        <f aca="false">-'Fractal root'!$B$2+'Fractal root'!D56</f>
        <v>0.439876237623763</v>
      </c>
      <c r="B146" s="0" t="n">
        <f aca="false">3*'Fractal root'!O56</f>
        <v>0.00138689198019802</v>
      </c>
      <c r="C146" s="0" t="n">
        <f aca="false">B146+C145</f>
        <v>2.02267612756365</v>
      </c>
      <c r="D146" s="0" t="n">
        <f aca="false">'Fractal root'!E56*'Fractal root'!B56/100*3</f>
        <v>0.03</v>
      </c>
      <c r="E146" s="0" t="n">
        <f aca="false">'Fractal root'!E56</f>
        <v>1</v>
      </c>
      <c r="F146" s="0" t="n">
        <f aca="false">'Fractal root'!B56</f>
        <v>1</v>
      </c>
      <c r="G146" s="0" t="n">
        <f aca="false">3.1416*E146*E146/4*3</f>
        <v>2.3562</v>
      </c>
      <c r="H146" s="0" t="n">
        <f aca="false">G146*F146</f>
        <v>2.3562</v>
      </c>
      <c r="I146" s="0" t="n">
        <f aca="false">G146*(-A146+A147)*F146</f>
        <v>0.0331384366336633</v>
      </c>
      <c r="J146" s="0" t="n">
        <f aca="false">J145+I146/10000</f>
        <v>0.000783217912029192</v>
      </c>
    </row>
    <row r="147" customFormat="false" ht="15.75" hidden="false" customHeight="false" outlineLevel="0" collapsed="false">
      <c r="A147" s="0" t="n">
        <f aca="false">-'Fractal root'!$B$2+'Fractal root'!D57</f>
        <v>0.453940594059406</v>
      </c>
      <c r="B147" s="0" t="n">
        <f aca="false">3*'Fractal root'!O57</f>
        <v>0.00132553746534654</v>
      </c>
      <c r="C147" s="0" t="n">
        <f aca="false">B147+C146</f>
        <v>2.024001665029</v>
      </c>
      <c r="D147" s="0" t="n">
        <f aca="false">'Fractal root'!E57*'Fractal root'!B57/100*3</f>
        <v>0.03</v>
      </c>
      <c r="E147" s="0" t="n">
        <f aca="false">'Fractal root'!E57</f>
        <v>1</v>
      </c>
      <c r="F147" s="0" t="n">
        <f aca="false">'Fractal root'!B57</f>
        <v>1</v>
      </c>
      <c r="G147" s="0" t="n">
        <f aca="false">3.1416*E147*E147/4*3</f>
        <v>2.3562</v>
      </c>
      <c r="H147" s="0" t="n">
        <f aca="false">G147*F147</f>
        <v>2.3562</v>
      </c>
      <c r="I147" s="0" t="n">
        <f aca="false">G147*(-A147+A148)*F147</f>
        <v>0.0316045737623763</v>
      </c>
      <c r="J147" s="0" t="n">
        <f aca="false">J146+I147/10000</f>
        <v>0.00078637836940543</v>
      </c>
    </row>
    <row r="148" customFormat="false" ht="15.75" hidden="false" customHeight="false" outlineLevel="0" collapsed="false">
      <c r="A148" s="0" t="n">
        <f aca="false">-'Fractal root'!$B$2+'Fractal root'!D58</f>
        <v>0.46735396039604</v>
      </c>
      <c r="B148" s="0" t="n">
        <f aca="false">3*'Fractal root'!O58</f>
        <v>0.00126418295049505</v>
      </c>
      <c r="C148" s="0" t="n">
        <f aca="false">B148+C147</f>
        <v>2.0252658479795</v>
      </c>
      <c r="D148" s="0" t="n">
        <f aca="false">'Fractal root'!E58*'Fractal root'!B58/100*3</f>
        <v>0.03</v>
      </c>
      <c r="E148" s="0" t="n">
        <f aca="false">'Fractal root'!E58</f>
        <v>1</v>
      </c>
      <c r="F148" s="0" t="n">
        <f aca="false">'Fractal root'!B58</f>
        <v>1</v>
      </c>
      <c r="G148" s="0" t="n">
        <f aca="false">3.1416*E148*E148/4*3</f>
        <v>2.3562</v>
      </c>
      <c r="H148" s="0" t="n">
        <f aca="false">G148*F148</f>
        <v>2.3562</v>
      </c>
      <c r="I148" s="0" t="n">
        <f aca="false">G148*(-A148+A149)*F148</f>
        <v>0.0300707108910889</v>
      </c>
      <c r="J148" s="0" t="n">
        <f aca="false">J147+I148/10000</f>
        <v>0.000789385440494539</v>
      </c>
    </row>
    <row r="149" customFormat="false" ht="15.75" hidden="false" customHeight="false" outlineLevel="0" collapsed="false">
      <c r="A149" s="0" t="n">
        <f aca="false">-'Fractal root'!$B$2+'Fractal root'!D59</f>
        <v>0.480116336633663</v>
      </c>
      <c r="B149" s="0" t="n">
        <f aca="false">3*'Fractal root'!O59</f>
        <v>0.00120282843564356</v>
      </c>
      <c r="C149" s="0" t="n">
        <f aca="false">B149+C148</f>
        <v>2.02646867641514</v>
      </c>
      <c r="D149" s="0" t="n">
        <f aca="false">'Fractal root'!E59*'Fractal root'!B59/100*3</f>
        <v>0.03</v>
      </c>
      <c r="E149" s="0" t="n">
        <f aca="false">'Fractal root'!E59</f>
        <v>1</v>
      </c>
      <c r="F149" s="0" t="n">
        <f aca="false">'Fractal root'!B59</f>
        <v>1</v>
      </c>
      <c r="G149" s="0" t="n">
        <f aca="false">3.1416*E149*E149/4*3</f>
        <v>2.3562</v>
      </c>
      <c r="H149" s="0" t="n">
        <f aca="false">G149*F149</f>
        <v>2.3562</v>
      </c>
      <c r="I149" s="0" t="n">
        <f aca="false">G149*(-A149+A150)*F149</f>
        <v>0.0285368480198022</v>
      </c>
      <c r="J149" s="0" t="n">
        <f aca="false">J148+I149/10000</f>
        <v>0.000792239125296519</v>
      </c>
    </row>
    <row r="150" customFormat="false" ht="15.75" hidden="false" customHeight="false" outlineLevel="0" collapsed="false">
      <c r="A150" s="0" t="n">
        <f aca="false">-'Fractal root'!$B$2+'Fractal root'!D60</f>
        <v>0.492227722772277</v>
      </c>
      <c r="B150" s="0" t="n">
        <f aca="false">3*'Fractal root'!O60</f>
        <v>0.00114147392079208</v>
      </c>
      <c r="C150" s="0" t="n">
        <f aca="false">B150+C149</f>
        <v>2.02761015033593</v>
      </c>
      <c r="D150" s="0" t="n">
        <f aca="false">'Fractal root'!E60*'Fractal root'!B60/100*3</f>
        <v>0.03</v>
      </c>
      <c r="E150" s="0" t="n">
        <f aca="false">'Fractal root'!E60</f>
        <v>1</v>
      </c>
      <c r="F150" s="0" t="n">
        <f aca="false">'Fractal root'!B60</f>
        <v>1</v>
      </c>
      <c r="G150" s="0" t="n">
        <f aca="false">3.1416*E150*E150/4*3</f>
        <v>2.3562</v>
      </c>
      <c r="H150" s="0" t="n">
        <f aca="false">G150*F150</f>
        <v>2.3562</v>
      </c>
      <c r="I150" s="0" t="n">
        <f aca="false">G150*(-A150+A151)*F150</f>
        <v>0.0270029851485145</v>
      </c>
      <c r="J150" s="0" t="n">
        <f aca="false">J149+I150/10000</f>
        <v>0.00079493942381137</v>
      </c>
    </row>
    <row r="151" customFormat="false" ht="15.75" hidden="false" customHeight="false" outlineLevel="0" collapsed="false">
      <c r="A151" s="0" t="n">
        <f aca="false">-'Fractal root'!$B$2+'Fractal root'!D61</f>
        <v>0.503688118811881</v>
      </c>
      <c r="B151" s="0" t="n">
        <f aca="false">3*'Fractal root'!O61</f>
        <v>0.00108011940594059</v>
      </c>
      <c r="C151" s="0" t="n">
        <f aca="false">B151+C150</f>
        <v>2.02869026974187</v>
      </c>
      <c r="D151" s="0" t="n">
        <f aca="false">'Fractal root'!E61*'Fractal root'!B61/100*3</f>
        <v>0.03</v>
      </c>
      <c r="E151" s="0" t="n">
        <f aca="false">'Fractal root'!E61</f>
        <v>1</v>
      </c>
      <c r="F151" s="0" t="n">
        <f aca="false">'Fractal root'!B61</f>
        <v>1</v>
      </c>
      <c r="G151" s="0" t="n">
        <f aca="false">3.1416*E151*E151/4*3</f>
        <v>2.3562</v>
      </c>
      <c r="H151" s="0" t="n">
        <f aca="false">G151*F151</f>
        <v>2.3562</v>
      </c>
      <c r="I151" s="0" t="n">
        <f aca="false">G151*(-A151+A152)*F151</f>
        <v>0.0254691222772278</v>
      </c>
      <c r="J151" s="0" t="n">
        <f aca="false">J150+I151/10000</f>
        <v>0.000797486336039093</v>
      </c>
    </row>
    <row r="152" customFormat="false" ht="15.75" hidden="false" customHeight="false" outlineLevel="0" collapsed="false">
      <c r="A152" s="0" t="n">
        <f aca="false">-'Fractal root'!$B$2+'Fractal root'!D62</f>
        <v>0.514497524752475</v>
      </c>
      <c r="B152" s="0" t="n">
        <f aca="false">3*'Fractal root'!O62</f>
        <v>0.00101876489108911</v>
      </c>
      <c r="C152" s="0" t="n">
        <f aca="false">B152+C151</f>
        <v>2.02970903463296</v>
      </c>
      <c r="D152" s="0" t="n">
        <f aca="false">'Fractal root'!E62*'Fractal root'!B62/100*3</f>
        <v>0.03</v>
      </c>
      <c r="E152" s="0" t="n">
        <f aca="false">'Fractal root'!E62</f>
        <v>1</v>
      </c>
      <c r="F152" s="0" t="n">
        <f aca="false">'Fractal root'!B62</f>
        <v>1</v>
      </c>
      <c r="G152" s="0" t="n">
        <f aca="false">3.1416*E152*E152/4*3</f>
        <v>2.3562</v>
      </c>
      <c r="H152" s="0" t="n">
        <f aca="false">G152*F152</f>
        <v>2.3562</v>
      </c>
      <c r="I152" s="0" t="n">
        <f aca="false">G152*(-A152+A153)*F152</f>
        <v>0.0239352594059406</v>
      </c>
      <c r="J152" s="0" t="n">
        <f aca="false">J151+I152/10000</f>
        <v>0.000799879861979687</v>
      </c>
    </row>
    <row r="153" customFormat="false" ht="15.75" hidden="false" customHeight="false" outlineLevel="0" collapsed="false">
      <c r="A153" s="0" t="n">
        <f aca="false">-'Fractal root'!$B$2+'Fractal root'!D63</f>
        <v>0.524655940594059</v>
      </c>
      <c r="B153" s="0" t="n">
        <f aca="false">3*'Fractal root'!O63</f>
        <v>0.000957410376237624</v>
      </c>
      <c r="C153" s="0" t="n">
        <f aca="false">B153+C152</f>
        <v>2.0306664450092</v>
      </c>
      <c r="D153" s="0" t="n">
        <f aca="false">'Fractal root'!E63*'Fractal root'!B63/100*3</f>
        <v>0.03</v>
      </c>
      <c r="E153" s="0" t="n">
        <f aca="false">'Fractal root'!E63</f>
        <v>1</v>
      </c>
      <c r="F153" s="0" t="n">
        <f aca="false">'Fractal root'!B63</f>
        <v>1</v>
      </c>
      <c r="G153" s="0" t="n">
        <f aca="false">3.1416*E153*E153/4*3</f>
        <v>2.3562</v>
      </c>
      <c r="H153" s="0" t="n">
        <f aca="false">G153*F153</f>
        <v>2.3562</v>
      </c>
      <c r="I153" s="0" t="n">
        <f aca="false">G153*(-A153+A154)*F153</f>
        <v>0.0224013965346534</v>
      </c>
      <c r="J153" s="0" t="n">
        <f aca="false">J152+I153/10000</f>
        <v>0.000802120001633153</v>
      </c>
    </row>
    <row r="154" customFormat="false" ht="15.75" hidden="false" customHeight="false" outlineLevel="0" collapsed="false">
      <c r="A154" s="0" t="n">
        <f aca="false">-'Fractal root'!$B$2+'Fractal root'!D64</f>
        <v>0.534163366336634</v>
      </c>
      <c r="B154" s="0" t="n">
        <f aca="false">3*'Fractal root'!O64</f>
        <v>0.000896055861386139</v>
      </c>
      <c r="C154" s="0" t="n">
        <f aca="false">B154+C153</f>
        <v>2.03156250087058</v>
      </c>
      <c r="D154" s="0" t="n">
        <f aca="false">'Fractal root'!E64*'Fractal root'!B64/100*3</f>
        <v>0.03</v>
      </c>
      <c r="E154" s="0" t="n">
        <f aca="false">'Fractal root'!E64</f>
        <v>1</v>
      </c>
      <c r="F154" s="0" t="n">
        <f aca="false">'Fractal root'!B64</f>
        <v>1</v>
      </c>
      <c r="G154" s="0" t="n">
        <f aca="false">3.1416*E154*E154/4*3</f>
        <v>2.3562</v>
      </c>
      <c r="H154" s="0" t="n">
        <f aca="false">G154*F154</f>
        <v>2.3562</v>
      </c>
      <c r="I154" s="0" t="n">
        <f aca="false">G154*(-A154+A155)*F154</f>
        <v>0.0208675336633662</v>
      </c>
      <c r="J154" s="0" t="n">
        <f aca="false">J153+I154/10000</f>
        <v>0.000804206754999489</v>
      </c>
    </row>
    <row r="155" customFormat="false" ht="15.75" hidden="false" customHeight="false" outlineLevel="0" collapsed="false">
      <c r="A155" s="0" t="n">
        <f aca="false">-'Fractal root'!$B$2+'Fractal root'!D65</f>
        <v>0.543019801980198</v>
      </c>
      <c r="B155" s="0" t="n">
        <f aca="false">3*'Fractal root'!O65</f>
        <v>0.000834701346534654</v>
      </c>
      <c r="C155" s="0" t="n">
        <f aca="false">B155+C154</f>
        <v>2.03239720221712</v>
      </c>
      <c r="D155" s="0" t="n">
        <f aca="false">'Fractal root'!E65*'Fractal root'!B65/100*3</f>
        <v>0.03</v>
      </c>
      <c r="E155" s="0" t="n">
        <f aca="false">'Fractal root'!E65</f>
        <v>1</v>
      </c>
      <c r="F155" s="0" t="n">
        <f aca="false">'Fractal root'!B65</f>
        <v>1</v>
      </c>
      <c r="G155" s="0" t="n">
        <f aca="false">3.1416*E155*E155/4*3</f>
        <v>2.3562</v>
      </c>
      <c r="H155" s="0" t="n">
        <f aca="false">G155*F155</f>
        <v>2.3562</v>
      </c>
      <c r="I155" s="0" t="n">
        <f aca="false">G155*(-A155+A156)*F155</f>
        <v>0.0193336707920796</v>
      </c>
      <c r="J155" s="0" t="n">
        <f aca="false">J154+I155/10000</f>
        <v>0.000806140122078697</v>
      </c>
    </row>
    <row r="156" customFormat="false" ht="15.75" hidden="false" customHeight="false" outlineLevel="0" collapsed="false">
      <c r="A156" s="0" t="n">
        <f aca="false">-'Fractal root'!$B$2+'Fractal root'!D66</f>
        <v>0.551225247524753</v>
      </c>
      <c r="B156" s="0" t="n">
        <f aca="false">3*'Fractal root'!O66</f>
        <v>0.000773346831683169</v>
      </c>
      <c r="C156" s="0" t="n">
        <f aca="false">B156+C155</f>
        <v>2.0331705490488</v>
      </c>
      <c r="D156" s="0" t="n">
        <f aca="false">'Fractal root'!E66*'Fractal root'!B66/100*3</f>
        <v>0.03</v>
      </c>
      <c r="E156" s="0" t="n">
        <f aca="false">'Fractal root'!E66</f>
        <v>1</v>
      </c>
      <c r="F156" s="0" t="n">
        <f aca="false">'Fractal root'!B66</f>
        <v>1</v>
      </c>
      <c r="G156" s="0" t="n">
        <f aca="false">3.1416*E156*E156/4*3</f>
        <v>2.3562</v>
      </c>
      <c r="H156" s="0" t="n">
        <f aca="false">G156*F156</f>
        <v>2.3562</v>
      </c>
      <c r="I156" s="0" t="n">
        <f aca="false">G156*(-A156+A157)*F156</f>
        <v>0.0177998079207918</v>
      </c>
      <c r="J156" s="0" t="n">
        <f aca="false">J155+I156/10000</f>
        <v>0.000807920102870776</v>
      </c>
    </row>
    <row r="157" customFormat="false" ht="15.75" hidden="false" customHeight="false" outlineLevel="0" collapsed="false">
      <c r="A157" s="0" t="n">
        <f aca="false">-'Fractal root'!$B$2+'Fractal root'!D67</f>
        <v>0.558779702970297</v>
      </c>
      <c r="B157" s="0" t="n">
        <f aca="false">3*'Fractal root'!O67</f>
        <v>0.000711992316831684</v>
      </c>
      <c r="C157" s="0" t="n">
        <f aca="false">B157+C156</f>
        <v>2.03388254136563</v>
      </c>
      <c r="D157" s="0" t="n">
        <f aca="false">'Fractal root'!E67*'Fractal root'!B67/100*3</f>
        <v>0.03</v>
      </c>
      <c r="E157" s="0" t="n">
        <f aca="false">'Fractal root'!E67</f>
        <v>1</v>
      </c>
      <c r="F157" s="0" t="n">
        <f aca="false">'Fractal root'!B67</f>
        <v>1</v>
      </c>
      <c r="G157" s="0" t="n">
        <f aca="false">3.1416*E157*E157/4*3</f>
        <v>2.3562</v>
      </c>
      <c r="H157" s="0" t="n">
        <f aca="false">G157*F157</f>
        <v>2.3562</v>
      </c>
      <c r="I157" s="0" t="n">
        <f aca="false">G157*(-A157+A158)*F157</f>
        <v>0.0162659450495046</v>
      </c>
      <c r="J157" s="0" t="n">
        <f aca="false">J156+I157/10000</f>
        <v>0.000809546697375727</v>
      </c>
    </row>
    <row r="158" customFormat="false" ht="15.75" hidden="false" customHeight="false" outlineLevel="0" collapsed="false">
      <c r="A158" s="0" t="n">
        <f aca="false">-'Fractal root'!$B$2+'Fractal root'!D68</f>
        <v>0.565683168316832</v>
      </c>
      <c r="B158" s="0" t="n">
        <f aca="false">3*'Fractal root'!O68</f>
        <v>0.000650637801980198</v>
      </c>
      <c r="C158" s="0" t="n">
        <f aca="false">B158+C157</f>
        <v>2.03453317916761</v>
      </c>
      <c r="D158" s="0" t="n">
        <f aca="false">'Fractal root'!E68*'Fractal root'!B68/100*3</f>
        <v>0.03</v>
      </c>
      <c r="E158" s="0" t="n">
        <f aca="false">'Fractal root'!E68</f>
        <v>1</v>
      </c>
      <c r="F158" s="0" t="n">
        <f aca="false">'Fractal root'!B68</f>
        <v>1</v>
      </c>
      <c r="G158" s="0" t="n">
        <f aca="false">3.1416*E158*E158/4*3</f>
        <v>2.3562</v>
      </c>
      <c r="H158" s="0" t="n">
        <f aca="false">G158*F158</f>
        <v>2.3562</v>
      </c>
      <c r="I158" s="0" t="n">
        <f aca="false">G158*(-A158+A159)*F158</f>
        <v>0.014732082178218</v>
      </c>
      <c r="J158" s="0" t="n">
        <f aca="false">J157+I158/10000</f>
        <v>0.000811019905593549</v>
      </c>
    </row>
    <row r="159" customFormat="false" ht="15.75" hidden="false" customHeight="false" outlineLevel="0" collapsed="false">
      <c r="A159" s="0" t="n">
        <f aca="false">-'Fractal root'!$B$2+'Fractal root'!D69</f>
        <v>0.571935643564356</v>
      </c>
      <c r="B159" s="0" t="n">
        <f aca="false">3*'Fractal root'!O69</f>
        <v>0.000589283287128713</v>
      </c>
      <c r="C159" s="0" t="n">
        <f aca="false">B159+C158</f>
        <v>2.03512246245474</v>
      </c>
      <c r="D159" s="0" t="n">
        <f aca="false">'Fractal root'!E69*'Fractal root'!B69/100*3</f>
        <v>0.03</v>
      </c>
      <c r="E159" s="0" t="n">
        <f aca="false">'Fractal root'!E69</f>
        <v>1</v>
      </c>
      <c r="F159" s="0" t="n">
        <f aca="false">'Fractal root'!B69</f>
        <v>1</v>
      </c>
      <c r="G159" s="0" t="n">
        <f aca="false">3.1416*E159*E159/4*3</f>
        <v>2.3562</v>
      </c>
      <c r="H159" s="0" t="n">
        <f aca="false">G159*F159</f>
        <v>2.3562</v>
      </c>
      <c r="I159" s="0" t="n">
        <f aca="false">G159*(-A159+A160)*F159</f>
        <v>0.0131982193069313</v>
      </c>
      <c r="J159" s="0" t="n">
        <f aca="false">J158+I159/10000</f>
        <v>0.000812339727524242</v>
      </c>
    </row>
    <row r="160" customFormat="false" ht="15.75" hidden="false" customHeight="false" outlineLevel="0" collapsed="false">
      <c r="A160" s="0" t="n">
        <f aca="false">-'Fractal root'!$B$2+'Fractal root'!D70</f>
        <v>0.577537128712871</v>
      </c>
      <c r="B160" s="0" t="n">
        <f aca="false">3*'Fractal root'!O70</f>
        <v>0.000527928772277228</v>
      </c>
      <c r="C160" s="0" t="n">
        <f aca="false">B160+C159</f>
        <v>2.03565039122702</v>
      </c>
      <c r="D160" s="0" t="n">
        <f aca="false">'Fractal root'!E70*'Fractal root'!B70/100*3</f>
        <v>0.03</v>
      </c>
      <c r="E160" s="0" t="n">
        <f aca="false">'Fractal root'!E70</f>
        <v>1</v>
      </c>
      <c r="F160" s="0" t="n">
        <f aca="false">'Fractal root'!B70</f>
        <v>1</v>
      </c>
      <c r="G160" s="0" t="n">
        <f aca="false">3.1416*E160*E160/4*3</f>
        <v>2.3562</v>
      </c>
      <c r="H160" s="0" t="n">
        <f aca="false">G160*F160</f>
        <v>2.3562</v>
      </c>
      <c r="I160" s="0" t="n">
        <f aca="false">G160*(-A160+A161)*F160</f>
        <v>0.0116643564356436</v>
      </c>
      <c r="J160" s="0" t="n">
        <f aca="false">J159+I160/10000</f>
        <v>0.000813506163167806</v>
      </c>
    </row>
    <row r="161" customFormat="false" ht="15.75" hidden="false" customHeight="false" outlineLevel="0" collapsed="false">
      <c r="A161" s="0" t="n">
        <f aca="false">-'Fractal root'!$B$2+'Fractal root'!D71</f>
        <v>0.582487623762376</v>
      </c>
      <c r="B161" s="0" t="n">
        <f aca="false">3*'Fractal root'!O71</f>
        <v>0.000466574257425743</v>
      </c>
      <c r="C161" s="0" t="n">
        <f aca="false">B161+C160</f>
        <v>2.03611696548445</v>
      </c>
      <c r="D161" s="0" t="n">
        <f aca="false">'Fractal root'!E71*'Fractal root'!B71/100*3</f>
        <v>0.03</v>
      </c>
      <c r="E161" s="0" t="n">
        <f aca="false">'Fractal root'!E71</f>
        <v>1</v>
      </c>
      <c r="F161" s="0" t="n">
        <f aca="false">'Fractal root'!B71</f>
        <v>1</v>
      </c>
      <c r="G161" s="0" t="n">
        <f aca="false">3.1416*E161*E161/4*3</f>
        <v>2.3562</v>
      </c>
      <c r="H161" s="0" t="n">
        <f aca="false">G161*F161</f>
        <v>2.3562</v>
      </c>
      <c r="I161" s="0" t="n">
        <f aca="false">G161*(-A161+A162)*F161</f>
        <v>0.0101304935643564</v>
      </c>
      <c r="J161" s="0" t="n">
        <f aca="false">J160+I161/10000</f>
        <v>0.000814519212524242</v>
      </c>
    </row>
    <row r="162" customFormat="false" ht="15.75" hidden="false" customHeight="false" outlineLevel="0" collapsed="false">
      <c r="A162" s="0" t="n">
        <f aca="false">-'Fractal root'!$B$2+'Fractal root'!D72</f>
        <v>0.586787128712871</v>
      </c>
      <c r="B162" s="0" t="n">
        <f aca="false">3*'Fractal root'!O72</f>
        <v>0.000405219742574258</v>
      </c>
      <c r="C162" s="0" t="n">
        <f aca="false">B162+C161</f>
        <v>2.03652218522702</v>
      </c>
      <c r="D162" s="0" t="n">
        <f aca="false">'Fractal root'!E72*'Fractal root'!B72/100*3</f>
        <v>0.03</v>
      </c>
      <c r="E162" s="0" t="n">
        <f aca="false">'Fractal root'!E72</f>
        <v>1</v>
      </c>
      <c r="F162" s="0" t="n">
        <f aca="false">'Fractal root'!B72</f>
        <v>1</v>
      </c>
      <c r="G162" s="0" t="n">
        <f aca="false">3.1416*E162*E162/4*3</f>
        <v>2.3562</v>
      </c>
      <c r="H162" s="0" t="n">
        <f aca="false">G162*F162</f>
        <v>2.3562</v>
      </c>
      <c r="I162" s="0" t="n">
        <f aca="false">G162*(-A162+A163)*F162</f>
        <v>0.00859663069306919</v>
      </c>
      <c r="J162" s="0" t="n">
        <f aca="false">J161+I162/10000</f>
        <v>0.000815378875593549</v>
      </c>
    </row>
    <row r="163" customFormat="false" ht="15.75" hidden="false" customHeight="false" outlineLevel="0" collapsed="false">
      <c r="A163" s="0" t="n">
        <f aca="false">-'Fractal root'!$B$2+'Fractal root'!D73</f>
        <v>0.590435643564357</v>
      </c>
      <c r="B163" s="0" t="n">
        <f aca="false">3*'Fractal root'!O73</f>
        <v>0.000343865227722773</v>
      </c>
      <c r="C163" s="0" t="n">
        <f aca="false">B163+C162</f>
        <v>2.03686605045474</v>
      </c>
      <c r="D163" s="0" t="n">
        <f aca="false">'Fractal root'!E73*'Fractal root'!B73/100*3</f>
        <v>0.03</v>
      </c>
      <c r="E163" s="0" t="n">
        <f aca="false">'Fractal root'!E73</f>
        <v>1</v>
      </c>
      <c r="F163" s="0" t="n">
        <f aca="false">'Fractal root'!B73</f>
        <v>1</v>
      </c>
      <c r="G163" s="0" t="n">
        <f aca="false">3.1416*E163*E163/4*3</f>
        <v>2.3562</v>
      </c>
      <c r="H163" s="0" t="n">
        <f aca="false">G163*F163</f>
        <v>2.3562</v>
      </c>
      <c r="I163" s="0" t="n">
        <f aca="false">G163*(-A163+A164)*F163</f>
        <v>0.00706276782178199</v>
      </c>
      <c r="J163" s="0" t="n">
        <f aca="false">J162+I163/10000</f>
        <v>0.000816085152375727</v>
      </c>
    </row>
    <row r="164" customFormat="false" ht="15.75" hidden="false" customHeight="false" outlineLevel="0" collapsed="false">
      <c r="A164" s="0" t="n">
        <f aca="false">-'Fractal root'!$B$2+'Fractal root'!D74</f>
        <v>0.593433168316832</v>
      </c>
      <c r="B164" s="0" t="n">
        <f aca="false">3*'Fractal root'!O74</f>
        <v>0.000282510712871287</v>
      </c>
      <c r="C164" s="0" t="n">
        <f aca="false">B164+C163</f>
        <v>2.03714856116761</v>
      </c>
      <c r="D164" s="0" t="n">
        <f aca="false">'Fractal root'!E74*'Fractal root'!B74/100*3</f>
        <v>0.03</v>
      </c>
      <c r="E164" s="0" t="n">
        <f aca="false">'Fractal root'!E74</f>
        <v>1</v>
      </c>
      <c r="F164" s="0" t="n">
        <f aca="false">'Fractal root'!B74</f>
        <v>1</v>
      </c>
      <c r="G164" s="0" t="n">
        <f aca="false">3.1416*E164*E164/4*3</f>
        <v>2.3562</v>
      </c>
      <c r="H164" s="0" t="n">
        <f aca="false">G164*F164</f>
        <v>2.3562</v>
      </c>
      <c r="I164" s="0" t="n">
        <f aca="false">G164*(-A164+A165)*F164</f>
        <v>0.00552890495049532</v>
      </c>
      <c r="J164" s="0" t="n">
        <f aca="false">J163+I164/10000</f>
        <v>0.000816638042870776</v>
      </c>
    </row>
    <row r="165" customFormat="false" ht="15.75" hidden="false" customHeight="false" outlineLevel="0" collapsed="false">
      <c r="A165" s="0" t="n">
        <f aca="false">-'Fractal root'!$B$2+'Fractal root'!D75</f>
        <v>0.595779702970297</v>
      </c>
      <c r="B165" s="0" t="n">
        <f aca="false">3*'Fractal root'!O75</f>
        <v>0.000221156198019802</v>
      </c>
      <c r="C165" s="0" t="n">
        <f aca="false">B165+C164</f>
        <v>2.03736971736563</v>
      </c>
      <c r="D165" s="0" t="n">
        <f aca="false">'Fractal root'!E75*'Fractal root'!B75/100*3</f>
        <v>0.03</v>
      </c>
      <c r="E165" s="0" t="n">
        <f aca="false">'Fractal root'!E75</f>
        <v>1</v>
      </c>
      <c r="F165" s="0" t="n">
        <f aca="false">'Fractal root'!B75</f>
        <v>1</v>
      </c>
      <c r="G165" s="0" t="n">
        <f aca="false">3.1416*E165*E165/4*3</f>
        <v>2.3562</v>
      </c>
      <c r="H165" s="0" t="n">
        <f aca="false">G165*F165</f>
        <v>2.3562</v>
      </c>
      <c r="I165" s="0" t="n">
        <f aca="false">G165*(-A165+A166)*F165</f>
        <v>0.0039950420792076</v>
      </c>
      <c r="J165" s="0" t="n">
        <f aca="false">J164+I165/10000</f>
        <v>0.000817037547078697</v>
      </c>
    </row>
    <row r="166" customFormat="false" ht="15.75" hidden="false" customHeight="false" outlineLevel="0" collapsed="false">
      <c r="A166" s="0" t="n">
        <f aca="false">-'Fractal root'!$B$2+'Fractal root'!D76</f>
        <v>0.597475247524752</v>
      </c>
      <c r="B166" s="0" t="n">
        <f aca="false">3*'Fractal root'!O76</f>
        <v>0.000159801683168317</v>
      </c>
      <c r="C166" s="0" t="n">
        <f aca="false">B166+C165</f>
        <v>2.0375295190488</v>
      </c>
      <c r="D166" s="0" t="n">
        <f aca="false">'Fractal root'!E76*'Fractal root'!B76/100*3</f>
        <v>0.03</v>
      </c>
      <c r="E166" s="0" t="n">
        <f aca="false">'Fractal root'!E76</f>
        <v>1</v>
      </c>
      <c r="F166" s="0" t="n">
        <f aca="false">'Fractal root'!B76</f>
        <v>1</v>
      </c>
      <c r="G166" s="0" t="n">
        <f aca="false">3.1416*E166*E166/4*3</f>
        <v>2.3562</v>
      </c>
      <c r="H166" s="0" t="n">
        <f aca="false">G166*F166</f>
        <v>2.3562</v>
      </c>
      <c r="I166" s="0" t="n">
        <f aca="false">G166*(-A166+A167)*F166</f>
        <v>0.00246117920792093</v>
      </c>
      <c r="J166" s="0" t="n">
        <f aca="false">J165+I166/10000</f>
        <v>0.000817283664999489</v>
      </c>
    </row>
    <row r="167" customFormat="false" ht="15.75" hidden="false" customHeight="false" outlineLevel="0" collapsed="false">
      <c r="A167" s="0" t="n">
        <f aca="false">-'Fractal root'!$B$2+'Fractal root'!D77</f>
        <v>0.598519801980198</v>
      </c>
      <c r="B167" s="0" t="n">
        <f aca="false">3*'Fractal root'!O77</f>
        <v>9.84471683168318E-005</v>
      </c>
      <c r="C167" s="0" t="n">
        <f aca="false">B167+C166</f>
        <v>2.03762796621712</v>
      </c>
      <c r="D167" s="0" t="n">
        <f aca="false">'Fractal root'!E77*'Fractal root'!B77/100*3</f>
        <v>0.03</v>
      </c>
      <c r="E167" s="0" t="n">
        <f aca="false">'Fractal root'!E77</f>
        <v>1</v>
      </c>
      <c r="F167" s="0" t="n">
        <f aca="false">'Fractal root'!B77</f>
        <v>1</v>
      </c>
      <c r="G167" s="0" t="n">
        <f aca="false">3.1416*E167*E167/4*3</f>
        <v>2.3562</v>
      </c>
      <c r="H167" s="0" t="n">
        <f aca="false">G167*F167</f>
        <v>2.3562</v>
      </c>
      <c r="I167" s="0" t="n">
        <f aca="false">G167*(-A167+A168)*F167</f>
        <v>0.00092731633663373</v>
      </c>
      <c r="J167" s="0" t="n">
        <f aca="false">J166+I167/10000</f>
        <v>0.000817376396633153</v>
      </c>
    </row>
    <row r="168" customFormat="false" ht="15.75" hidden="false" customHeight="false" outlineLevel="0" collapsed="false">
      <c r="A168" s="0" t="n">
        <f aca="false">-'Fractal root'!$B$2+'Fractal root'!D78</f>
        <v>0.598913366336634</v>
      </c>
      <c r="B168" s="0" t="n">
        <f aca="false">3*'Fractal root'!O78</f>
        <v>3.70926534653466E-005</v>
      </c>
      <c r="C168" s="0" t="n">
        <f aca="false">B168+C167</f>
        <v>2.03766505887058</v>
      </c>
      <c r="D168" s="0" t="n">
        <f aca="false">'Fractal root'!E78*'Fractal root'!B78/100*3</f>
        <v>0.03</v>
      </c>
      <c r="E168" s="0" t="n">
        <f aca="false">'Fractal root'!E78</f>
        <v>1</v>
      </c>
      <c r="F168" s="0" t="n">
        <f aca="false">'Fractal root'!B78</f>
        <v>1</v>
      </c>
      <c r="G168" s="0" t="n">
        <f aca="false">3.1416*E168*E168/4*3</f>
        <v>2.3562</v>
      </c>
      <c r="H168" s="0" t="n">
        <f aca="false">G168*F168</f>
        <v>2.3562</v>
      </c>
      <c r="I168" s="0" t="n">
        <f aca="false">G168*(-A168+A169)*F168</f>
        <v>-0.000606546534653466</v>
      </c>
      <c r="J168" s="0" t="n">
        <f aca="false">J167+I168/10000</f>
        <v>0.000817315741979687</v>
      </c>
    </row>
    <row r="169" customFormat="false" ht="15.75" hidden="false" customHeight="false" outlineLevel="0" collapsed="false">
      <c r="A169" s="0" t="n">
        <f aca="false">-'Fractal root'!$B$2+'Fractal root'!D79</f>
        <v>0.598655940594059</v>
      </c>
      <c r="B169" s="0" t="n">
        <f aca="false">3*'Fractal root'!O79</f>
        <v>-2.42618613861386E-005</v>
      </c>
      <c r="C169" s="0" t="n">
        <f aca="false">B169+C168</f>
        <v>2.0376407970092</v>
      </c>
      <c r="D169" s="0" t="n">
        <f aca="false">'Fractal root'!E79*'Fractal root'!B79/100*3</f>
        <v>0.03</v>
      </c>
      <c r="E169" s="0" t="n">
        <f aca="false">'Fractal root'!E79</f>
        <v>1</v>
      </c>
      <c r="F169" s="0" t="n">
        <f aca="false">'Fractal root'!B79</f>
        <v>1</v>
      </c>
      <c r="G169" s="0" t="n">
        <f aca="false">3.1416*E169*E169/4*3</f>
        <v>2.3562</v>
      </c>
      <c r="H169" s="0" t="n">
        <f aca="false">G169*F169</f>
        <v>2.3562</v>
      </c>
      <c r="I169" s="0" t="n">
        <f aca="false">G169*(-A169+A170)*F169</f>
        <v>-0.00214040940594066</v>
      </c>
      <c r="J169" s="0" t="n">
        <f aca="false">J168+I169/10000</f>
        <v>0.000817101701039093</v>
      </c>
    </row>
    <row r="170" customFormat="false" ht="15.75" hidden="false" customHeight="false" outlineLevel="0" collapsed="false">
      <c r="A170" s="0" t="n">
        <f aca="false">-'Fractal root'!$B$2+'Fractal root'!D80</f>
        <v>0.597747524752475</v>
      </c>
      <c r="B170" s="0" t="n">
        <f aca="false">3*'Fractal root'!O80</f>
        <v>-8.56163762376232E-005</v>
      </c>
      <c r="C170" s="0" t="n">
        <f aca="false">B170+C169</f>
        <v>2.03755518063296</v>
      </c>
      <c r="D170" s="0" t="n">
        <f aca="false">'Fractal root'!E80*'Fractal root'!B80/100*3</f>
        <v>0.03</v>
      </c>
      <c r="E170" s="0" t="n">
        <f aca="false">'Fractal root'!E80</f>
        <v>1</v>
      </c>
      <c r="F170" s="0" t="n">
        <f aca="false">'Fractal root'!B80</f>
        <v>1</v>
      </c>
      <c r="G170" s="0" t="n">
        <f aca="false">3.1416*E170*E170/4*3</f>
        <v>2.3562</v>
      </c>
      <c r="H170" s="0" t="n">
        <f aca="false">G170*F170</f>
        <v>2.3562</v>
      </c>
      <c r="I170" s="0" t="n">
        <f aca="false">G170*(-A170+A171)*F170</f>
        <v>-0.00367427227722734</v>
      </c>
      <c r="J170" s="0" t="n">
        <f aca="false">J169+I170/10000</f>
        <v>0.000816734273811371</v>
      </c>
    </row>
    <row r="171" customFormat="false" ht="15.75" hidden="false" customHeight="false" outlineLevel="0" collapsed="false">
      <c r="A171" s="0" t="n">
        <f aca="false">-'Fractal root'!$B$2+'Fractal root'!D81</f>
        <v>0.596188118811881</v>
      </c>
      <c r="B171" s="0" t="n">
        <f aca="false">3*'Fractal root'!O81</f>
        <v>-0.000146970891089108</v>
      </c>
      <c r="C171" s="0" t="n">
        <f aca="false">B171+C170</f>
        <v>2.03740820974187</v>
      </c>
      <c r="D171" s="0" t="n">
        <f aca="false">'Fractal root'!E81*'Fractal root'!B81/100*3</f>
        <v>0.03</v>
      </c>
      <c r="E171" s="0" t="n">
        <f aca="false">'Fractal root'!E81</f>
        <v>1</v>
      </c>
      <c r="F171" s="0" t="n">
        <f aca="false">'Fractal root'!B81</f>
        <v>1</v>
      </c>
      <c r="G171" s="0" t="n">
        <f aca="false">3.1416*E171*E171/4*3</f>
        <v>2.3562</v>
      </c>
      <c r="H171" s="0" t="n">
        <f aca="false">G171*F171</f>
        <v>2.3562</v>
      </c>
      <c r="I171" s="0" t="n">
        <f aca="false">G171*(-A171+A172)*F171</f>
        <v>-0.00520813514851506</v>
      </c>
      <c r="J171" s="0" t="n">
        <f aca="false">J170+I171/10000</f>
        <v>0.000816213460296519</v>
      </c>
    </row>
    <row r="172" customFormat="false" ht="15.75" hidden="false" customHeight="false" outlineLevel="0" collapsed="false">
      <c r="A172" s="0" t="n">
        <f aca="false">-'Fractal root'!$B$2+'Fractal root'!D82</f>
        <v>0.593977722772277</v>
      </c>
      <c r="B172" s="0" t="n">
        <f aca="false">3*'Fractal root'!O82</f>
        <v>-0.000208325405940594</v>
      </c>
      <c r="C172" s="0" t="n">
        <f aca="false">B172+C171</f>
        <v>2.03719988433593</v>
      </c>
      <c r="D172" s="0" t="n">
        <f aca="false">'Fractal root'!E82*'Fractal root'!B82/100*3</f>
        <v>0.03</v>
      </c>
      <c r="E172" s="0" t="n">
        <f aca="false">'Fractal root'!E82</f>
        <v>1</v>
      </c>
      <c r="F172" s="0" t="n">
        <f aca="false">'Fractal root'!B82</f>
        <v>1</v>
      </c>
      <c r="G172" s="0" t="n">
        <f aca="false">3.1416*E172*E172/4*3</f>
        <v>2.3562</v>
      </c>
      <c r="H172" s="0" t="n">
        <f aca="false">G172*F172</f>
        <v>2.3562</v>
      </c>
      <c r="I172" s="0" t="n">
        <f aca="false">G172*(-A172+A173)*F172</f>
        <v>-0.00674199801980225</v>
      </c>
      <c r="J172" s="0" t="n">
        <f aca="false">J171+I172/10000</f>
        <v>0.000815539260494539</v>
      </c>
    </row>
    <row r="173" customFormat="false" ht="15.75" hidden="false" customHeight="false" outlineLevel="0" collapsed="false">
      <c r="A173" s="0" t="n">
        <f aca="false">-'Fractal root'!$B$2+'Fractal root'!D83</f>
        <v>0.591116336633663</v>
      </c>
      <c r="B173" s="0" t="n">
        <f aca="false">3*'Fractal root'!O83</f>
        <v>-0.000269679920792079</v>
      </c>
      <c r="C173" s="0" t="n">
        <f aca="false">B173+C172</f>
        <v>2.03693020441514</v>
      </c>
      <c r="D173" s="0" t="n">
        <f aca="false">'Fractal root'!E83*'Fractal root'!B83/100*3</f>
        <v>0.03</v>
      </c>
      <c r="E173" s="0" t="n">
        <f aca="false">'Fractal root'!E83</f>
        <v>1</v>
      </c>
      <c r="F173" s="0" t="n">
        <f aca="false">'Fractal root'!B83</f>
        <v>1</v>
      </c>
      <c r="G173" s="0" t="n">
        <f aca="false">3.1416*E173*E173/4*3</f>
        <v>2.3562</v>
      </c>
      <c r="H173" s="0" t="n">
        <f aca="false">G173*F173</f>
        <v>2.3562</v>
      </c>
      <c r="I173" s="0" t="n">
        <f aca="false">G173*(-A173+A174)*F173</f>
        <v>-0.00827586089108892</v>
      </c>
      <c r="J173" s="0" t="n">
        <f aca="false">J172+I173/10000</f>
        <v>0.00081471167440543</v>
      </c>
    </row>
    <row r="174" customFormat="false" ht="15.75" hidden="false" customHeight="false" outlineLevel="0" collapsed="false">
      <c r="A174" s="0" t="n">
        <f aca="false">-'Fractal root'!$B$2+'Fractal root'!D84</f>
        <v>0.58760396039604</v>
      </c>
      <c r="B174" s="0" t="n">
        <f aca="false">3*'Fractal root'!O84</f>
        <v>-0.000331034435643564</v>
      </c>
      <c r="C174" s="0" t="n">
        <f aca="false">B174+C173</f>
        <v>2.0365991699795</v>
      </c>
      <c r="D174" s="0" t="n">
        <f aca="false">'Fractal root'!E84*'Fractal root'!B84/100*3</f>
        <v>0.03</v>
      </c>
      <c r="E174" s="0" t="n">
        <f aca="false">'Fractal root'!E84</f>
        <v>1</v>
      </c>
      <c r="F174" s="0" t="n">
        <f aca="false">'Fractal root'!B84</f>
        <v>1</v>
      </c>
      <c r="G174" s="0" t="n">
        <f aca="false">3.1416*E174*E174/4*3</f>
        <v>2.3562</v>
      </c>
      <c r="H174" s="0" t="n">
        <f aca="false">G174*F174</f>
        <v>2.3562</v>
      </c>
      <c r="I174" s="0" t="n">
        <f aca="false">G174*(-A174+A175)*F174</f>
        <v>-0.00980972376237612</v>
      </c>
      <c r="J174" s="0" t="n">
        <f aca="false">J173+I174/10000</f>
        <v>0.000813730702029192</v>
      </c>
    </row>
    <row r="175" customFormat="false" ht="15.75" hidden="false" customHeight="false" outlineLevel="0" collapsed="false">
      <c r="A175" s="0" t="n">
        <f aca="false">-'Fractal root'!$B$2+'Fractal root'!D85</f>
        <v>0.583440594059406</v>
      </c>
      <c r="B175" s="0" t="n">
        <f aca="false">3*'Fractal root'!O85</f>
        <v>-0.000392388950495049</v>
      </c>
      <c r="C175" s="0" t="n">
        <f aca="false">B175+C174</f>
        <v>2.036206781029</v>
      </c>
      <c r="D175" s="0" t="n">
        <f aca="false">'Fractal root'!E85*'Fractal root'!B85/100*3</f>
        <v>0.03</v>
      </c>
      <c r="E175" s="0" t="n">
        <f aca="false">'Fractal root'!E85</f>
        <v>1</v>
      </c>
      <c r="F175" s="0" t="n">
        <f aca="false">'Fractal root'!B85</f>
        <v>1</v>
      </c>
      <c r="G175" s="0" t="n">
        <f aca="false">3.1416*E175*E175/4*3</f>
        <v>2.3562</v>
      </c>
      <c r="H175" s="0" t="n">
        <f aca="false">G175*F175</f>
        <v>2.3562</v>
      </c>
      <c r="I175" s="0" t="n">
        <f aca="false">G175*(-A175+A176)*F175</f>
        <v>-0.0113435866336638</v>
      </c>
      <c r="J175" s="0" t="n">
        <f aca="false">J174+I175/10000</f>
        <v>0.000812596343365826</v>
      </c>
    </row>
    <row r="176" customFormat="false" ht="15.75" hidden="false" customHeight="false" outlineLevel="0" collapsed="false">
      <c r="A176" s="0" t="n">
        <f aca="false">-'Fractal root'!$B$2+'Fractal root'!D86</f>
        <v>0.578626237623762</v>
      </c>
      <c r="B176" s="0" t="n">
        <f aca="false">3*'Fractal root'!O86</f>
        <v>-0.000453743465346534</v>
      </c>
      <c r="C176" s="0" t="n">
        <f aca="false">B176+C175</f>
        <v>2.03575303756365</v>
      </c>
      <c r="D176" s="0" t="n">
        <f aca="false">'Fractal root'!E86*'Fractal root'!B86/100*3</f>
        <v>0.03</v>
      </c>
      <c r="E176" s="0" t="n">
        <f aca="false">'Fractal root'!E86</f>
        <v>1</v>
      </c>
      <c r="F176" s="0" t="n">
        <f aca="false">'Fractal root'!B86</f>
        <v>1</v>
      </c>
      <c r="G176" s="0" t="n">
        <f aca="false">3.1416*E176*E176/4*3</f>
        <v>2.3562</v>
      </c>
      <c r="H176" s="0" t="n">
        <f aca="false">G176*F176</f>
        <v>2.3562</v>
      </c>
      <c r="I176" s="0" t="n">
        <f aca="false">G176*(-A176+A177)*F176</f>
        <v>-0.0128774495049505</v>
      </c>
      <c r="J176" s="0" t="n">
        <f aca="false">J175+I176/10000</f>
        <v>0.000811308598415331</v>
      </c>
    </row>
    <row r="177" customFormat="false" ht="15.75" hidden="false" customHeight="false" outlineLevel="0" collapsed="false">
      <c r="A177" s="0" t="n">
        <f aca="false">-'Fractal root'!$B$2+'Fractal root'!D87</f>
        <v>0.573160891089109</v>
      </c>
      <c r="B177" s="0" t="n">
        <f aca="false">3*'Fractal root'!O87</f>
        <v>-0.00051509798019802</v>
      </c>
      <c r="C177" s="0" t="n">
        <f aca="false">B177+C176</f>
        <v>2.03523793958346</v>
      </c>
      <c r="D177" s="0" t="n">
        <f aca="false">'Fractal root'!E87*'Fractal root'!B87/100*3</f>
        <v>0.03</v>
      </c>
      <c r="E177" s="0" t="n">
        <f aca="false">'Fractal root'!E87</f>
        <v>1</v>
      </c>
      <c r="F177" s="0" t="n">
        <f aca="false">'Fractal root'!B87</f>
        <v>1</v>
      </c>
      <c r="G177" s="0" t="n">
        <f aca="false">3.1416*E177*E177/4*3</f>
        <v>2.3562</v>
      </c>
      <c r="H177" s="0" t="n">
        <f aca="false">G177*F177</f>
        <v>2.3562</v>
      </c>
      <c r="I177" s="0" t="n">
        <f aca="false">G177*(-A177+A178)*F177</f>
        <v>-0.0144113123762372</v>
      </c>
      <c r="J177" s="0" t="n">
        <f aca="false">J176+I177/10000</f>
        <v>0.000809867467177707</v>
      </c>
    </row>
    <row r="178" customFormat="false" ht="15.75" hidden="false" customHeight="false" outlineLevel="0" collapsed="false">
      <c r="A178" s="0" t="n">
        <f aca="false">-'Fractal root'!$B$2+'Fractal root'!D88</f>
        <v>0.567044554455446</v>
      </c>
      <c r="B178" s="0" t="n">
        <f aca="false">3*'Fractal root'!O88</f>
        <v>-0.000576452495049505</v>
      </c>
      <c r="C178" s="0" t="n">
        <f aca="false">B178+C177</f>
        <v>2.03466148708841</v>
      </c>
      <c r="D178" s="0" t="n">
        <f aca="false">'Fractal root'!E88*'Fractal root'!B88/100*3</f>
        <v>0.03</v>
      </c>
      <c r="E178" s="0" t="n">
        <f aca="false">'Fractal root'!E88</f>
        <v>1</v>
      </c>
      <c r="F178" s="0" t="n">
        <f aca="false">'Fractal root'!B88</f>
        <v>1</v>
      </c>
      <c r="G178" s="0" t="n">
        <f aca="false">3.1416*E178*E178/4*3</f>
        <v>2.3562</v>
      </c>
      <c r="H178" s="0" t="n">
        <f aca="false">G178*F178</f>
        <v>2.3562</v>
      </c>
      <c r="I178" s="0" t="n">
        <f aca="false">G178*(-A178+A179)*F178</f>
        <v>-0.0159451752475249</v>
      </c>
      <c r="J178" s="0" t="n">
        <f aca="false">J177+I178/10000</f>
        <v>0.000808272949652955</v>
      </c>
    </row>
    <row r="179" customFormat="false" ht="15.75" hidden="false" customHeight="false" outlineLevel="0" collapsed="false">
      <c r="A179" s="0" t="n">
        <f aca="false">-'Fractal root'!$B$2+'Fractal root'!D89</f>
        <v>0.560277227722772</v>
      </c>
      <c r="B179" s="0" t="n">
        <f aca="false">3*'Fractal root'!O89</f>
        <v>-0.00063780700990099</v>
      </c>
      <c r="C179" s="0" t="n">
        <f aca="false">B179+C178</f>
        <v>2.0340236800785</v>
      </c>
      <c r="D179" s="0" t="n">
        <f aca="false">'Fractal root'!E89*'Fractal root'!B89/100*3</f>
        <v>0.03</v>
      </c>
      <c r="E179" s="0" t="n">
        <f aca="false">'Fractal root'!E89</f>
        <v>1</v>
      </c>
      <c r="F179" s="0" t="n">
        <f aca="false">'Fractal root'!B89</f>
        <v>1</v>
      </c>
      <c r="G179" s="0" t="n">
        <f aca="false">3.1416*E179*E179/4*3</f>
        <v>2.3562</v>
      </c>
      <c r="H179" s="0" t="n">
        <f aca="false">G179*F179</f>
        <v>2.3562</v>
      </c>
      <c r="I179" s="0" t="n">
        <f aca="false">G179*(-A179+A180)*F179</f>
        <v>-0.0174790381188121</v>
      </c>
      <c r="J179" s="0" t="n">
        <f aca="false">J178+I179/10000</f>
        <v>0.000806525045841074</v>
      </c>
    </row>
    <row r="180" customFormat="false" ht="15.75" hidden="false" customHeight="false" outlineLevel="0" collapsed="false">
      <c r="A180" s="0" t="n">
        <f aca="false">-'Fractal root'!$B$2+'Fractal root'!D90</f>
        <v>0.552858910891089</v>
      </c>
      <c r="B180" s="0" t="n">
        <f aca="false">3*'Fractal root'!O90</f>
        <v>-0.000699161524752475</v>
      </c>
      <c r="C180" s="0" t="n">
        <f aca="false">B180+C179</f>
        <v>2.03332451855375</v>
      </c>
      <c r="D180" s="0" t="n">
        <f aca="false">'Fractal root'!E90*'Fractal root'!B90/100*3</f>
        <v>0.03</v>
      </c>
      <c r="E180" s="0" t="n">
        <f aca="false">'Fractal root'!E90</f>
        <v>1</v>
      </c>
      <c r="F180" s="0" t="n">
        <f aca="false">'Fractal root'!B90</f>
        <v>1</v>
      </c>
      <c r="G180" s="0" t="n">
        <f aca="false">3.1416*E180*E180/4*3</f>
        <v>2.3562</v>
      </c>
      <c r="H180" s="0" t="n">
        <f aca="false">G180*F180</f>
        <v>2.3562</v>
      </c>
      <c r="I180" s="0" t="n">
        <f aca="false">G180*(-A180+A181)*F180</f>
        <v>-0.0190129009900983</v>
      </c>
      <c r="J180" s="0" t="n">
        <f aca="false">J179+I180/10000</f>
        <v>0.000804623755742064</v>
      </c>
    </row>
    <row r="181" customFormat="false" ht="15.75" hidden="false" customHeight="false" outlineLevel="0" collapsed="false">
      <c r="A181" s="0" t="n">
        <f aca="false">-'Fractal root'!$B$2+'Fractal root'!D91</f>
        <v>0.544789603960396</v>
      </c>
      <c r="B181" s="0" t="n">
        <f aca="false">3*'Fractal root'!O91</f>
        <v>-0.00076051603960396</v>
      </c>
      <c r="C181" s="0" t="n">
        <f aca="false">B181+C180</f>
        <v>2.03256400251415</v>
      </c>
      <c r="D181" s="0" t="n">
        <f aca="false">'Fractal root'!E91*'Fractal root'!B91/100*3</f>
        <v>0.03</v>
      </c>
      <c r="E181" s="0" t="n">
        <f aca="false">'Fractal root'!E91</f>
        <v>1</v>
      </c>
      <c r="F181" s="0" t="n">
        <f aca="false">'Fractal root'!B91</f>
        <v>1</v>
      </c>
      <c r="G181" s="0" t="n">
        <f aca="false">3.1416*E181*E181/4*3</f>
        <v>2.3562</v>
      </c>
      <c r="H181" s="0" t="n">
        <f aca="false">G181*F181</f>
        <v>2.3562</v>
      </c>
      <c r="I181" s="0" t="n">
        <f aca="false">G181*(-A181+A182)*F181</f>
        <v>-0.0205467638613865</v>
      </c>
      <c r="J181" s="0" t="n">
        <f aca="false">J180+I181/10000</f>
        <v>0.000802569079355925</v>
      </c>
    </row>
    <row r="182" customFormat="false" ht="15.75" hidden="false" customHeight="false" outlineLevel="0" collapsed="false">
      <c r="A182" s="0" t="n">
        <f aca="false">-'Fractal root'!$B$2+'Fractal root'!D92</f>
        <v>0.536069306930693</v>
      </c>
      <c r="B182" s="0" t="n">
        <f aca="false">3*'Fractal root'!O92</f>
        <v>-0.000821870554455445</v>
      </c>
      <c r="C182" s="0" t="n">
        <f aca="false">B182+C181</f>
        <v>2.03174213195969</v>
      </c>
      <c r="D182" s="0" t="n">
        <f aca="false">'Fractal root'!E92*'Fractal root'!B92/100*3</f>
        <v>0.03</v>
      </c>
      <c r="E182" s="0" t="n">
        <f aca="false">'Fractal root'!E92</f>
        <v>1</v>
      </c>
      <c r="F182" s="0" t="n">
        <f aca="false">'Fractal root'!B92</f>
        <v>1</v>
      </c>
      <c r="G182" s="0" t="n">
        <f aca="false">3.1416*E182*E182/4*3</f>
        <v>2.3562</v>
      </c>
      <c r="H182" s="0" t="n">
        <f aca="false">G182*F182</f>
        <v>2.3562</v>
      </c>
      <c r="I182" s="0" t="n">
        <f aca="false">G182*(-A182+A183)*F182</f>
        <v>-0.0220806267326732</v>
      </c>
      <c r="J182" s="0" t="n">
        <f aca="false">J181+I182/10000</f>
        <v>0.000800361016682658</v>
      </c>
    </row>
    <row r="183" customFormat="false" ht="15.75" hidden="false" customHeight="false" outlineLevel="0" collapsed="false">
      <c r="A183" s="0" t="n">
        <f aca="false">-'Fractal root'!$B$2+'Fractal root'!D93</f>
        <v>0.52669801980198</v>
      </c>
      <c r="B183" s="0" t="n">
        <f aca="false">3*'Fractal root'!O93</f>
        <v>-0.00088322506930693</v>
      </c>
      <c r="C183" s="0" t="n">
        <f aca="false">B183+C182</f>
        <v>2.03085890689039</v>
      </c>
      <c r="D183" s="0" t="n">
        <f aca="false">'Fractal root'!E93*'Fractal root'!B93/100*3</f>
        <v>0.03</v>
      </c>
      <c r="E183" s="0" t="n">
        <f aca="false">'Fractal root'!E93</f>
        <v>1</v>
      </c>
      <c r="F183" s="0" t="n">
        <f aca="false">'Fractal root'!B93</f>
        <v>1</v>
      </c>
      <c r="G183" s="0" t="n">
        <f aca="false">3.1416*E183*E183/4*3</f>
        <v>2.3562</v>
      </c>
      <c r="H183" s="0" t="n">
        <f aca="false">G183*F183</f>
        <v>2.3562</v>
      </c>
      <c r="I183" s="0" t="n">
        <f aca="false">G183*(-A183+A184)*F183</f>
        <v>-0.0236144896039604</v>
      </c>
      <c r="J183" s="0" t="n">
        <f aca="false">J182+I183/10000</f>
        <v>0.000797999567722262</v>
      </c>
    </row>
    <row r="184" customFormat="false" ht="15.75" hidden="false" customHeight="false" outlineLevel="0" collapsed="false">
      <c r="A184" s="0" t="n">
        <f aca="false">-'Fractal root'!$B$2+'Fractal root'!D94</f>
        <v>0.516675742574258</v>
      </c>
      <c r="B184" s="0" t="n">
        <f aca="false">3*'Fractal root'!O94</f>
        <v>-0.000944579584158415</v>
      </c>
      <c r="C184" s="0" t="n">
        <f aca="false">B184+C183</f>
        <v>2.02991432730623</v>
      </c>
      <c r="D184" s="0" t="n">
        <f aca="false">'Fractal root'!E94*'Fractal root'!B94/100*3</f>
        <v>0.03</v>
      </c>
      <c r="E184" s="0" t="n">
        <f aca="false">'Fractal root'!E94</f>
        <v>1</v>
      </c>
      <c r="F184" s="0" t="n">
        <f aca="false">'Fractal root'!B94</f>
        <v>1</v>
      </c>
      <c r="G184" s="0" t="n">
        <f aca="false">3.1416*E184*E184/4*3</f>
        <v>2.3562</v>
      </c>
      <c r="H184" s="0" t="n">
        <f aca="false">G184*F184</f>
        <v>2.3562</v>
      </c>
      <c r="I184" s="0" t="n">
        <f aca="false">G184*(-A184+A185)*F184</f>
        <v>-0.0251483524752476</v>
      </c>
      <c r="J184" s="0" t="n">
        <f aca="false">J183+I184/10000</f>
        <v>0.000795484732474737</v>
      </c>
    </row>
    <row r="185" customFormat="false" ht="15.75" hidden="false" customHeight="false" outlineLevel="0" collapsed="false">
      <c r="A185" s="0" t="n">
        <f aca="false">-'Fractal root'!$B$2+'Fractal root'!D95</f>
        <v>0.506002475247525</v>
      </c>
      <c r="B185" s="0" t="n">
        <f aca="false">3*'Fractal root'!O95</f>
        <v>-0.0010059340990099</v>
      </c>
      <c r="C185" s="0" t="n">
        <f aca="false">B185+C184</f>
        <v>2.02890839320722</v>
      </c>
      <c r="D185" s="0" t="n">
        <f aca="false">'Fractal root'!E95*'Fractal root'!B95/100*3</f>
        <v>0.03</v>
      </c>
      <c r="E185" s="0" t="n">
        <f aca="false">'Fractal root'!E95</f>
        <v>1</v>
      </c>
      <c r="F185" s="0" t="n">
        <f aca="false">'Fractal root'!B95</f>
        <v>1</v>
      </c>
      <c r="G185" s="0" t="n">
        <f aca="false">3.1416*E185*E185/4*3</f>
        <v>2.3562</v>
      </c>
      <c r="H185" s="0" t="n">
        <f aca="false">G185*F185</f>
        <v>2.3562</v>
      </c>
      <c r="I185" s="0" t="n">
        <f aca="false">G185*(-A185+A186)*F185</f>
        <v>-0.026682215346535</v>
      </c>
      <c r="J185" s="0" t="n">
        <f aca="false">J184+I185/10000</f>
        <v>0.000792816510940083</v>
      </c>
    </row>
    <row r="186" customFormat="false" ht="15.75" hidden="false" customHeight="false" outlineLevel="0" collapsed="false">
      <c r="A186" s="0" t="n">
        <f aca="false">-'Fractal root'!$B$2+'Fractal root'!D96</f>
        <v>0.494678217821782</v>
      </c>
      <c r="B186" s="0" t="n">
        <f aca="false">3*'Fractal root'!O96</f>
        <v>-0.00106728861386139</v>
      </c>
      <c r="C186" s="0" t="n">
        <f aca="false">B186+C185</f>
        <v>2.02784110459336</v>
      </c>
      <c r="D186" s="0" t="n">
        <f aca="false">'Fractal root'!E96*'Fractal root'!B96/100*3</f>
        <v>0.03</v>
      </c>
      <c r="E186" s="0" t="n">
        <f aca="false">'Fractal root'!E96</f>
        <v>1</v>
      </c>
      <c r="F186" s="0" t="n">
        <f aca="false">'Fractal root'!B96</f>
        <v>1</v>
      </c>
      <c r="G186" s="0" t="n">
        <f aca="false">3.1416*E186*E186/4*3</f>
        <v>2.3562</v>
      </c>
      <c r="H186" s="0" t="n">
        <f aca="false">G186*F186</f>
        <v>2.3562</v>
      </c>
      <c r="I186" s="0" t="n">
        <f aca="false">G186*(-A186+A187)*F186</f>
        <v>-0.0282160782178217</v>
      </c>
      <c r="J186" s="0" t="n">
        <f aca="false">J185+I186/10000</f>
        <v>0.000789994903118301</v>
      </c>
    </row>
    <row r="187" customFormat="false" ht="15.75" hidden="false" customHeight="false" outlineLevel="0" collapsed="false">
      <c r="A187" s="0" t="n">
        <f aca="false">-'Fractal root'!$B$2+'Fractal root'!D97</f>
        <v>0.48270297029703</v>
      </c>
      <c r="B187" s="0" t="n">
        <f aca="false">3*'Fractal root'!O97</f>
        <v>-0.00112864312871287</v>
      </c>
      <c r="C187" s="0" t="n">
        <f aca="false">B187+C186</f>
        <v>2.02671246146464</v>
      </c>
      <c r="D187" s="0" t="n">
        <f aca="false">'Fractal root'!E97*'Fractal root'!B97/100*3</f>
        <v>0.03</v>
      </c>
      <c r="E187" s="0" t="n">
        <f aca="false">'Fractal root'!E97</f>
        <v>1</v>
      </c>
      <c r="F187" s="0" t="n">
        <f aca="false">'Fractal root'!B97</f>
        <v>1</v>
      </c>
      <c r="G187" s="0" t="n">
        <f aca="false">3.1416*E187*E187/4*3</f>
        <v>2.3562</v>
      </c>
      <c r="H187" s="0" t="n">
        <f aca="false">G187*F187</f>
        <v>2.3562</v>
      </c>
      <c r="I187" s="0" t="n">
        <f aca="false">G187*(-A187+A188)*F187</f>
        <v>-0.0297499410891091</v>
      </c>
      <c r="J187" s="0" t="n">
        <f aca="false">J186+I187/10000</f>
        <v>0.00078701990900939</v>
      </c>
    </row>
    <row r="188" customFormat="false" ht="15.75" hidden="false" customHeight="false" outlineLevel="0" collapsed="false">
      <c r="A188" s="0" t="n">
        <f aca="false">-'Fractal root'!$B$2+'Fractal root'!D98</f>
        <v>0.470076732673267</v>
      </c>
      <c r="B188" s="0" t="n">
        <f aca="false">3*'Fractal root'!O98</f>
        <v>-0.00118999764356436</v>
      </c>
      <c r="C188" s="0" t="n">
        <f aca="false">B188+C187</f>
        <v>2.02552246382108</v>
      </c>
      <c r="D188" s="0" t="n">
        <f aca="false">'Fractal root'!E98*'Fractal root'!B98/100*3</f>
        <v>0.03</v>
      </c>
      <c r="E188" s="0" t="n">
        <f aca="false">'Fractal root'!E98</f>
        <v>1</v>
      </c>
      <c r="F188" s="0" t="n">
        <f aca="false">'Fractal root'!B98</f>
        <v>1</v>
      </c>
      <c r="G188" s="0" t="n">
        <f aca="false">3.1416*E188*E188/4*3</f>
        <v>2.3562</v>
      </c>
      <c r="H188" s="0" t="n">
        <f aca="false">G188*F188</f>
        <v>2.3562</v>
      </c>
      <c r="I188" s="0" t="n">
        <f aca="false">G188*(-A188+A189)*F188</f>
        <v>-0.0312838039603961</v>
      </c>
      <c r="J188" s="0" t="n">
        <f aca="false">J187+I188/10000</f>
        <v>0.000783891528613351</v>
      </c>
    </row>
    <row r="189" customFormat="false" ht="15.75" hidden="false" customHeight="false" outlineLevel="0" collapsed="false">
      <c r="A189" s="0" t="n">
        <f aca="false">-'Fractal root'!$B$2+'Fractal root'!D99</f>
        <v>0.456799504950495</v>
      </c>
      <c r="B189" s="0" t="n">
        <f aca="false">3*'Fractal root'!O99</f>
        <v>-0.00125135215841584</v>
      </c>
      <c r="C189" s="0" t="n">
        <f aca="false">B189+C188</f>
        <v>2.02427111166266</v>
      </c>
      <c r="D189" s="0" t="n">
        <f aca="false">'Fractal root'!E99*'Fractal root'!B99/100*3</f>
        <v>0.03</v>
      </c>
      <c r="E189" s="0" t="n">
        <f aca="false">'Fractal root'!E99</f>
        <v>1</v>
      </c>
      <c r="F189" s="0" t="n">
        <f aca="false">'Fractal root'!B99</f>
        <v>1</v>
      </c>
      <c r="G189" s="0" t="n">
        <f aca="false">3.1416*E189*E189/4*3</f>
        <v>2.3562</v>
      </c>
      <c r="H189" s="0" t="n">
        <f aca="false">G189*F189</f>
        <v>2.3562</v>
      </c>
      <c r="I189" s="0" t="n">
        <f aca="false">G189*(-A189+A190)*F189</f>
        <v>-0.0328176668316833</v>
      </c>
      <c r="J189" s="0" t="n">
        <f aca="false">J188+I189/10000</f>
        <v>0.000780609761930182</v>
      </c>
    </row>
    <row r="190" customFormat="false" ht="15.75" hidden="false" customHeight="false" outlineLevel="0" collapsed="false">
      <c r="A190" s="0" t="n">
        <f aca="false">-'Fractal root'!$B$2+'Fractal root'!D100</f>
        <v>0.442871287128713</v>
      </c>
      <c r="B190" s="0" t="n">
        <f aca="false">3*'Fractal root'!O100</f>
        <v>-0.00131270667326733</v>
      </c>
      <c r="C190" s="0" t="n">
        <f aca="false">B190+C189</f>
        <v>2.0229584049894</v>
      </c>
      <c r="D190" s="0" t="n">
        <f aca="false">'Fractal root'!E100*'Fractal root'!B100/100*3</f>
        <v>0.03</v>
      </c>
      <c r="E190" s="0" t="n">
        <f aca="false">'Fractal root'!E100</f>
        <v>1</v>
      </c>
      <c r="F190" s="0" t="n">
        <f aca="false">'Fractal root'!B100</f>
        <v>1</v>
      </c>
      <c r="G190" s="0" t="n">
        <f aca="false">3.1416*E190*E190/4*3</f>
        <v>2.3562</v>
      </c>
      <c r="H190" s="0" t="n">
        <f aca="false">G190*F190</f>
        <v>2.3562</v>
      </c>
      <c r="I190" s="0" t="n">
        <f aca="false">G190*(-A190+A191)*F190</f>
        <v>-0.0343515297029697</v>
      </c>
      <c r="J190" s="0" t="n">
        <f aca="false">J189+I190/10000</f>
        <v>0.000777174608959886</v>
      </c>
    </row>
    <row r="191" customFormat="false" ht="15.75" hidden="false" customHeight="false" outlineLevel="0" collapsed="false">
      <c r="A191" s="0" t="n">
        <f aca="false">-'Fractal root'!$B$2+'Fractal root'!D101</f>
        <v>0.428292079207921</v>
      </c>
      <c r="B191" s="0" t="n">
        <f aca="false">3*'Fractal root'!O101</f>
        <v>-0.00137406118811881</v>
      </c>
      <c r="C191" s="0" t="n">
        <f aca="false">B191+C190</f>
        <v>2.02158434380128</v>
      </c>
      <c r="D191" s="0" t="n">
        <f aca="false">'Fractal root'!E101*'Fractal root'!B101/100*3</f>
        <v>0.03</v>
      </c>
      <c r="E191" s="0" t="n">
        <f aca="false">'Fractal root'!E101</f>
        <v>1</v>
      </c>
      <c r="F191" s="0" t="n">
        <f aca="false">'Fractal root'!B101</f>
        <v>1</v>
      </c>
      <c r="G191" s="0" t="n">
        <f aca="false">3.1416*E191*E191/4*3</f>
        <v>2.3562</v>
      </c>
      <c r="H191" s="0" t="n">
        <f aca="false">G191*F191</f>
        <v>2.3562</v>
      </c>
      <c r="I191" s="0" t="n">
        <f aca="false">G191*(-A191+A192)*F191</f>
        <v>-0.0358853925742574</v>
      </c>
      <c r="J191" s="0" t="n">
        <f aca="false">J190+I191/10000</f>
        <v>0.00077358606970246</v>
      </c>
    </row>
    <row r="192" customFormat="false" ht="15.75" hidden="false" customHeight="false" outlineLevel="0" collapsed="false">
      <c r="A192" s="0" t="n">
        <f aca="false">-'Fractal root'!$B$2+'Fractal root'!D102</f>
        <v>0.413061881188119</v>
      </c>
      <c r="B192" s="0" t="n">
        <f aca="false">3*'Fractal root'!O102</f>
        <v>-0.0014354157029703</v>
      </c>
      <c r="C192" s="0" t="n">
        <f aca="false">B192+C191</f>
        <v>2.02014892809831</v>
      </c>
      <c r="D192" s="0" t="n">
        <f aca="false">'Fractal root'!E102*'Fractal root'!B102/100*3</f>
        <v>0.03</v>
      </c>
      <c r="E192" s="0" t="n">
        <f aca="false">'Fractal root'!E102</f>
        <v>1</v>
      </c>
      <c r="F192" s="0" t="n">
        <f aca="false">'Fractal root'!B102</f>
        <v>1</v>
      </c>
      <c r="G192" s="0" t="n">
        <f aca="false">3.1416*E192*E192/4*3</f>
        <v>2.3562</v>
      </c>
      <c r="H192" s="0" t="n">
        <f aca="false">G192*F192</f>
        <v>2.3562</v>
      </c>
      <c r="I192" s="0" t="n">
        <f aca="false">G192*(-A192+A193)*F192</f>
        <v>-0.0374192554455446</v>
      </c>
      <c r="J192" s="0" t="n">
        <f aca="false">J191+I192/10000</f>
        <v>0.000769844144157905</v>
      </c>
    </row>
    <row r="193" customFormat="false" ht="15.75" hidden="false" customHeight="false" outlineLevel="0" collapsed="false">
      <c r="A193" s="0" t="n">
        <f aca="false">-'Fractal root'!$B$2+'Fractal root'!D103</f>
        <v>0.397180693069307</v>
      </c>
      <c r="B193" s="0" t="n">
        <f aca="false">3*'Fractal root'!O103</f>
        <v>-0.00149677021782178</v>
      </c>
      <c r="C193" s="0" t="n">
        <f aca="false">B193+C192</f>
        <v>2.01865215788049</v>
      </c>
      <c r="D193" s="0" t="n">
        <f aca="false">'Fractal root'!E103*'Fractal root'!B103/100*3</f>
        <v>0.03</v>
      </c>
      <c r="E193" s="0" t="n">
        <f aca="false">'Fractal root'!E103</f>
        <v>1</v>
      </c>
      <c r="F193" s="0" t="n">
        <f aca="false">'Fractal root'!B103</f>
        <v>1</v>
      </c>
      <c r="G193" s="0" t="n">
        <f aca="false">3.1416*E193*E193/4*3</f>
        <v>2.3562</v>
      </c>
      <c r="H193" s="0" t="n">
        <f aca="false">G193*F193</f>
        <v>2.3562</v>
      </c>
      <c r="I193" s="0" t="n">
        <f aca="false">G193*(-A193+A194)*F193</f>
        <v>-0.0389531183168318</v>
      </c>
      <c r="J193" s="0" t="n">
        <f aca="false">J192+I193/10000</f>
        <v>0.000765948832326222</v>
      </c>
    </row>
    <row r="194" customFormat="false" ht="15.75" hidden="false" customHeight="false" outlineLevel="0" collapsed="false">
      <c r="A194" s="0" t="n">
        <f aca="false">-'Fractal root'!$B$2+'Fractal root'!D104</f>
        <v>0.380648514851485</v>
      </c>
      <c r="B194" s="0" t="n">
        <f aca="false">3*'Fractal root'!O104</f>
        <v>-0.00155812473267327</v>
      </c>
      <c r="C194" s="0" t="n">
        <f aca="false">B194+C193</f>
        <v>2.01709403314781</v>
      </c>
      <c r="D194" s="0" t="n">
        <f aca="false">'Fractal root'!E104*'Fractal root'!B104/100*3</f>
        <v>0.03</v>
      </c>
      <c r="E194" s="0" t="n">
        <f aca="false">'Fractal root'!E104</f>
        <v>1</v>
      </c>
      <c r="F194" s="0" t="n">
        <f aca="false">'Fractal root'!B104</f>
        <v>1</v>
      </c>
      <c r="G194" s="0" t="n">
        <f aca="false">3.1416*E194*E194/4*3</f>
        <v>2.3562</v>
      </c>
      <c r="H194" s="0" t="n">
        <f aca="false">G194*F194</f>
        <v>2.3562</v>
      </c>
      <c r="I194" s="0" t="n">
        <f aca="false">G194*(-A194+A195)*F194</f>
        <v>-0.0404869811881187</v>
      </c>
      <c r="J194" s="0" t="n">
        <f aca="false">J193+I194/10000</f>
        <v>0.00076190013420741</v>
      </c>
    </row>
    <row r="195" customFormat="false" ht="15.75" hidden="false" customHeight="false" outlineLevel="0" collapsed="false">
      <c r="A195" s="0" t="n">
        <f aca="false">-'Fractal root'!$B$2+'Fractal root'!D105</f>
        <v>0.363465346534654</v>
      </c>
      <c r="B195" s="0" t="n">
        <f aca="false">3*'Fractal root'!O105</f>
        <v>-0.00161947924752475</v>
      </c>
      <c r="C195" s="0" t="n">
        <f aca="false">B195+C194</f>
        <v>2.01547455390029</v>
      </c>
      <c r="D195" s="0" t="n">
        <f aca="false">'Fractal root'!E105*'Fractal root'!B105/100*3</f>
        <v>0.03</v>
      </c>
      <c r="E195" s="0" t="n">
        <f aca="false">'Fractal root'!E105</f>
        <v>1</v>
      </c>
      <c r="F195" s="0" t="n">
        <f aca="false">'Fractal root'!B105</f>
        <v>1</v>
      </c>
      <c r="G195" s="0" t="n">
        <f aca="false">3.1416*E195*E195/4*3</f>
        <v>2.3562</v>
      </c>
      <c r="H195" s="0" t="n">
        <f aca="false">G195*F195</f>
        <v>2.3562</v>
      </c>
      <c r="I195" s="0" t="n">
        <f aca="false">G195*(-A195+A196)*F195</f>
        <v>-0.0420208440594062</v>
      </c>
      <c r="J195" s="0" t="n">
        <f aca="false">J194+I195/10000</f>
        <v>0.00075769804980147</v>
      </c>
    </row>
    <row r="196" customFormat="false" ht="15.75" hidden="false" customHeight="false" outlineLevel="0" collapsed="false">
      <c r="A196" s="0" t="n">
        <f aca="false">-'Fractal root'!$B$2+'Fractal root'!D106</f>
        <v>0.345631188118812</v>
      </c>
      <c r="B196" s="0" t="n">
        <f aca="false">3*'Fractal root'!O106</f>
        <v>-0.00168083376237624</v>
      </c>
      <c r="C196" s="0" t="n">
        <f aca="false">B196+C195</f>
        <v>2.01379372013791</v>
      </c>
      <c r="D196" s="0" t="n">
        <f aca="false">'Fractal root'!E106*'Fractal root'!B106/100*3</f>
        <v>0.03</v>
      </c>
      <c r="E196" s="0" t="n">
        <f aca="false">'Fractal root'!E106</f>
        <v>1</v>
      </c>
      <c r="F196" s="0" t="n">
        <f aca="false">'Fractal root'!B106</f>
        <v>1</v>
      </c>
      <c r="G196" s="0" t="n">
        <f aca="false">3.1416*E196*E196/4*3</f>
        <v>2.3562</v>
      </c>
      <c r="H196" s="0" t="n">
        <f aca="false">G196*F196</f>
        <v>2.3562</v>
      </c>
      <c r="I196" s="0" t="n">
        <f aca="false">G196*(-A196+A197)*F196</f>
        <v>-0.0435547069306931</v>
      </c>
      <c r="J196" s="0" t="n">
        <f aca="false">J195+I196/10000</f>
        <v>0.0007533425791084</v>
      </c>
    </row>
    <row r="197" customFormat="false" ht="15.75" hidden="false" customHeight="false" outlineLevel="0" collapsed="false">
      <c r="A197" s="0" t="n">
        <f aca="false">-'Fractal root'!$B$2+'Fractal root'!D107</f>
        <v>0.32714603960396</v>
      </c>
      <c r="B197" s="0" t="n">
        <f aca="false">3*'Fractal root'!O107</f>
        <v>-0.00174218827722772</v>
      </c>
      <c r="C197" s="0" t="n">
        <f aca="false">B197+C196</f>
        <v>2.01205153186068</v>
      </c>
      <c r="D197" s="0" t="n">
        <f aca="false">'Fractal root'!E107*'Fractal root'!B107/100*3</f>
        <v>0.03</v>
      </c>
      <c r="E197" s="0" t="n">
        <f aca="false">'Fractal root'!E107</f>
        <v>1</v>
      </c>
      <c r="F197" s="0" t="n">
        <f aca="false">'Fractal root'!B107</f>
        <v>1</v>
      </c>
      <c r="G197" s="0" t="n">
        <f aca="false">3.1416*E197*E197/4*3</f>
        <v>2.3562</v>
      </c>
      <c r="H197" s="0" t="n">
        <f aca="false">G197*F197</f>
        <v>2.3562</v>
      </c>
      <c r="I197" s="0" t="n">
        <f aca="false">G197*(-A197+A198)*F197</f>
        <v>-0.0450885698019801</v>
      </c>
      <c r="J197" s="0" t="n">
        <f aca="false">J196+I197/10000</f>
        <v>0.000748833722128202</v>
      </c>
    </row>
    <row r="198" customFormat="false" ht="15.75" hidden="false" customHeight="false" outlineLevel="0" collapsed="false">
      <c r="A198" s="0" t="n">
        <f aca="false">-'Fractal root'!$B$2+'Fractal root'!D108</f>
        <v>0.308009900990099</v>
      </c>
      <c r="B198" s="0" t="n">
        <f aca="false">3*'Fractal root'!O108</f>
        <v>-0.00180354279207921</v>
      </c>
      <c r="C198" s="0" t="n">
        <f aca="false">B198+C197</f>
        <v>2.0102479890686</v>
      </c>
      <c r="D198" s="0" t="n">
        <f aca="false">'Fractal root'!E108*'Fractal root'!B108/100*3</f>
        <v>0.03</v>
      </c>
      <c r="E198" s="0" t="n">
        <f aca="false">'Fractal root'!E108</f>
        <v>1</v>
      </c>
      <c r="F198" s="0" t="n">
        <f aca="false">'Fractal root'!B108</f>
        <v>1</v>
      </c>
      <c r="G198" s="0" t="n">
        <f aca="false">3.1416*E198*E198/4*3</f>
        <v>2.3562</v>
      </c>
      <c r="H198" s="0" t="n">
        <f aca="false">G198*F198</f>
        <v>2.3562</v>
      </c>
      <c r="I198" s="0" t="n">
        <f aca="false">G198*(-A198+A199)*F198</f>
        <v>-0.0466224326732675</v>
      </c>
      <c r="J198" s="0" t="n">
        <f aca="false">J197+I198/10000</f>
        <v>0.000744171478860876</v>
      </c>
    </row>
    <row r="199" customFormat="false" ht="15.75" hidden="false" customHeight="false" outlineLevel="0" collapsed="false">
      <c r="A199" s="0" t="n">
        <f aca="false">-'Fractal root'!$B$2+'Fractal root'!D109</f>
        <v>0.288222772277228</v>
      </c>
      <c r="B199" s="0" t="n">
        <f aca="false">3*'Fractal root'!O109</f>
        <v>-0.00186489730693069</v>
      </c>
      <c r="C199" s="0" t="n">
        <f aca="false">B199+C198</f>
        <v>2.00838309176167</v>
      </c>
      <c r="D199" s="0" t="n">
        <f aca="false">'Fractal root'!E109*'Fractal root'!B109/100*3</f>
        <v>0.03</v>
      </c>
      <c r="E199" s="0" t="n">
        <f aca="false">'Fractal root'!E109</f>
        <v>1</v>
      </c>
      <c r="F199" s="0" t="n">
        <f aca="false">'Fractal root'!B109</f>
        <v>1</v>
      </c>
      <c r="G199" s="0" t="n">
        <f aca="false">3.1416*E199*E199/4*3</f>
        <v>2.3562</v>
      </c>
      <c r="H199" s="0" t="n">
        <f aca="false">G199*F199</f>
        <v>2.3562</v>
      </c>
      <c r="I199" s="0" t="n">
        <f aca="false">G199*(-A199+A200)*F199</f>
        <v>-0.0481562955445545</v>
      </c>
      <c r="J199" s="0" t="n">
        <f aca="false">J198+I199/10000</f>
        <v>0.00073935584930642</v>
      </c>
    </row>
    <row r="200" customFormat="false" ht="15.75" hidden="false" customHeight="false" outlineLevel="0" collapsed="false">
      <c r="A200" s="0" t="n">
        <f aca="false">-'Fractal root'!$B$2+'Fractal root'!D110</f>
        <v>0.267784653465347</v>
      </c>
      <c r="B200" s="0" t="n">
        <f aca="false">3*'Fractal root'!O110</f>
        <v>-0.00192625182178218</v>
      </c>
      <c r="C200" s="0" t="n">
        <f aca="false">B200+C199</f>
        <v>2.00645683993989</v>
      </c>
      <c r="D200" s="0" t="n">
        <f aca="false">'Fractal root'!E110*'Fractal root'!B110/100*3</f>
        <v>0.03</v>
      </c>
      <c r="E200" s="0" t="n">
        <f aca="false">'Fractal root'!E110</f>
        <v>1</v>
      </c>
      <c r="F200" s="0" t="n">
        <f aca="false">'Fractal root'!B110</f>
        <v>1</v>
      </c>
      <c r="G200" s="0" t="n">
        <f aca="false">3.1416*E200*E200/4*3</f>
        <v>2.3562</v>
      </c>
      <c r="H200" s="0" t="n">
        <f aca="false">G200*F200</f>
        <v>2.3562</v>
      </c>
      <c r="I200" s="0" t="n">
        <f aca="false">G200*(-A200+A201)*F200</f>
        <v>-0.0496901584158417</v>
      </c>
      <c r="J200" s="0" t="n">
        <f aca="false">J199+I200/10000</f>
        <v>0.000734386833464836</v>
      </c>
    </row>
    <row r="201" customFormat="false" ht="15.75" hidden="false" customHeight="false" outlineLevel="0" collapsed="false">
      <c r="A201" s="0" t="n">
        <f aca="false">-'Fractal root'!$B$2+'Fractal root'!D111</f>
        <v>0.246695544554455</v>
      </c>
      <c r="B201" s="0" t="n">
        <f aca="false">3*'Fractal root'!O111</f>
        <v>-0.00198760633663366</v>
      </c>
      <c r="C201" s="0" t="n">
        <f aca="false">B201+C200</f>
        <v>2.00446923360326</v>
      </c>
      <c r="D201" s="0" t="n">
        <f aca="false">'Fractal root'!E111*'Fractal root'!B111/100*3</f>
        <v>0.03</v>
      </c>
      <c r="E201" s="0" t="n">
        <f aca="false">'Fractal root'!E111</f>
        <v>1</v>
      </c>
      <c r="F201" s="0" t="n">
        <f aca="false">'Fractal root'!B111</f>
        <v>1</v>
      </c>
      <c r="G201" s="0" t="n">
        <f aca="false">3.1416*E201*E201/4*3</f>
        <v>2.3562</v>
      </c>
      <c r="H201" s="0" t="n">
        <f aca="false">G201*F201</f>
        <v>2.3562</v>
      </c>
      <c r="I201" s="0" t="n">
        <f aca="false">G201*(-A201+A202)*F201</f>
        <v>-0.0512240212871281</v>
      </c>
      <c r="J201" s="0" t="n">
        <f aca="false">J200+I201/10000</f>
        <v>0.000729264431336123</v>
      </c>
    </row>
    <row r="202" customFormat="false" ht="15.75" hidden="false" customHeight="false" outlineLevel="0" collapsed="false">
      <c r="A202" s="0" t="n">
        <f aca="false">-'Fractal root'!$B$2+'Fractal root'!D112</f>
        <v>0.224955445544555</v>
      </c>
      <c r="B202" s="0" t="n">
        <f aca="false">3*'Fractal root'!O112</f>
        <v>-0.00204896085148515</v>
      </c>
      <c r="C202" s="0" t="n">
        <f aca="false">B202+C201</f>
        <v>2.00242027275177</v>
      </c>
      <c r="D202" s="0" t="n">
        <f aca="false">'Fractal root'!E112*'Fractal root'!B112/100*3</f>
        <v>0.03</v>
      </c>
      <c r="E202" s="0" t="n">
        <f aca="false">'Fractal root'!E112</f>
        <v>1</v>
      </c>
      <c r="F202" s="0" t="n">
        <f aca="false">'Fractal root'!B112</f>
        <v>1</v>
      </c>
      <c r="G202" s="0" t="n">
        <f aca="false">3.1416*E202*E202/4*3</f>
        <v>2.3562</v>
      </c>
      <c r="H202" s="0" t="n">
        <f aca="false">G202*F202</f>
        <v>2.3562</v>
      </c>
      <c r="I202" s="0" t="n">
        <f aca="false">G202*(-A202+A203)*F202</f>
        <v>-0.0527578841584161</v>
      </c>
      <c r="J202" s="0" t="n">
        <f aca="false">J201+I202/10000</f>
        <v>0.000723988642920282</v>
      </c>
    </row>
    <row r="203" customFormat="false" ht="15.75" hidden="false" customHeight="false" outlineLevel="0" collapsed="false">
      <c r="A203" s="0" t="n">
        <f aca="false">-'Fractal root'!$B$2+'Fractal root'!D113</f>
        <v>0.202564356435644</v>
      </c>
      <c r="B203" s="0" t="n">
        <f aca="false">3*'Fractal root'!O113</f>
        <v>-0.00211031536633663</v>
      </c>
      <c r="C203" s="0" t="n">
        <f aca="false">B203+C202</f>
        <v>2.00030995738544</v>
      </c>
      <c r="D203" s="0" t="n">
        <f aca="false">'Fractal root'!E113*'Fractal root'!B113/100*3</f>
        <v>0.03</v>
      </c>
      <c r="E203" s="0" t="n">
        <f aca="false">'Fractal root'!E113</f>
        <v>1</v>
      </c>
      <c r="F203" s="0" t="n">
        <f aca="false">'Fractal root'!B113</f>
        <v>1</v>
      </c>
      <c r="G203" s="0" t="n">
        <f aca="false">3.1416*E203*E203/4*3</f>
        <v>2.3562</v>
      </c>
      <c r="H203" s="0" t="n">
        <f aca="false">G203*F203</f>
        <v>2.3562</v>
      </c>
      <c r="I203" s="0" t="n">
        <f aca="false">G203*(-A203+A204)*F203</f>
        <v>-0.054291747029703</v>
      </c>
      <c r="J203" s="0" t="n">
        <f aca="false">J202+I203/10000</f>
        <v>0.000718559468217311</v>
      </c>
    </row>
    <row r="204" customFormat="false" ht="15.75" hidden="false" customHeight="false" outlineLevel="0" collapsed="false">
      <c r="A204" s="0" t="n">
        <f aca="false">-'Fractal root'!$B$2+'Fractal root'!D114</f>
        <v>0.179522277227723</v>
      </c>
      <c r="B204" s="0" t="n">
        <f aca="false">3*'Fractal root'!O114</f>
        <v>-0.00217166988118812</v>
      </c>
      <c r="C204" s="0" t="n">
        <f aca="false">B204+C203</f>
        <v>1.99813828750425</v>
      </c>
      <c r="D204" s="0" t="n">
        <f aca="false">'Fractal root'!E114*'Fractal root'!B114/100*3</f>
        <v>0.03</v>
      </c>
      <c r="E204" s="0" t="n">
        <f aca="false">'Fractal root'!E114</f>
        <v>1</v>
      </c>
      <c r="F204" s="0" t="n">
        <f aca="false">'Fractal root'!B114</f>
        <v>1</v>
      </c>
      <c r="G204" s="0" t="n">
        <f aca="false">3.1416*E204*E204/4*3</f>
        <v>2.3562</v>
      </c>
      <c r="H204" s="0" t="n">
        <f aca="false">G204*F204</f>
        <v>2.3562</v>
      </c>
      <c r="I204" s="0" t="n">
        <f aca="false">G204*(-A204+A205)*F204</f>
        <v>-0.0558256099009902</v>
      </c>
      <c r="J204" s="0" t="n">
        <f aca="false">J203+I204/10000</f>
        <v>0.000712976907227212</v>
      </c>
    </row>
    <row r="205" customFormat="false" ht="15.75" hidden="false" customHeight="false" outlineLevel="0" collapsed="false">
      <c r="A205" s="0" t="n">
        <f aca="false">-'Fractal root'!$B$2+'Fractal root'!D115</f>
        <v>0.155829207920792</v>
      </c>
      <c r="B205" s="0" t="n">
        <f aca="false">3*'Fractal root'!O115</f>
        <v>-0.0022330243960396</v>
      </c>
      <c r="C205" s="0" t="n">
        <f aca="false">B205+C204</f>
        <v>1.99590526310821</v>
      </c>
      <c r="D205" s="0" t="n">
        <f aca="false">'Fractal root'!E115*'Fractal root'!B115/100*3</f>
        <v>0.03</v>
      </c>
      <c r="E205" s="0" t="n">
        <f aca="false">'Fractal root'!E115</f>
        <v>1</v>
      </c>
      <c r="F205" s="0" t="n">
        <f aca="false">'Fractal root'!B115</f>
        <v>1</v>
      </c>
      <c r="G205" s="0" t="n">
        <f aca="false">3.1416*E205*E205/4*3</f>
        <v>2.3562</v>
      </c>
      <c r="H205" s="0" t="n">
        <f aca="false">G205*F205</f>
        <v>2.3562</v>
      </c>
      <c r="I205" s="0" t="n">
        <f aca="false">G205*(-A205+A206)*F205</f>
        <v>-0.0573594727722774</v>
      </c>
      <c r="J205" s="0" t="n">
        <f aca="false">J204+I205/10000</f>
        <v>0.000707240959949984</v>
      </c>
    </row>
    <row r="206" customFormat="false" ht="15.75" hidden="false" customHeight="false" outlineLevel="0" collapsed="false">
      <c r="A206" s="0" t="n">
        <f aca="false">-'Fractal root'!$B$2+'Fractal root'!D116</f>
        <v>0.131485148514852</v>
      </c>
      <c r="B206" s="0" t="n">
        <f aca="false">3*'Fractal root'!O116</f>
        <v>-0.00229437891089109</v>
      </c>
      <c r="C206" s="0" t="n">
        <f aca="false">B206+C205</f>
        <v>1.99361088419732</v>
      </c>
      <c r="D206" s="0" t="n">
        <f aca="false">'Fractal root'!E116*'Fractal root'!B116/100*3</f>
        <v>0.03</v>
      </c>
      <c r="E206" s="0" t="n">
        <f aca="false">'Fractal root'!E116</f>
        <v>1</v>
      </c>
      <c r="F206" s="0" t="n">
        <f aca="false">'Fractal root'!B116</f>
        <v>1</v>
      </c>
      <c r="G206" s="0" t="n">
        <f aca="false">3.1416*E206*E206/4*3</f>
        <v>2.3562</v>
      </c>
      <c r="H206" s="0" t="n">
        <f aca="false">G206*F206</f>
        <v>2.3562</v>
      </c>
      <c r="I206" s="0" t="n">
        <f aca="false">G206*(-A206+A207)*F206</f>
        <v>-0.0588933356435646</v>
      </c>
      <c r="J206" s="0" t="n">
        <f aca="false">J205+I206/10000</f>
        <v>0.000701351626385628</v>
      </c>
    </row>
    <row r="207" customFormat="false" ht="15.75" hidden="false" customHeight="false" outlineLevel="0" collapsed="false">
      <c r="A207" s="0" t="n">
        <f aca="false">-'Fractal root'!$B$2+'Fractal root'!D117</f>
        <v>0.106490099009901</v>
      </c>
      <c r="B207" s="0" t="n">
        <f aca="false">3*'Fractal root'!O117</f>
        <v>-0.00235573342574257</v>
      </c>
      <c r="C207" s="0" t="n">
        <f aca="false">B207+C206</f>
        <v>1.99125515077157</v>
      </c>
      <c r="D207" s="0" t="n">
        <f aca="false">'Fractal root'!E117*'Fractal root'!B117/100*3</f>
        <v>0.03</v>
      </c>
      <c r="E207" s="0" t="n">
        <f aca="false">'Fractal root'!E117</f>
        <v>1</v>
      </c>
      <c r="F207" s="0" t="n">
        <f aca="false">'Fractal root'!B117</f>
        <v>1</v>
      </c>
      <c r="G207" s="0" t="n">
        <f aca="false">3.1416*E207*E207/4*3</f>
        <v>2.3562</v>
      </c>
      <c r="H207" s="0" t="n">
        <f aca="false">G207*F207</f>
        <v>2.3562</v>
      </c>
      <c r="I207" s="0" t="n">
        <f aca="false">G207*(-A207+A208)*F207</f>
        <v>-0.0604271985148507</v>
      </c>
      <c r="J207" s="0" t="n">
        <f aca="false">J206+I207/10000</f>
        <v>0.000695308906534143</v>
      </c>
    </row>
    <row r="208" customFormat="false" ht="15.75" hidden="false" customHeight="false" outlineLevel="0" collapsed="false">
      <c r="A208" s="0" t="n">
        <f aca="false">-'Fractal root'!$B$2+'Fractal root'!D118</f>
        <v>0.0808440594059411</v>
      </c>
      <c r="B208" s="0" t="n">
        <f aca="false">3*'Fractal root'!O118</f>
        <v>-0.00241708794059406</v>
      </c>
      <c r="C208" s="0" t="n">
        <f aca="false">B208+C207</f>
        <v>1.98883806283098</v>
      </c>
      <c r="D208" s="0" t="n">
        <f aca="false">'Fractal root'!E118*'Fractal root'!B118/100*3</f>
        <v>0.03</v>
      </c>
      <c r="E208" s="0" t="n">
        <f aca="false">'Fractal root'!E118</f>
        <v>1</v>
      </c>
      <c r="F208" s="0" t="n">
        <f aca="false">'Fractal root'!B118</f>
        <v>1</v>
      </c>
      <c r="G208" s="0" t="n">
        <f aca="false">3.1416*E208*E208/4*3</f>
        <v>2.3562</v>
      </c>
      <c r="H208" s="0" t="n">
        <f aca="false">G208*F208</f>
        <v>2.3562</v>
      </c>
      <c r="I208" s="0" t="n">
        <f aca="false">G208*(-A208+A209)*F208</f>
        <v>-0.0619610613861387</v>
      </c>
      <c r="J208" s="0" t="n">
        <f aca="false">J207+I208/10000</f>
        <v>0.000689112800395529</v>
      </c>
    </row>
    <row r="209" customFormat="false" ht="15.75" hidden="false" customHeight="false" outlineLevel="0" collapsed="false">
      <c r="A209" s="0" t="n">
        <f aca="false">-'Fractal root'!$B$2+'Fractal root'!D119</f>
        <v>0.0545470297029708</v>
      </c>
      <c r="B209" s="0" t="n">
        <f aca="false">3*'Fractal root'!O119</f>
        <v>-0.00247844245544554</v>
      </c>
      <c r="C209" s="0" t="n">
        <f aca="false">B209+C208</f>
        <v>1.98635962037553</v>
      </c>
      <c r="D209" s="0" t="n">
        <f aca="false">'Fractal root'!E119*'Fractal root'!B119/100*3</f>
        <v>0.03</v>
      </c>
      <c r="E209" s="0" t="n">
        <f aca="false">'Fractal root'!E119</f>
        <v>1</v>
      </c>
      <c r="F209" s="0" t="n">
        <f aca="false">'Fractal root'!B119</f>
        <v>1</v>
      </c>
      <c r="G209" s="0" t="n">
        <f aca="false">3.1416*E209*E209/4*3</f>
        <v>2.3562</v>
      </c>
      <c r="H209" s="0" t="n">
        <f aca="false">G209*F209</f>
        <v>2.3562</v>
      </c>
      <c r="I209" s="0" t="n">
        <f aca="false">G209*(-A209+A210)*F209</f>
        <v>-0.0634949242574256</v>
      </c>
      <c r="J209" s="0" t="n">
        <f aca="false">J208+I209/10000</f>
        <v>0.000682763307969786</v>
      </c>
    </row>
    <row r="210" customFormat="false" ht="15.75" hidden="false" customHeight="false" outlineLevel="0" collapsed="false">
      <c r="A210" s="0" t="n">
        <f aca="false">-'Fractal root'!$B$2+'Fractal root'!D120</f>
        <v>0.0275990099009906</v>
      </c>
      <c r="B210" s="0" t="n">
        <f aca="false">3*'Fractal root'!O120</f>
        <v>-0.00253979697029703</v>
      </c>
      <c r="C210" s="0" t="n">
        <f aca="false">B210+C209</f>
        <v>1.98381982340524</v>
      </c>
      <c r="D210" s="0" t="n">
        <f aca="false">'Fractal root'!E120*'Fractal root'!B120/100*3</f>
        <v>0.03</v>
      </c>
      <c r="E210" s="0" t="n">
        <f aca="false">'Fractal root'!E120</f>
        <v>1</v>
      </c>
      <c r="F210" s="0" t="n">
        <f aca="false">'Fractal root'!B120</f>
        <v>1</v>
      </c>
      <c r="G210" s="0" t="n">
        <f aca="false">3.1416*E210*E210/4*3</f>
        <v>2.3562</v>
      </c>
      <c r="H210" s="0" t="n">
        <f aca="false">G210*F210</f>
        <v>2.3562</v>
      </c>
      <c r="I210" s="0" t="n">
        <f aca="false">G210*(-A210+A211)*F210</f>
        <v>-0.0650287871287141</v>
      </c>
      <c r="J210" s="0" t="n">
        <f aca="false">J209+I210/10000</f>
        <v>0.000676260429256915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09"/>
  <sheetViews>
    <sheetView showFormulas="false" showGridLines="true" showRowColHeaders="true" showZeros="true" rightToLeft="false" tabSelected="false" showOutlineSymbols="true" defaultGridColor="true" view="normal" topLeftCell="E1" colorId="64" zoomScale="112" zoomScaleNormal="112" zoomScalePageLayoutView="100" workbookViewId="0">
      <selection pane="topLeft" activeCell="H310" activeCellId="0" sqref="H310"/>
    </sheetView>
  </sheetViews>
  <sheetFormatPr defaultColWidth="10.5" defaultRowHeight="15.75" zeroHeight="false" outlineLevelRow="0" outlineLevelCol="0"/>
  <cols>
    <col collapsed="false" customWidth="true" hidden="false" outlineLevel="0" max="1" min="1" style="0" width="9"/>
    <col collapsed="false" customWidth="true" hidden="false" outlineLevel="0" max="2" min="2" style="0" width="14.33"/>
    <col collapsed="false" customWidth="true" hidden="false" outlineLevel="0" max="3" min="3" style="0" width="9.66"/>
    <col collapsed="false" customWidth="true" hidden="false" outlineLevel="0" max="4" min="4" style="0" width="17.16"/>
    <col collapsed="false" customWidth="true" hidden="false" outlineLevel="0" max="5" min="5" style="0" width="54.16"/>
    <col collapsed="false" customWidth="true" hidden="false" outlineLevel="0" max="6" min="6" style="0" width="36"/>
    <col collapsed="false" customWidth="true" hidden="false" outlineLevel="0" max="7" min="7" style="0" width="16.16"/>
    <col collapsed="false" customWidth="true" hidden="false" outlineLevel="0" max="8" min="8" style="9" width="10.83"/>
    <col collapsed="false" customWidth="true" hidden="false" outlineLevel="0" max="9" min="9" style="9" width="17.67"/>
    <col collapsed="false" customWidth="true" hidden="false" outlineLevel="0" max="10" min="10" style="9" width="17.83"/>
    <col collapsed="false" customWidth="true" hidden="false" outlineLevel="0" max="11" min="11" style="0" width="10"/>
    <col collapsed="false" customWidth="true" hidden="false" outlineLevel="0" max="12" min="12" style="0" width="7.16"/>
  </cols>
  <sheetData>
    <row r="1" customFormat="false" ht="21" hidden="false" customHeight="false" outlineLevel="0" collapsed="false">
      <c r="E1" s="454" t="s">
        <v>952</v>
      </c>
      <c r="F1" s="22"/>
    </row>
    <row r="2" customFormat="false" ht="21" hidden="false" customHeight="false" outlineLevel="0" collapsed="false">
      <c r="E2" s="454" t="s">
        <v>953</v>
      </c>
      <c r="F2" s="22"/>
    </row>
    <row r="3" customFormat="false" ht="21" hidden="false" customHeight="false" outlineLevel="0" collapsed="false">
      <c r="E3" s="454" t="s">
        <v>954</v>
      </c>
      <c r="F3" s="22"/>
    </row>
    <row r="4" customFormat="false" ht="21" hidden="false" customHeight="false" outlineLevel="0" collapsed="false">
      <c r="A4" s="0" t="s">
        <v>955</v>
      </c>
      <c r="I4" s="455" t="s">
        <v>956</v>
      </c>
      <c r="J4" s="455" t="s">
        <v>957</v>
      </c>
    </row>
    <row r="5" customFormat="false" ht="25.5" hidden="false" customHeight="false" outlineLevel="0" collapsed="false">
      <c r="A5" s="456" t="n">
        <f aca="false">MAX(H:H)</f>
        <v>303</v>
      </c>
      <c r="B5" s="457" t="s">
        <v>958</v>
      </c>
      <c r="C5" s="457" t="s">
        <v>959</v>
      </c>
      <c r="D5" s="457" t="s">
        <v>960</v>
      </c>
      <c r="E5" s="458" t="s">
        <v>961</v>
      </c>
      <c r="F5" s="457" t="s">
        <v>962</v>
      </c>
      <c r="G5" s="458" t="s">
        <v>963</v>
      </c>
      <c r="H5" s="459" t="s">
        <v>964</v>
      </c>
      <c r="I5" s="459" t="s">
        <v>965</v>
      </c>
      <c r="J5" s="459" t="s">
        <v>965</v>
      </c>
    </row>
    <row r="6" customFormat="false" ht="15.75" hidden="false" customHeight="false" outlineLevel="0" collapsed="false">
      <c r="B6" s="460" t="n">
        <v>0</v>
      </c>
      <c r="C6" s="460" t="n">
        <v>0</v>
      </c>
      <c r="D6" s="460" t="n">
        <v>0</v>
      </c>
      <c r="E6" s="461" t="s">
        <v>966</v>
      </c>
      <c r="F6" s="72" t="s">
        <v>967</v>
      </c>
      <c r="G6" s="461" t="s">
        <v>431</v>
      </c>
      <c r="H6" s="462" t="n">
        <v>0</v>
      </c>
      <c r="I6" s="462" t="n">
        <v>2</v>
      </c>
      <c r="J6" s="462" t="n">
        <v>2</v>
      </c>
      <c r="K6" s="463" t="str">
        <f aca="false">IF(I6&gt;=1,"Screen","")</f>
        <v>Screen</v>
      </c>
      <c r="L6" s="463" t="str">
        <f aca="false">IF(J6&gt;=1,"File","")</f>
        <v>File</v>
      </c>
    </row>
    <row r="7" customFormat="false" ht="15.75" hidden="false" customHeight="false" outlineLevel="0" collapsed="false">
      <c r="B7" s="461" t="s">
        <v>968</v>
      </c>
      <c r="C7" s="71" t="s">
        <v>969</v>
      </c>
      <c r="D7" s="183" t="s">
        <v>970</v>
      </c>
      <c r="E7" s="72" t="s">
        <v>971</v>
      </c>
      <c r="F7" s="72" t="s">
        <v>972</v>
      </c>
      <c r="G7" s="72" t="s">
        <v>972</v>
      </c>
      <c r="H7" s="462" t="n">
        <v>1</v>
      </c>
      <c r="I7" s="462" t="n">
        <v>0</v>
      </c>
      <c r="J7" s="462" t="n">
        <v>1</v>
      </c>
      <c r="K7" s="463" t="str">
        <f aca="false">IF(I7&gt;=1,"Screen","")</f>
        <v/>
      </c>
      <c r="L7" s="463" t="str">
        <f aca="false">IF(J7&gt;=1,"File","")</f>
        <v>File</v>
      </c>
    </row>
    <row r="8" customFormat="false" ht="15.75" hidden="false" customHeight="false" outlineLevel="0" collapsed="false">
      <c r="B8" s="461" t="s">
        <v>968</v>
      </c>
      <c r="C8" s="71" t="s">
        <v>969</v>
      </c>
      <c r="D8" s="183" t="s">
        <v>970</v>
      </c>
      <c r="E8" s="72" t="s">
        <v>973</v>
      </c>
      <c r="F8" s="72" t="s">
        <v>974</v>
      </c>
      <c r="G8" s="72" t="s">
        <v>975</v>
      </c>
      <c r="H8" s="462" t="n">
        <v>2</v>
      </c>
      <c r="I8" s="462" t="n">
        <v>0</v>
      </c>
      <c r="J8" s="462" t="n">
        <v>1</v>
      </c>
      <c r="K8" s="463" t="str">
        <f aca="false">IF(I8&gt;=1,"Screen","")</f>
        <v/>
      </c>
      <c r="L8" s="463" t="str">
        <f aca="false">IF(J8&gt;=1,"File","")</f>
        <v>File</v>
      </c>
    </row>
    <row r="9" customFormat="false" ht="15.75" hidden="false" customHeight="false" outlineLevel="0" collapsed="false">
      <c r="B9" s="461" t="s">
        <v>968</v>
      </c>
      <c r="C9" s="71" t="s">
        <v>969</v>
      </c>
      <c r="D9" s="183" t="s">
        <v>970</v>
      </c>
      <c r="E9" s="72" t="s">
        <v>976</v>
      </c>
      <c r="F9" s="72" t="s">
        <v>977</v>
      </c>
      <c r="G9" s="72" t="s">
        <v>977</v>
      </c>
      <c r="H9" s="462" t="n">
        <v>3</v>
      </c>
      <c r="I9" s="462" t="n">
        <v>0</v>
      </c>
      <c r="J9" s="462" t="n">
        <v>1</v>
      </c>
      <c r="K9" s="463" t="str">
        <f aca="false">IF(I9&gt;=1,"Screen","")</f>
        <v/>
      </c>
      <c r="L9" s="463" t="str">
        <f aca="false">IF(J9&gt;=1,"File","")</f>
        <v>File</v>
      </c>
    </row>
    <row r="10" customFormat="false" ht="15.75" hidden="false" customHeight="false" outlineLevel="0" collapsed="false">
      <c r="B10" s="461" t="s">
        <v>968</v>
      </c>
      <c r="C10" s="71" t="s">
        <v>969</v>
      </c>
      <c r="D10" s="183" t="s">
        <v>970</v>
      </c>
      <c r="E10" s="72" t="s">
        <v>978</v>
      </c>
      <c r="F10" s="72" t="s">
        <v>979</v>
      </c>
      <c r="G10" s="72" t="s">
        <v>148</v>
      </c>
      <c r="H10" s="462" t="n">
        <v>4</v>
      </c>
      <c r="I10" s="462" t="n">
        <v>1</v>
      </c>
      <c r="J10" s="462" t="n">
        <v>1</v>
      </c>
      <c r="K10" s="463" t="str">
        <f aca="false">IF(I10&gt;=1,"Screen","")</f>
        <v>Screen</v>
      </c>
      <c r="L10" s="463" t="str">
        <f aca="false">IF(J10&gt;=1,"File","")</f>
        <v>File</v>
      </c>
    </row>
    <row r="11" customFormat="false" ht="15.75" hidden="false" customHeight="false" outlineLevel="0" collapsed="false">
      <c r="B11" s="461" t="s">
        <v>968</v>
      </c>
      <c r="C11" s="71" t="s">
        <v>969</v>
      </c>
      <c r="D11" s="183" t="s">
        <v>970</v>
      </c>
      <c r="E11" s="72" t="s">
        <v>980</v>
      </c>
      <c r="F11" s="72" t="s">
        <v>981</v>
      </c>
      <c r="G11" s="72" t="s">
        <v>982</v>
      </c>
      <c r="H11" s="462" t="n">
        <v>5</v>
      </c>
      <c r="I11" s="462" t="n">
        <v>0</v>
      </c>
      <c r="J11" s="462" t="n">
        <v>1</v>
      </c>
      <c r="K11" s="463" t="str">
        <f aca="false">IF(I11&gt;=1,"Screen","")</f>
        <v/>
      </c>
      <c r="L11" s="463" t="str">
        <f aca="false">IF(J11&gt;=1,"File","")</f>
        <v>File</v>
      </c>
    </row>
    <row r="12" customFormat="false" ht="15.75" hidden="false" customHeight="false" outlineLevel="0" collapsed="false">
      <c r="B12" s="461" t="s">
        <v>968</v>
      </c>
      <c r="C12" s="71" t="s">
        <v>969</v>
      </c>
      <c r="D12" s="183" t="s">
        <v>970</v>
      </c>
      <c r="E12" s="72" t="s">
        <v>983</v>
      </c>
      <c r="F12" s="72" t="s">
        <v>984</v>
      </c>
      <c r="G12" s="72" t="s">
        <v>985</v>
      </c>
      <c r="H12" s="462" t="n">
        <v>6</v>
      </c>
      <c r="I12" s="462" t="n">
        <v>0</v>
      </c>
      <c r="J12" s="462" t="n">
        <v>0</v>
      </c>
      <c r="K12" s="463" t="str">
        <f aca="false">IF(I12&gt;=1,"Screen","")</f>
        <v/>
      </c>
      <c r="L12" s="463" t="str">
        <f aca="false">IF(J12&gt;=1,"File","")</f>
        <v/>
      </c>
    </row>
    <row r="13" customFormat="false" ht="15.75" hidden="false" customHeight="false" outlineLevel="0" collapsed="false">
      <c r="B13" s="461" t="s">
        <v>968</v>
      </c>
      <c r="C13" s="71" t="s">
        <v>969</v>
      </c>
      <c r="D13" s="183" t="s">
        <v>970</v>
      </c>
      <c r="E13" s="72" t="s">
        <v>986</v>
      </c>
      <c r="F13" s="72" t="s">
        <v>987</v>
      </c>
      <c r="G13" s="72" t="s">
        <v>987</v>
      </c>
      <c r="H13" s="462" t="n">
        <v>7</v>
      </c>
      <c r="I13" s="462" t="n">
        <v>0</v>
      </c>
      <c r="J13" s="462" t="n">
        <v>0</v>
      </c>
      <c r="K13" s="463" t="str">
        <f aca="false">IF(I13&gt;=1,"Screen","")</f>
        <v/>
      </c>
      <c r="L13" s="463" t="str">
        <f aca="false">IF(J13&gt;=1,"File","")</f>
        <v/>
      </c>
    </row>
    <row r="14" customFormat="false" ht="15.75" hidden="false" customHeight="false" outlineLevel="0" collapsed="false">
      <c r="B14" s="461" t="s">
        <v>968</v>
      </c>
      <c r="C14" s="71" t="s">
        <v>969</v>
      </c>
      <c r="D14" s="183" t="s">
        <v>970</v>
      </c>
      <c r="E14" s="72" t="s">
        <v>988</v>
      </c>
      <c r="F14" s="72" t="s">
        <v>989</v>
      </c>
      <c r="G14" s="72" t="s">
        <v>990</v>
      </c>
      <c r="H14" s="462" t="n">
        <v>8</v>
      </c>
      <c r="I14" s="462" t="n">
        <v>0</v>
      </c>
      <c r="J14" s="462" t="n">
        <v>0</v>
      </c>
      <c r="K14" s="463" t="str">
        <f aca="false">IF(I14&gt;=1,"Screen","")</f>
        <v/>
      </c>
      <c r="L14" s="463" t="str">
        <f aca="false">IF(J14&gt;=1,"File","")</f>
        <v/>
      </c>
    </row>
    <row r="15" customFormat="false" ht="15.75" hidden="false" customHeight="false" outlineLevel="0" collapsed="false">
      <c r="B15" s="461" t="s">
        <v>968</v>
      </c>
      <c r="C15" s="71" t="s">
        <v>969</v>
      </c>
      <c r="D15" s="183" t="s">
        <v>970</v>
      </c>
      <c r="E15" s="72" t="s">
        <v>991</v>
      </c>
      <c r="F15" s="72" t="s">
        <v>992</v>
      </c>
      <c r="G15" s="72" t="s">
        <v>993</v>
      </c>
      <c r="H15" s="462" t="n">
        <v>9</v>
      </c>
      <c r="I15" s="462" t="n">
        <v>0</v>
      </c>
      <c r="J15" s="462" t="n">
        <v>0</v>
      </c>
      <c r="K15" s="463" t="str">
        <f aca="false">IF(I15&gt;=1,"Screen","")</f>
        <v/>
      </c>
      <c r="L15" s="463" t="str">
        <f aca="false">IF(J15&gt;=1,"File","")</f>
        <v/>
      </c>
    </row>
    <row r="16" customFormat="false" ht="15.75" hidden="false" customHeight="false" outlineLevel="0" collapsed="false">
      <c r="B16" s="461" t="s">
        <v>968</v>
      </c>
      <c r="C16" s="71" t="s">
        <v>969</v>
      </c>
      <c r="D16" s="183" t="s">
        <v>970</v>
      </c>
      <c r="E16" s="72" t="s">
        <v>994</v>
      </c>
      <c r="F16" s="72" t="s">
        <v>995</v>
      </c>
      <c r="G16" s="72" t="s">
        <v>996</v>
      </c>
      <c r="H16" s="462" t="n">
        <v>10</v>
      </c>
      <c r="I16" s="462" t="n">
        <v>0</v>
      </c>
      <c r="J16" s="462" t="n">
        <v>0</v>
      </c>
      <c r="K16" s="463" t="str">
        <f aca="false">IF(I16&gt;=1,"Screen","")</f>
        <v/>
      </c>
      <c r="L16" s="463" t="str">
        <f aca="false">IF(J16&gt;=1,"File","")</f>
        <v/>
      </c>
    </row>
    <row r="17" customFormat="false" ht="15.75" hidden="false" customHeight="false" outlineLevel="0" collapsed="false">
      <c r="B17" s="461" t="s">
        <v>968</v>
      </c>
      <c r="C17" s="71" t="s">
        <v>969</v>
      </c>
      <c r="D17" s="183" t="s">
        <v>970</v>
      </c>
      <c r="E17" s="72" t="s">
        <v>997</v>
      </c>
      <c r="F17" s="72" t="s">
        <v>998</v>
      </c>
      <c r="G17" s="72" t="s">
        <v>999</v>
      </c>
      <c r="H17" s="462" t="n">
        <v>11</v>
      </c>
      <c r="I17" s="462" t="n">
        <v>0</v>
      </c>
      <c r="J17" s="462" t="n">
        <v>0</v>
      </c>
      <c r="K17" s="463" t="str">
        <f aca="false">IF(I17&gt;=1,"Screen","")</f>
        <v/>
      </c>
      <c r="L17" s="463" t="str">
        <f aca="false">IF(J17&gt;=1,"File","")</f>
        <v/>
      </c>
    </row>
    <row r="18" customFormat="false" ht="15.75" hidden="false" customHeight="false" outlineLevel="0" collapsed="false">
      <c r="B18" s="461" t="s">
        <v>968</v>
      </c>
      <c r="C18" s="71" t="s">
        <v>969</v>
      </c>
      <c r="D18" s="183" t="s">
        <v>970</v>
      </c>
      <c r="E18" s="72" t="s">
        <v>1000</v>
      </c>
      <c r="F18" s="72" t="s">
        <v>1001</v>
      </c>
      <c r="G18" s="72" t="s">
        <v>1002</v>
      </c>
      <c r="H18" s="462" t="n">
        <v>12</v>
      </c>
      <c r="I18" s="462" t="n">
        <v>0</v>
      </c>
      <c r="J18" s="462" t="n">
        <v>0</v>
      </c>
      <c r="K18" s="463" t="str">
        <f aca="false">IF(I18&gt;=1,"Screen","")</f>
        <v/>
      </c>
      <c r="L18" s="463" t="str">
        <f aca="false">IF(J18&gt;=1,"File","")</f>
        <v/>
      </c>
    </row>
    <row r="19" customFormat="false" ht="15.75" hidden="false" customHeight="false" outlineLevel="0" collapsed="false">
      <c r="B19" s="461" t="s">
        <v>968</v>
      </c>
      <c r="C19" s="71" t="s">
        <v>969</v>
      </c>
      <c r="D19" s="183" t="s">
        <v>970</v>
      </c>
      <c r="E19" s="72" t="s">
        <v>1003</v>
      </c>
      <c r="F19" s="72" t="s">
        <v>1004</v>
      </c>
      <c r="G19" s="72" t="s">
        <v>1004</v>
      </c>
      <c r="H19" s="462" t="n">
        <v>13</v>
      </c>
      <c r="I19" s="462" t="n">
        <v>0</v>
      </c>
      <c r="J19" s="462" t="n">
        <v>0</v>
      </c>
      <c r="K19" s="463" t="str">
        <f aca="false">IF(I19&gt;=1,"Screen","")</f>
        <v/>
      </c>
      <c r="L19" s="463" t="str">
        <f aca="false">IF(J19&gt;=1,"File","")</f>
        <v/>
      </c>
    </row>
    <row r="20" customFormat="false" ht="15.75" hidden="false" customHeight="false" outlineLevel="0" collapsed="false">
      <c r="B20" s="461" t="s">
        <v>968</v>
      </c>
      <c r="C20" s="71" t="s">
        <v>969</v>
      </c>
      <c r="D20" s="183" t="s">
        <v>970</v>
      </c>
      <c r="E20" s="72" t="s">
        <v>1005</v>
      </c>
      <c r="F20" s="72" t="s">
        <v>1006</v>
      </c>
      <c r="G20" s="72" t="s">
        <v>1006</v>
      </c>
      <c r="H20" s="462" t="n">
        <v>14</v>
      </c>
      <c r="I20" s="462" t="n">
        <v>0</v>
      </c>
      <c r="J20" s="462" t="n">
        <v>0</v>
      </c>
      <c r="K20" s="463" t="str">
        <f aca="false">IF(I20&gt;=1,"Screen","")</f>
        <v/>
      </c>
      <c r="L20" s="463" t="str">
        <f aca="false">IF(J20&gt;=1,"File","")</f>
        <v/>
      </c>
    </row>
    <row r="21" customFormat="false" ht="15.75" hidden="false" customHeight="false" outlineLevel="0" collapsed="false">
      <c r="B21" s="461" t="s">
        <v>968</v>
      </c>
      <c r="C21" s="71" t="s">
        <v>969</v>
      </c>
      <c r="D21" s="183" t="s">
        <v>970</v>
      </c>
      <c r="E21" s="72" t="s">
        <v>1007</v>
      </c>
      <c r="F21" s="72" t="s">
        <v>1008</v>
      </c>
      <c r="G21" s="72" t="s">
        <v>1009</v>
      </c>
      <c r="H21" s="462" t="n">
        <v>15</v>
      </c>
      <c r="I21" s="462" t="n">
        <v>0</v>
      </c>
      <c r="J21" s="462" t="n">
        <v>0</v>
      </c>
      <c r="K21" s="463" t="str">
        <f aca="false">IF(I21&gt;=1,"Screen","")</f>
        <v/>
      </c>
      <c r="L21" s="463" t="str">
        <f aca="false">IF(J21&gt;=1,"File","")</f>
        <v/>
      </c>
    </row>
    <row r="22" customFormat="false" ht="15.75" hidden="false" customHeight="false" outlineLevel="0" collapsed="false">
      <c r="B22" s="71" t="s">
        <v>1010</v>
      </c>
      <c r="C22" s="71" t="s">
        <v>969</v>
      </c>
      <c r="D22" s="152" t="s">
        <v>1011</v>
      </c>
      <c r="E22" s="72" t="s">
        <v>1012</v>
      </c>
      <c r="F22" s="72" t="s">
        <v>1013</v>
      </c>
      <c r="G22" s="72" t="s">
        <v>1014</v>
      </c>
      <c r="H22" s="462" t="n">
        <v>16</v>
      </c>
      <c r="I22" s="462" t="n">
        <v>0</v>
      </c>
      <c r="J22" s="462" t="n">
        <v>0</v>
      </c>
      <c r="K22" s="463" t="str">
        <f aca="false">IF(I22&gt;=1,"Screen","")</f>
        <v/>
      </c>
      <c r="L22" s="463" t="str">
        <f aca="false">IF(J22&gt;=1,"File","")</f>
        <v/>
      </c>
    </row>
    <row r="23" customFormat="false" ht="15.75" hidden="false" customHeight="false" outlineLevel="0" collapsed="false">
      <c r="B23" s="71" t="s">
        <v>1010</v>
      </c>
      <c r="C23" s="71" t="s">
        <v>969</v>
      </c>
      <c r="D23" s="152" t="s">
        <v>1015</v>
      </c>
      <c r="E23" s="72" t="s">
        <v>1016</v>
      </c>
      <c r="F23" s="72" t="s">
        <v>1017</v>
      </c>
      <c r="G23" s="72" t="s">
        <v>1018</v>
      </c>
      <c r="H23" s="462" t="n">
        <v>17</v>
      </c>
      <c r="I23" s="462" t="n">
        <v>0</v>
      </c>
      <c r="J23" s="462" t="n">
        <v>0</v>
      </c>
      <c r="K23" s="463" t="str">
        <f aca="false">IF(I23&gt;=1,"Screen","")</f>
        <v/>
      </c>
      <c r="L23" s="463" t="str">
        <f aca="false">IF(J23&gt;=1,"File","")</f>
        <v/>
      </c>
    </row>
    <row r="24" customFormat="false" ht="15.75" hidden="false" customHeight="false" outlineLevel="0" collapsed="false">
      <c r="B24" s="71" t="s">
        <v>1010</v>
      </c>
      <c r="C24" s="71" t="s">
        <v>969</v>
      </c>
      <c r="D24" s="152" t="s">
        <v>1015</v>
      </c>
      <c r="E24" s="72" t="s">
        <v>1019</v>
      </c>
      <c r="F24" s="72" t="s">
        <v>1020</v>
      </c>
      <c r="G24" s="72" t="s">
        <v>1021</v>
      </c>
      <c r="H24" s="462" t="n">
        <v>18</v>
      </c>
      <c r="I24" s="462" t="n">
        <v>0</v>
      </c>
      <c r="J24" s="462" t="n">
        <v>0</v>
      </c>
      <c r="K24" s="463" t="str">
        <f aca="false">IF(I24&gt;=1,"Screen","")</f>
        <v/>
      </c>
      <c r="L24" s="463" t="str">
        <f aca="false">IF(J24&gt;=1,"File","")</f>
        <v/>
      </c>
    </row>
    <row r="25" customFormat="false" ht="15.75" hidden="false" customHeight="false" outlineLevel="0" collapsed="false">
      <c r="B25" s="161" t="s">
        <v>1022</v>
      </c>
      <c r="C25" s="71" t="s">
        <v>969</v>
      </c>
      <c r="D25" s="152" t="s">
        <v>1015</v>
      </c>
      <c r="E25" s="72" t="s">
        <v>1023</v>
      </c>
      <c r="F25" s="72" t="s">
        <v>1024</v>
      </c>
      <c r="G25" s="72" t="s">
        <v>1025</v>
      </c>
      <c r="H25" s="462" t="n">
        <v>19</v>
      </c>
      <c r="I25" s="462" t="n">
        <v>0</v>
      </c>
      <c r="J25" s="462" t="n">
        <v>0</v>
      </c>
      <c r="K25" s="463" t="str">
        <f aca="false">IF(I25&gt;=1,"Screen","")</f>
        <v/>
      </c>
      <c r="L25" s="463" t="str">
        <f aca="false">IF(J25&gt;=1,"File","")</f>
        <v/>
      </c>
    </row>
    <row r="26" customFormat="false" ht="15.75" hidden="false" customHeight="false" outlineLevel="0" collapsed="false">
      <c r="B26" s="167" t="s">
        <v>1026</v>
      </c>
      <c r="C26" s="71" t="s">
        <v>969</v>
      </c>
      <c r="D26" s="152" t="s">
        <v>1015</v>
      </c>
      <c r="E26" s="72" t="s">
        <v>1027</v>
      </c>
      <c r="F26" s="72" t="s">
        <v>1028</v>
      </c>
      <c r="G26" s="72" t="s">
        <v>1028</v>
      </c>
      <c r="H26" s="462" t="n">
        <v>20</v>
      </c>
      <c r="I26" s="462" t="n">
        <v>0</v>
      </c>
      <c r="J26" s="462" t="n">
        <v>0</v>
      </c>
      <c r="K26" s="463" t="str">
        <f aca="false">IF(I26&gt;=1,"Screen","")</f>
        <v/>
      </c>
      <c r="L26" s="463" t="str">
        <f aca="false">IF(J26&gt;=1,"File","")</f>
        <v/>
      </c>
    </row>
    <row r="27" customFormat="false" ht="15.75" hidden="false" customHeight="false" outlineLevel="0" collapsed="false">
      <c r="B27" s="152" t="s">
        <v>1029</v>
      </c>
      <c r="C27" s="71" t="s">
        <v>969</v>
      </c>
      <c r="D27" s="152" t="s">
        <v>1015</v>
      </c>
      <c r="E27" s="72" t="s">
        <v>1030</v>
      </c>
      <c r="F27" s="72" t="s">
        <v>1031</v>
      </c>
      <c r="G27" s="72" t="s">
        <v>1031</v>
      </c>
      <c r="H27" s="462" t="n">
        <v>21</v>
      </c>
      <c r="I27" s="462" t="n">
        <v>0</v>
      </c>
      <c r="J27" s="462" t="n">
        <v>0</v>
      </c>
      <c r="K27" s="463" t="str">
        <f aca="false">IF(I27&gt;=1,"Screen","")</f>
        <v/>
      </c>
      <c r="L27" s="463" t="str">
        <f aca="false">IF(J27&gt;=1,"File","")</f>
        <v/>
      </c>
    </row>
    <row r="28" customFormat="false" ht="15.75" hidden="false" customHeight="false" outlineLevel="0" collapsed="false">
      <c r="B28" s="464" t="s">
        <v>1032</v>
      </c>
      <c r="C28" s="71" t="s">
        <v>969</v>
      </c>
      <c r="D28" s="152" t="s">
        <v>1011</v>
      </c>
      <c r="E28" s="72" t="s">
        <v>1033</v>
      </c>
      <c r="F28" s="72" t="s">
        <v>1034</v>
      </c>
      <c r="G28" s="72" t="s">
        <v>1034</v>
      </c>
      <c r="H28" s="462" t="n">
        <v>22</v>
      </c>
      <c r="I28" s="462" t="n">
        <v>0</v>
      </c>
      <c r="J28" s="462" t="n">
        <v>0</v>
      </c>
      <c r="K28" s="463" t="str">
        <f aca="false">IF(I28&gt;=1,"Screen","")</f>
        <v/>
      </c>
      <c r="L28" s="463" t="str">
        <f aca="false">IF(J28&gt;=1,"File","")</f>
        <v/>
      </c>
    </row>
    <row r="29" customFormat="false" ht="15.75" hidden="false" customHeight="false" outlineLevel="0" collapsed="false">
      <c r="B29" s="464" t="s">
        <v>1032</v>
      </c>
      <c r="C29" s="71" t="s">
        <v>969</v>
      </c>
      <c r="D29" s="152" t="s">
        <v>1011</v>
      </c>
      <c r="E29" s="72" t="s">
        <v>1035</v>
      </c>
      <c r="F29" s="72" t="s">
        <v>1036</v>
      </c>
      <c r="G29" s="72" t="s">
        <v>1036</v>
      </c>
      <c r="H29" s="462" t="n">
        <v>23</v>
      </c>
      <c r="I29" s="462" t="n">
        <v>0</v>
      </c>
      <c r="J29" s="462" t="n">
        <v>0</v>
      </c>
      <c r="K29" s="463" t="str">
        <f aca="false">IF(I29&gt;=1,"Screen","")</f>
        <v/>
      </c>
      <c r="L29" s="463" t="str">
        <f aca="false">IF(J29&gt;=1,"File","")</f>
        <v/>
      </c>
    </row>
    <row r="30" customFormat="false" ht="15.75" hidden="false" customHeight="false" outlineLevel="0" collapsed="false">
      <c r="B30" s="464" t="s">
        <v>1032</v>
      </c>
      <c r="C30" s="71" t="s">
        <v>969</v>
      </c>
      <c r="D30" s="152" t="s">
        <v>1011</v>
      </c>
      <c r="E30" s="72" t="s">
        <v>1037</v>
      </c>
      <c r="F30" s="72" t="s">
        <v>1038</v>
      </c>
      <c r="G30" s="72" t="s">
        <v>1038</v>
      </c>
      <c r="H30" s="462" t="n">
        <v>24</v>
      </c>
      <c r="I30" s="462" t="n">
        <v>0</v>
      </c>
      <c r="J30" s="462" t="n">
        <v>0</v>
      </c>
      <c r="K30" s="463" t="str">
        <f aca="false">IF(I30&gt;=1,"Screen","")</f>
        <v/>
      </c>
      <c r="L30" s="463" t="str">
        <f aca="false">IF(J30&gt;=1,"File","")</f>
        <v/>
      </c>
    </row>
    <row r="31" customFormat="false" ht="15.75" hidden="false" customHeight="false" outlineLevel="0" collapsed="false">
      <c r="B31" s="318" t="s">
        <v>1039</v>
      </c>
      <c r="C31" s="71" t="s">
        <v>969</v>
      </c>
      <c r="D31" s="152" t="s">
        <v>1011</v>
      </c>
      <c r="E31" s="72" t="s">
        <v>1040</v>
      </c>
      <c r="F31" s="72" t="s">
        <v>1041</v>
      </c>
      <c r="G31" s="72" t="s">
        <v>1041</v>
      </c>
      <c r="H31" s="462" t="n">
        <v>25</v>
      </c>
      <c r="I31" s="462" t="n">
        <v>0</v>
      </c>
      <c r="J31" s="462" t="n">
        <v>0</v>
      </c>
      <c r="K31" s="463" t="str">
        <f aca="false">IF(I31&gt;=1,"Screen","")</f>
        <v/>
      </c>
      <c r="L31" s="463" t="str">
        <f aca="false">IF(J31&gt;=1,"File","")</f>
        <v/>
      </c>
    </row>
    <row r="32" customFormat="false" ht="15.75" hidden="false" customHeight="false" outlineLevel="0" collapsed="false">
      <c r="B32" s="457" t="s">
        <v>1042</v>
      </c>
      <c r="C32" s="71" t="s">
        <v>969</v>
      </c>
      <c r="D32" s="152" t="s">
        <v>1043</v>
      </c>
      <c r="E32" s="72" t="s">
        <v>1044</v>
      </c>
      <c r="F32" s="72" t="s">
        <v>1045</v>
      </c>
      <c r="G32" s="72" t="s">
        <v>1046</v>
      </c>
      <c r="H32" s="462" t="n">
        <v>26</v>
      </c>
      <c r="I32" s="462" t="n">
        <v>0</v>
      </c>
      <c r="J32" s="462" t="n">
        <v>0</v>
      </c>
      <c r="K32" s="463" t="str">
        <f aca="false">IF(I32&gt;=1,"Screen","")</f>
        <v/>
      </c>
      <c r="L32" s="463" t="str">
        <f aca="false">IF(J32&gt;=1,"File","")</f>
        <v/>
      </c>
    </row>
    <row r="33" customFormat="false" ht="15.75" hidden="false" customHeight="false" outlineLevel="0" collapsed="false">
      <c r="B33" s="457" t="s">
        <v>1042</v>
      </c>
      <c r="C33" s="71" t="s">
        <v>969</v>
      </c>
      <c r="D33" s="152" t="s">
        <v>1011</v>
      </c>
      <c r="E33" s="72" t="s">
        <v>1047</v>
      </c>
      <c r="F33" s="72" t="s">
        <v>1048</v>
      </c>
      <c r="G33" s="72" t="s">
        <v>1049</v>
      </c>
      <c r="H33" s="462" t="n">
        <v>27</v>
      </c>
      <c r="I33" s="462" t="n">
        <v>0</v>
      </c>
      <c r="J33" s="462" t="n">
        <v>0</v>
      </c>
      <c r="K33" s="463" t="str">
        <f aca="false">IF(I33&gt;=1,"Screen","")</f>
        <v/>
      </c>
      <c r="L33" s="463" t="str">
        <f aca="false">IF(J33&gt;=1,"File","")</f>
        <v/>
      </c>
    </row>
    <row r="34" customFormat="false" ht="15.75" hidden="false" customHeight="false" outlineLevel="0" collapsed="false">
      <c r="B34" s="457" t="s">
        <v>1042</v>
      </c>
      <c r="C34" s="151" t="s">
        <v>1050</v>
      </c>
      <c r="D34" s="152" t="s">
        <v>1043</v>
      </c>
      <c r="E34" s="72" t="s">
        <v>1051</v>
      </c>
      <c r="F34" s="72" t="s">
        <v>1052</v>
      </c>
      <c r="G34" s="465" t="s">
        <v>1053</v>
      </c>
      <c r="H34" s="462" t="n">
        <v>28</v>
      </c>
      <c r="I34" s="462" t="n">
        <v>0</v>
      </c>
      <c r="J34" s="462" t="n">
        <v>0</v>
      </c>
      <c r="K34" s="463" t="str">
        <f aca="false">IF(I34&gt;=1,"Screen","")</f>
        <v/>
      </c>
      <c r="L34" s="463" t="str">
        <f aca="false">IF(J34&gt;=1,"File","")</f>
        <v/>
      </c>
    </row>
    <row r="35" customFormat="false" ht="15.75" hidden="false" customHeight="false" outlineLevel="0" collapsed="false">
      <c r="B35" s="457" t="s">
        <v>1042</v>
      </c>
      <c r="C35" s="71" t="s">
        <v>969</v>
      </c>
      <c r="D35" s="466" t="s">
        <v>1054</v>
      </c>
      <c r="E35" s="72" t="s">
        <v>1055</v>
      </c>
      <c r="F35" s="72" t="s">
        <v>1056</v>
      </c>
      <c r="G35" s="72" t="s">
        <v>1057</v>
      </c>
      <c r="H35" s="462" t="n">
        <v>29</v>
      </c>
      <c r="I35" s="462" t="n">
        <v>0</v>
      </c>
      <c r="J35" s="462" t="n">
        <v>0</v>
      </c>
      <c r="K35" s="463" t="str">
        <f aca="false">IF(I35&gt;=1,"Screen","")</f>
        <v/>
      </c>
      <c r="L35" s="463" t="str">
        <f aca="false">IF(J35&gt;=1,"File","")</f>
        <v/>
      </c>
    </row>
    <row r="36" customFormat="false" ht="15.75" hidden="false" customHeight="false" outlineLevel="0" collapsed="false">
      <c r="B36" s="71" t="s">
        <v>1010</v>
      </c>
      <c r="C36" s="71" t="s">
        <v>969</v>
      </c>
      <c r="D36" s="466" t="s">
        <v>1054</v>
      </c>
      <c r="E36" s="72" t="s">
        <v>1058</v>
      </c>
      <c r="F36" s="72" t="s">
        <v>1059</v>
      </c>
      <c r="G36" s="72" t="s">
        <v>1060</v>
      </c>
      <c r="H36" s="462" t="n">
        <v>30</v>
      </c>
      <c r="I36" s="462" t="n">
        <v>0</v>
      </c>
      <c r="J36" s="462" t="n">
        <v>0</v>
      </c>
      <c r="K36" s="463" t="str">
        <f aca="false">IF(I36&gt;=1,"Screen","")</f>
        <v/>
      </c>
      <c r="L36" s="463" t="str">
        <f aca="false">IF(J36&gt;=1,"File","")</f>
        <v/>
      </c>
    </row>
    <row r="37" customFormat="false" ht="15.75" hidden="false" customHeight="false" outlineLevel="0" collapsed="false">
      <c r="B37" s="71" t="s">
        <v>1010</v>
      </c>
      <c r="C37" s="71" t="s">
        <v>969</v>
      </c>
      <c r="D37" s="466" t="s">
        <v>1054</v>
      </c>
      <c r="E37" s="72" t="s">
        <v>1061</v>
      </c>
      <c r="F37" s="72" t="s">
        <v>1062</v>
      </c>
      <c r="G37" s="72" t="s">
        <v>311</v>
      </c>
      <c r="H37" s="462" t="n">
        <v>31</v>
      </c>
      <c r="I37" s="462" t="n">
        <v>1</v>
      </c>
      <c r="J37" s="462" t="n">
        <v>1</v>
      </c>
      <c r="K37" s="463" t="str">
        <f aca="false">IF(I37&gt;=1,"Screen","")</f>
        <v>Screen</v>
      </c>
      <c r="L37" s="463" t="str">
        <f aca="false">IF(J37&gt;=1,"File","")</f>
        <v>File</v>
      </c>
    </row>
    <row r="38" customFormat="false" ht="15.75" hidden="false" customHeight="false" outlineLevel="0" collapsed="false">
      <c r="B38" s="71" t="s">
        <v>1010</v>
      </c>
      <c r="C38" s="71" t="s">
        <v>969</v>
      </c>
      <c r="D38" s="121" t="s">
        <v>1063</v>
      </c>
      <c r="E38" s="72" t="s">
        <v>1064</v>
      </c>
      <c r="F38" s="72" t="s">
        <v>1065</v>
      </c>
      <c r="G38" s="72" t="s">
        <v>1066</v>
      </c>
      <c r="H38" s="462" t="n">
        <v>32</v>
      </c>
      <c r="I38" s="462" t="n">
        <v>0</v>
      </c>
      <c r="J38" s="462" t="n">
        <v>0</v>
      </c>
      <c r="K38" s="463" t="str">
        <f aca="false">IF(I38&gt;=1,"Screen","")</f>
        <v/>
      </c>
      <c r="L38" s="463" t="str">
        <f aca="false">IF(J38&gt;=1,"File","")</f>
        <v/>
      </c>
    </row>
    <row r="39" customFormat="false" ht="15.75" hidden="false" customHeight="false" outlineLevel="0" collapsed="false">
      <c r="B39" s="71" t="s">
        <v>1010</v>
      </c>
      <c r="C39" s="71" t="s">
        <v>969</v>
      </c>
      <c r="D39" s="121" t="s">
        <v>1063</v>
      </c>
      <c r="E39" s="72" t="s">
        <v>1067</v>
      </c>
      <c r="F39" s="72" t="s">
        <v>1068</v>
      </c>
      <c r="G39" s="72" t="s">
        <v>1069</v>
      </c>
      <c r="H39" s="462" t="n">
        <v>33</v>
      </c>
      <c r="I39" s="462" t="n">
        <v>0</v>
      </c>
      <c r="J39" s="462" t="n">
        <v>0</v>
      </c>
      <c r="K39" s="463" t="str">
        <f aca="false">IF(I39&gt;=1,"Screen","")</f>
        <v/>
      </c>
      <c r="L39" s="463" t="str">
        <f aca="false">IF(J39&gt;=1,"File","")</f>
        <v/>
      </c>
    </row>
    <row r="40" customFormat="false" ht="15.75" hidden="false" customHeight="false" outlineLevel="0" collapsed="false">
      <c r="B40" s="71" t="s">
        <v>1010</v>
      </c>
      <c r="C40" s="71" t="s">
        <v>969</v>
      </c>
      <c r="D40" s="121" t="s">
        <v>1063</v>
      </c>
      <c r="E40" s="72" t="s">
        <v>1070</v>
      </c>
      <c r="F40" s="72" t="s">
        <v>1071</v>
      </c>
      <c r="G40" s="72" t="s">
        <v>1072</v>
      </c>
      <c r="H40" s="462" t="n">
        <v>34</v>
      </c>
      <c r="I40" s="462" t="n">
        <v>0</v>
      </c>
      <c r="J40" s="462" t="n">
        <v>0</v>
      </c>
      <c r="K40" s="463" t="str">
        <f aca="false">IF(I40&gt;=1,"Screen","")</f>
        <v/>
      </c>
      <c r="L40" s="463" t="str">
        <f aca="false">IF(J40&gt;=1,"File","")</f>
        <v/>
      </c>
    </row>
    <row r="41" customFormat="false" ht="15.75" hidden="false" customHeight="false" outlineLevel="0" collapsed="false">
      <c r="B41" s="71" t="s">
        <v>1010</v>
      </c>
      <c r="C41" s="71" t="s">
        <v>969</v>
      </c>
      <c r="D41" s="121" t="s">
        <v>1063</v>
      </c>
      <c r="E41" s="72" t="s">
        <v>1073</v>
      </c>
      <c r="F41" s="72" t="s">
        <v>1074</v>
      </c>
      <c r="G41" s="72" t="s">
        <v>1074</v>
      </c>
      <c r="H41" s="462" t="n">
        <v>35</v>
      </c>
      <c r="I41" s="462" t="n">
        <v>0</v>
      </c>
      <c r="J41" s="462" t="n">
        <v>0</v>
      </c>
      <c r="K41" s="463" t="str">
        <f aca="false">IF(I41&gt;=1,"Screen","")</f>
        <v/>
      </c>
      <c r="L41" s="463" t="str">
        <f aca="false">IF(J41&gt;=1,"File","")</f>
        <v/>
      </c>
    </row>
    <row r="42" customFormat="false" ht="15.75" hidden="false" customHeight="false" outlineLevel="0" collapsed="false">
      <c r="B42" s="71" t="s">
        <v>1010</v>
      </c>
      <c r="C42" s="71" t="s">
        <v>969</v>
      </c>
      <c r="D42" s="121" t="s">
        <v>1063</v>
      </c>
      <c r="E42" s="72" t="s">
        <v>1075</v>
      </c>
      <c r="F42" s="72" t="s">
        <v>1076</v>
      </c>
      <c r="G42" s="72" t="s">
        <v>1077</v>
      </c>
      <c r="H42" s="462" t="n">
        <v>36</v>
      </c>
      <c r="I42" s="462" t="n">
        <v>0</v>
      </c>
      <c r="J42" s="462" t="n">
        <v>0</v>
      </c>
      <c r="K42" s="463" t="str">
        <f aca="false">IF(I42&gt;=1,"Screen","")</f>
        <v/>
      </c>
      <c r="L42" s="463" t="str">
        <f aca="false">IF(J42&gt;=1,"File","")</f>
        <v/>
      </c>
    </row>
    <row r="43" customFormat="false" ht="15.75" hidden="false" customHeight="false" outlineLevel="0" collapsed="false">
      <c r="B43" s="152" t="s">
        <v>1029</v>
      </c>
      <c r="C43" s="71" t="s">
        <v>969</v>
      </c>
      <c r="D43" s="121" t="s">
        <v>1063</v>
      </c>
      <c r="E43" s="72" t="s">
        <v>1078</v>
      </c>
      <c r="F43" s="72" t="s">
        <v>1079</v>
      </c>
      <c r="G43" s="72" t="s">
        <v>1080</v>
      </c>
      <c r="H43" s="462" t="n">
        <v>37</v>
      </c>
      <c r="I43" s="462" t="n">
        <v>0</v>
      </c>
      <c r="J43" s="462" t="n">
        <v>0</v>
      </c>
      <c r="K43" s="463" t="str">
        <f aca="false">IF(I43&gt;=1,"Screen","")</f>
        <v/>
      </c>
      <c r="L43" s="463" t="str">
        <f aca="false">IF(J43&gt;=1,"File","")</f>
        <v/>
      </c>
    </row>
    <row r="44" customFormat="false" ht="15.75" hidden="false" customHeight="false" outlineLevel="0" collapsed="false">
      <c r="B44" s="152" t="s">
        <v>1029</v>
      </c>
      <c r="C44" s="71" t="s">
        <v>969</v>
      </c>
      <c r="D44" s="121" t="s">
        <v>1063</v>
      </c>
      <c r="E44" s="72" t="s">
        <v>1081</v>
      </c>
      <c r="F44" s="72" t="s">
        <v>1082</v>
      </c>
      <c r="G44" s="72" t="s">
        <v>1083</v>
      </c>
      <c r="H44" s="462" t="n">
        <v>38</v>
      </c>
      <c r="I44" s="462" t="n">
        <v>0</v>
      </c>
      <c r="J44" s="462" t="n">
        <v>0</v>
      </c>
      <c r="K44" s="463" t="str">
        <f aca="false">IF(I44&gt;=1,"Screen","")</f>
        <v/>
      </c>
      <c r="L44" s="463" t="str">
        <f aca="false">IF(J44&gt;=1,"File","")</f>
        <v/>
      </c>
    </row>
    <row r="45" customFormat="false" ht="15.75" hidden="false" customHeight="false" outlineLevel="0" collapsed="false">
      <c r="B45" s="161" t="s">
        <v>1022</v>
      </c>
      <c r="C45" s="71" t="s">
        <v>969</v>
      </c>
      <c r="D45" s="121" t="s">
        <v>1063</v>
      </c>
      <c r="E45" s="72" t="s">
        <v>1084</v>
      </c>
      <c r="F45" s="72" t="s">
        <v>1085</v>
      </c>
      <c r="G45" s="72" t="s">
        <v>1086</v>
      </c>
      <c r="H45" s="462" t="n">
        <v>39</v>
      </c>
      <c r="I45" s="462" t="n">
        <v>0</v>
      </c>
      <c r="J45" s="462" t="n">
        <v>0</v>
      </c>
      <c r="K45" s="463" t="str">
        <f aca="false">IF(I45&gt;=1,"Screen","")</f>
        <v/>
      </c>
      <c r="L45" s="463" t="str">
        <f aca="false">IF(J45&gt;=1,"File","")</f>
        <v/>
      </c>
    </row>
    <row r="46" customFormat="false" ht="15.75" hidden="false" customHeight="false" outlineLevel="0" collapsed="false">
      <c r="B46" s="161" t="s">
        <v>1022</v>
      </c>
      <c r="C46" s="71" t="s">
        <v>969</v>
      </c>
      <c r="D46" s="121" t="s">
        <v>1063</v>
      </c>
      <c r="E46" s="72" t="s">
        <v>1087</v>
      </c>
      <c r="F46" s="72" t="s">
        <v>1088</v>
      </c>
      <c r="G46" s="72" t="s">
        <v>1089</v>
      </c>
      <c r="H46" s="462" t="n">
        <v>40</v>
      </c>
      <c r="I46" s="462" t="n">
        <v>0</v>
      </c>
      <c r="J46" s="462" t="n">
        <v>0</v>
      </c>
      <c r="K46" s="463" t="str">
        <f aca="false">IF(I46&gt;=1,"Screen","")</f>
        <v/>
      </c>
      <c r="L46" s="463" t="str">
        <f aca="false">IF(J46&gt;=1,"File","")</f>
        <v/>
      </c>
    </row>
    <row r="47" customFormat="false" ht="15.75" hidden="false" customHeight="false" outlineLevel="0" collapsed="false">
      <c r="B47" s="167" t="s">
        <v>1026</v>
      </c>
      <c r="C47" s="71" t="s">
        <v>969</v>
      </c>
      <c r="D47" s="121" t="s">
        <v>1063</v>
      </c>
      <c r="E47" s="72" t="s">
        <v>1090</v>
      </c>
      <c r="F47" s="72" t="s">
        <v>1091</v>
      </c>
      <c r="G47" s="72" t="s">
        <v>1092</v>
      </c>
      <c r="H47" s="462" t="n">
        <v>41</v>
      </c>
      <c r="I47" s="462" t="n">
        <v>0</v>
      </c>
      <c r="J47" s="462" t="n">
        <v>0</v>
      </c>
      <c r="K47" s="463" t="str">
        <f aca="false">IF(I47&gt;=1,"Screen","")</f>
        <v/>
      </c>
      <c r="L47" s="463" t="str">
        <f aca="false">IF(J47&gt;=1,"File","")</f>
        <v/>
      </c>
    </row>
    <row r="48" customFormat="false" ht="15.75" hidden="false" customHeight="false" outlineLevel="0" collapsed="false">
      <c r="B48" s="167" t="s">
        <v>1026</v>
      </c>
      <c r="C48" s="71" t="s">
        <v>969</v>
      </c>
      <c r="D48" s="121" t="s">
        <v>1063</v>
      </c>
      <c r="E48" s="72" t="s">
        <v>1093</v>
      </c>
      <c r="F48" s="72" t="s">
        <v>1094</v>
      </c>
      <c r="G48" s="72" t="s">
        <v>1095</v>
      </c>
      <c r="H48" s="462" t="n">
        <v>42</v>
      </c>
      <c r="I48" s="462" t="n">
        <v>0</v>
      </c>
      <c r="J48" s="462" t="n">
        <v>0</v>
      </c>
      <c r="K48" s="463" t="str">
        <f aca="false">IF(I48&gt;=1,"Screen","")</f>
        <v/>
      </c>
      <c r="L48" s="463" t="str">
        <f aca="false">IF(J48&gt;=1,"File","")</f>
        <v/>
      </c>
    </row>
    <row r="49" customFormat="false" ht="15.75" hidden="false" customHeight="false" outlineLevel="0" collapsed="false">
      <c r="B49" s="167" t="s">
        <v>1026</v>
      </c>
      <c r="C49" s="71" t="s">
        <v>969</v>
      </c>
      <c r="D49" s="121" t="s">
        <v>1063</v>
      </c>
      <c r="E49" s="72" t="s">
        <v>1096</v>
      </c>
      <c r="F49" s="72" t="s">
        <v>1097</v>
      </c>
      <c r="G49" s="72" t="s">
        <v>1098</v>
      </c>
      <c r="H49" s="462" t="n">
        <v>43</v>
      </c>
      <c r="I49" s="462" t="n">
        <v>0</v>
      </c>
      <c r="J49" s="462" t="n">
        <v>0</v>
      </c>
      <c r="K49" s="463" t="str">
        <f aca="false">IF(I49&gt;=1,"Screen","")</f>
        <v/>
      </c>
      <c r="L49" s="463" t="str">
        <f aca="false">IF(J49&gt;=1,"File","")</f>
        <v/>
      </c>
    </row>
    <row r="50" customFormat="false" ht="15.75" hidden="false" customHeight="false" outlineLevel="0" collapsed="false">
      <c r="B50" s="464" t="s">
        <v>1032</v>
      </c>
      <c r="C50" s="71" t="s">
        <v>969</v>
      </c>
      <c r="D50" s="121" t="s">
        <v>1063</v>
      </c>
      <c r="E50" s="72" t="s">
        <v>1099</v>
      </c>
      <c r="F50" s="72" t="s">
        <v>1100</v>
      </c>
      <c r="G50" s="72" t="s">
        <v>1101</v>
      </c>
      <c r="H50" s="462" t="n">
        <v>44</v>
      </c>
      <c r="I50" s="462" t="n">
        <v>0</v>
      </c>
      <c r="J50" s="462" t="n">
        <v>0</v>
      </c>
      <c r="K50" s="463" t="str">
        <f aca="false">IF(I50&gt;=1,"Screen","")</f>
        <v/>
      </c>
      <c r="L50" s="463" t="str">
        <f aca="false">IF(J50&gt;=1,"File","")</f>
        <v/>
      </c>
    </row>
    <row r="51" customFormat="false" ht="15.75" hidden="false" customHeight="false" outlineLevel="0" collapsed="false">
      <c r="B51" s="464" t="s">
        <v>1032</v>
      </c>
      <c r="C51" s="71" t="s">
        <v>969</v>
      </c>
      <c r="D51" s="121" t="s">
        <v>1063</v>
      </c>
      <c r="E51" s="72" t="s">
        <v>1102</v>
      </c>
      <c r="F51" s="72" t="s">
        <v>1103</v>
      </c>
      <c r="G51" s="72" t="s">
        <v>1104</v>
      </c>
      <c r="H51" s="462" t="n">
        <v>45</v>
      </c>
      <c r="I51" s="462" t="n">
        <v>0</v>
      </c>
      <c r="J51" s="462" t="n">
        <v>0</v>
      </c>
      <c r="K51" s="463" t="str">
        <f aca="false">IF(I51&gt;=1,"Screen","")</f>
        <v/>
      </c>
      <c r="L51" s="463" t="str">
        <f aca="false">IF(J51&gt;=1,"File","")</f>
        <v/>
      </c>
    </row>
    <row r="52" customFormat="false" ht="15.75" hidden="false" customHeight="false" outlineLevel="0" collapsed="false">
      <c r="B52" s="464" t="s">
        <v>1032</v>
      </c>
      <c r="C52" s="71" t="s">
        <v>969</v>
      </c>
      <c r="D52" s="121" t="s">
        <v>1063</v>
      </c>
      <c r="E52" s="72" t="s">
        <v>1105</v>
      </c>
      <c r="F52" s="72" t="s">
        <v>1106</v>
      </c>
      <c r="G52" s="72" t="s">
        <v>1107</v>
      </c>
      <c r="H52" s="462" t="n">
        <v>46</v>
      </c>
      <c r="I52" s="462" t="n">
        <v>0</v>
      </c>
      <c r="J52" s="462" t="n">
        <v>0</v>
      </c>
      <c r="K52" s="463" t="str">
        <f aca="false">IF(I52&gt;=1,"Screen","")</f>
        <v/>
      </c>
      <c r="L52" s="463" t="str">
        <f aca="false">IF(J52&gt;=1,"File","")</f>
        <v/>
      </c>
    </row>
    <row r="53" customFormat="false" ht="15.75" hidden="false" customHeight="false" outlineLevel="0" collapsed="false">
      <c r="B53" s="464" t="s">
        <v>1032</v>
      </c>
      <c r="C53" s="71" t="s">
        <v>969</v>
      </c>
      <c r="D53" s="121" t="s">
        <v>1063</v>
      </c>
      <c r="E53" s="72" t="s">
        <v>1108</v>
      </c>
      <c r="F53" s="72" t="s">
        <v>1109</v>
      </c>
      <c r="G53" s="72" t="s">
        <v>1110</v>
      </c>
      <c r="H53" s="462" t="n">
        <v>47</v>
      </c>
      <c r="I53" s="462" t="n">
        <v>0</v>
      </c>
      <c r="J53" s="462" t="n">
        <v>0</v>
      </c>
      <c r="K53" s="463" t="str">
        <f aca="false">IF(I53&gt;=1,"Screen","")</f>
        <v/>
      </c>
      <c r="L53" s="463" t="str">
        <f aca="false">IF(J53&gt;=1,"File","")</f>
        <v/>
      </c>
    </row>
    <row r="54" customFormat="false" ht="15.75" hidden="false" customHeight="false" outlineLevel="0" collapsed="false">
      <c r="B54" s="464" t="s">
        <v>1032</v>
      </c>
      <c r="C54" s="71" t="s">
        <v>969</v>
      </c>
      <c r="D54" s="121" t="s">
        <v>1063</v>
      </c>
      <c r="E54" s="72" t="s">
        <v>1111</v>
      </c>
      <c r="F54" s="72" t="s">
        <v>1112</v>
      </c>
      <c r="G54" s="72" t="s">
        <v>1113</v>
      </c>
      <c r="H54" s="462" t="n">
        <v>48</v>
      </c>
      <c r="I54" s="462" t="n">
        <v>0</v>
      </c>
      <c r="J54" s="462" t="n">
        <v>0</v>
      </c>
      <c r="K54" s="463" t="str">
        <f aca="false">IF(I54&gt;=1,"Screen","")</f>
        <v/>
      </c>
      <c r="L54" s="463" t="str">
        <f aca="false">IF(J54&gt;=1,"File","")</f>
        <v/>
      </c>
    </row>
    <row r="55" customFormat="false" ht="15.75" hidden="false" customHeight="false" outlineLevel="0" collapsed="false">
      <c r="B55" s="464" t="s">
        <v>1032</v>
      </c>
      <c r="C55" s="71" t="s">
        <v>969</v>
      </c>
      <c r="D55" s="121" t="s">
        <v>1063</v>
      </c>
      <c r="E55" s="72" t="s">
        <v>1114</v>
      </c>
      <c r="F55" s="72" t="s">
        <v>1115</v>
      </c>
      <c r="G55" s="72" t="s">
        <v>1116</v>
      </c>
      <c r="H55" s="462" t="n">
        <v>49</v>
      </c>
      <c r="I55" s="462" t="n">
        <v>0</v>
      </c>
      <c r="J55" s="462" t="n">
        <v>0</v>
      </c>
      <c r="K55" s="463" t="str">
        <f aca="false">IF(I55&gt;=1,"Screen","")</f>
        <v/>
      </c>
      <c r="L55" s="463" t="str">
        <f aca="false">IF(J55&gt;=1,"File","")</f>
        <v/>
      </c>
    </row>
    <row r="56" customFormat="false" ht="15.75" hidden="false" customHeight="false" outlineLevel="0" collapsed="false">
      <c r="B56" s="464" t="s">
        <v>1032</v>
      </c>
      <c r="C56" s="71" t="s">
        <v>969</v>
      </c>
      <c r="D56" s="121" t="s">
        <v>1063</v>
      </c>
      <c r="E56" s="72" t="s">
        <v>1117</v>
      </c>
      <c r="F56" s="72" t="s">
        <v>1118</v>
      </c>
      <c r="G56" s="72" t="s">
        <v>1119</v>
      </c>
      <c r="H56" s="462" t="n">
        <v>50</v>
      </c>
      <c r="I56" s="462" t="n">
        <v>0</v>
      </c>
      <c r="J56" s="462" t="n">
        <v>0</v>
      </c>
      <c r="K56" s="463" t="str">
        <f aca="false">IF(I56&gt;=1,"Screen","")</f>
        <v/>
      </c>
      <c r="L56" s="463" t="str">
        <f aca="false">IF(J56&gt;=1,"File","")</f>
        <v/>
      </c>
    </row>
    <row r="57" customFormat="false" ht="15.75" hidden="false" customHeight="false" outlineLevel="0" collapsed="false">
      <c r="B57" s="464" t="s">
        <v>1032</v>
      </c>
      <c r="C57" s="71" t="s">
        <v>969</v>
      </c>
      <c r="D57" s="121" t="s">
        <v>1063</v>
      </c>
      <c r="E57" s="72" t="s">
        <v>1120</v>
      </c>
      <c r="F57" s="72" t="s">
        <v>1121</v>
      </c>
      <c r="G57" s="72" t="s">
        <v>1122</v>
      </c>
      <c r="H57" s="462" t="n">
        <v>51</v>
      </c>
      <c r="I57" s="462" t="n">
        <v>0</v>
      </c>
      <c r="J57" s="462" t="n">
        <v>0</v>
      </c>
      <c r="K57" s="463" t="str">
        <f aca="false">IF(I57&gt;=1,"Screen","")</f>
        <v/>
      </c>
      <c r="L57" s="463" t="str">
        <f aca="false">IF(J57&gt;=1,"File","")</f>
        <v/>
      </c>
    </row>
    <row r="58" customFormat="false" ht="15.75" hidden="false" customHeight="false" outlineLevel="0" collapsed="false">
      <c r="B58" s="464" t="s">
        <v>1032</v>
      </c>
      <c r="C58" s="71" t="s">
        <v>969</v>
      </c>
      <c r="D58" s="121" t="s">
        <v>1063</v>
      </c>
      <c r="E58" s="72" t="s">
        <v>1123</v>
      </c>
      <c r="F58" s="72" t="s">
        <v>1124</v>
      </c>
      <c r="G58" s="72" t="s">
        <v>1125</v>
      </c>
      <c r="H58" s="462" t="n">
        <v>52</v>
      </c>
      <c r="I58" s="462" t="n">
        <v>0</v>
      </c>
      <c r="J58" s="462" t="n">
        <v>0</v>
      </c>
      <c r="K58" s="463" t="str">
        <f aca="false">IF(I58&gt;=1,"Screen","")</f>
        <v/>
      </c>
      <c r="L58" s="463" t="str">
        <f aca="false">IF(J58&gt;=1,"File","")</f>
        <v/>
      </c>
    </row>
    <row r="59" customFormat="false" ht="15.75" hidden="false" customHeight="false" outlineLevel="0" collapsed="false">
      <c r="B59" s="318" t="s">
        <v>1039</v>
      </c>
      <c r="C59" s="71" t="s">
        <v>969</v>
      </c>
      <c r="D59" s="121" t="s">
        <v>1063</v>
      </c>
      <c r="E59" s="72" t="s">
        <v>1126</v>
      </c>
      <c r="F59" s="72" t="s">
        <v>1127</v>
      </c>
      <c r="G59" s="72" t="s">
        <v>1128</v>
      </c>
      <c r="H59" s="462" t="n">
        <v>53</v>
      </c>
      <c r="I59" s="462" t="n">
        <v>0</v>
      </c>
      <c r="J59" s="462" t="n">
        <v>0</v>
      </c>
      <c r="K59" s="463" t="str">
        <f aca="false">IF(I59&gt;=1,"Screen","")</f>
        <v/>
      </c>
      <c r="L59" s="463" t="str">
        <f aca="false">IF(J59&gt;=1,"File","")</f>
        <v/>
      </c>
    </row>
    <row r="60" customFormat="false" ht="15.75" hidden="false" customHeight="false" outlineLevel="0" collapsed="false">
      <c r="B60" s="318" t="s">
        <v>1039</v>
      </c>
      <c r="C60" s="71" t="s">
        <v>969</v>
      </c>
      <c r="D60" s="121" t="s">
        <v>1063</v>
      </c>
      <c r="E60" s="72" t="s">
        <v>1129</v>
      </c>
      <c r="F60" s="72" t="s">
        <v>1130</v>
      </c>
      <c r="G60" s="72" t="s">
        <v>1131</v>
      </c>
      <c r="H60" s="462" t="n">
        <v>54</v>
      </c>
      <c r="I60" s="462" t="n">
        <v>0</v>
      </c>
      <c r="J60" s="462" t="n">
        <v>0</v>
      </c>
      <c r="K60" s="463" t="str">
        <f aca="false">IF(I60&gt;=1,"Screen","")</f>
        <v/>
      </c>
      <c r="L60" s="463" t="str">
        <f aca="false">IF(J60&gt;=1,"File","")</f>
        <v/>
      </c>
    </row>
    <row r="61" customFormat="false" ht="15.75" hidden="false" customHeight="false" outlineLevel="0" collapsed="false">
      <c r="B61" s="318" t="s">
        <v>1039</v>
      </c>
      <c r="C61" s="71" t="s">
        <v>969</v>
      </c>
      <c r="D61" s="121" t="s">
        <v>1063</v>
      </c>
      <c r="E61" s="72" t="s">
        <v>1132</v>
      </c>
      <c r="F61" s="72" t="s">
        <v>1133</v>
      </c>
      <c r="G61" s="72" t="s">
        <v>1134</v>
      </c>
      <c r="H61" s="462" t="n">
        <v>55</v>
      </c>
      <c r="I61" s="462" t="n">
        <v>0</v>
      </c>
      <c r="J61" s="462" t="n">
        <v>0</v>
      </c>
      <c r="K61" s="463" t="str">
        <f aca="false">IF(I61&gt;=1,"Screen","")</f>
        <v/>
      </c>
      <c r="L61" s="463" t="str">
        <f aca="false">IF(J61&gt;=1,"File","")</f>
        <v/>
      </c>
    </row>
    <row r="62" customFormat="false" ht="15.75" hidden="false" customHeight="false" outlineLevel="0" collapsed="false">
      <c r="B62" s="318" t="s">
        <v>1039</v>
      </c>
      <c r="C62" s="71" t="s">
        <v>969</v>
      </c>
      <c r="D62" s="161" t="s">
        <v>1135</v>
      </c>
      <c r="E62" s="72" t="s">
        <v>1136</v>
      </c>
      <c r="F62" s="72" t="s">
        <v>1137</v>
      </c>
      <c r="G62" s="72" t="s">
        <v>1138</v>
      </c>
      <c r="H62" s="462" t="n">
        <v>56</v>
      </c>
      <c r="I62" s="462" t="n">
        <v>0</v>
      </c>
      <c r="J62" s="462" t="n">
        <v>0</v>
      </c>
      <c r="K62" s="463" t="str">
        <f aca="false">IF(I62&gt;=1,"Screen","")</f>
        <v/>
      </c>
      <c r="L62" s="463" t="str">
        <f aca="false">IF(J62&gt;=1,"File","")</f>
        <v/>
      </c>
    </row>
    <row r="63" customFormat="false" ht="15.75" hidden="false" customHeight="false" outlineLevel="0" collapsed="false">
      <c r="B63" s="318" t="s">
        <v>1039</v>
      </c>
      <c r="C63" s="71" t="s">
        <v>969</v>
      </c>
      <c r="D63" s="161" t="s">
        <v>1135</v>
      </c>
      <c r="E63" s="72" t="s">
        <v>1139</v>
      </c>
      <c r="F63" s="72" t="s">
        <v>1140</v>
      </c>
      <c r="G63" s="72" t="s">
        <v>1140</v>
      </c>
      <c r="H63" s="462" t="n">
        <v>57</v>
      </c>
      <c r="I63" s="462" t="n">
        <v>0</v>
      </c>
      <c r="J63" s="462" t="n">
        <v>0</v>
      </c>
      <c r="K63" s="463" t="str">
        <f aca="false">IF(I63&gt;=1,"Screen","")</f>
        <v/>
      </c>
      <c r="L63" s="463" t="str">
        <f aca="false">IF(J63&gt;=1,"File","")</f>
        <v/>
      </c>
    </row>
    <row r="64" customFormat="false" ht="15.75" hidden="false" customHeight="false" outlineLevel="0" collapsed="false">
      <c r="B64" s="318" t="s">
        <v>1039</v>
      </c>
      <c r="C64" s="71" t="s">
        <v>969</v>
      </c>
      <c r="D64" s="161" t="s">
        <v>1135</v>
      </c>
      <c r="E64" s="72" t="s">
        <v>1141</v>
      </c>
      <c r="F64" s="72" t="s">
        <v>1142</v>
      </c>
      <c r="G64" s="72" t="s">
        <v>1142</v>
      </c>
      <c r="H64" s="462" t="n">
        <v>58</v>
      </c>
      <c r="I64" s="462" t="n">
        <v>0</v>
      </c>
      <c r="J64" s="462" t="n">
        <v>0</v>
      </c>
      <c r="K64" s="463" t="str">
        <f aca="false">IF(I64&gt;=1,"Screen","")</f>
        <v/>
      </c>
      <c r="L64" s="463" t="str">
        <f aca="false">IF(J64&gt;=1,"File","")</f>
        <v/>
      </c>
    </row>
    <row r="65" customFormat="false" ht="15.75" hidden="false" customHeight="false" outlineLevel="0" collapsed="false">
      <c r="B65" s="318" t="s">
        <v>1039</v>
      </c>
      <c r="C65" s="71" t="s">
        <v>969</v>
      </c>
      <c r="D65" s="466" t="s">
        <v>1054</v>
      </c>
      <c r="E65" s="72" t="s">
        <v>1143</v>
      </c>
      <c r="F65" s="72" t="s">
        <v>1144</v>
      </c>
      <c r="G65" s="72" t="s">
        <v>1144</v>
      </c>
      <c r="H65" s="462" t="n">
        <v>59</v>
      </c>
      <c r="I65" s="462" t="n">
        <v>0</v>
      </c>
      <c r="J65" s="462" t="n">
        <v>0</v>
      </c>
      <c r="K65" s="463" t="str">
        <f aca="false">IF(I65&gt;=1,"Screen","")</f>
        <v/>
      </c>
      <c r="L65" s="463" t="str">
        <f aca="false">IF(J65&gt;=1,"File","")</f>
        <v/>
      </c>
    </row>
    <row r="66" customFormat="false" ht="15.75" hidden="false" customHeight="false" outlineLevel="0" collapsed="false">
      <c r="B66" s="318" t="s">
        <v>1039</v>
      </c>
      <c r="C66" s="71" t="s">
        <v>969</v>
      </c>
      <c r="D66" s="466" t="s">
        <v>1054</v>
      </c>
      <c r="E66" s="72" t="s">
        <v>1145</v>
      </c>
      <c r="F66" s="72" t="s">
        <v>1146</v>
      </c>
      <c r="G66" s="72" t="s">
        <v>1146</v>
      </c>
      <c r="H66" s="462" t="n">
        <v>60</v>
      </c>
      <c r="I66" s="462" t="n">
        <v>0</v>
      </c>
      <c r="J66" s="462" t="n">
        <v>0</v>
      </c>
      <c r="K66" s="463" t="str">
        <f aca="false">IF(I66&gt;=1,"Screen","")</f>
        <v/>
      </c>
      <c r="L66" s="463" t="str">
        <f aca="false">IF(J66&gt;=1,"File","")</f>
        <v/>
      </c>
    </row>
    <row r="67" customFormat="false" ht="15.75" hidden="false" customHeight="false" outlineLevel="0" collapsed="false">
      <c r="B67" s="318" t="s">
        <v>1039</v>
      </c>
      <c r="C67" s="71" t="s">
        <v>969</v>
      </c>
      <c r="D67" s="466" t="s">
        <v>1054</v>
      </c>
      <c r="E67" s="72" t="s">
        <v>1147</v>
      </c>
      <c r="F67" s="72" t="s">
        <v>1148</v>
      </c>
      <c r="G67" s="72" t="s">
        <v>1148</v>
      </c>
      <c r="H67" s="462" t="n">
        <v>61</v>
      </c>
      <c r="I67" s="462" t="n">
        <v>0</v>
      </c>
      <c r="J67" s="462" t="n">
        <v>0</v>
      </c>
      <c r="K67" s="463" t="str">
        <f aca="false">IF(I67&gt;=1,"Screen","")</f>
        <v/>
      </c>
      <c r="L67" s="463" t="str">
        <f aca="false">IF(J67&gt;=1,"File","")</f>
        <v/>
      </c>
    </row>
    <row r="68" customFormat="false" ht="15.75" hidden="false" customHeight="false" outlineLevel="0" collapsed="false">
      <c r="B68" s="318" t="s">
        <v>1039</v>
      </c>
      <c r="C68" s="71" t="s">
        <v>969</v>
      </c>
      <c r="D68" s="466" t="s">
        <v>1054</v>
      </c>
      <c r="E68" s="72" t="s">
        <v>1149</v>
      </c>
      <c r="F68" s="72" t="s">
        <v>1150</v>
      </c>
      <c r="G68" s="72" t="s">
        <v>1151</v>
      </c>
      <c r="H68" s="462" t="n">
        <v>62</v>
      </c>
      <c r="I68" s="462" t="n">
        <v>0</v>
      </c>
      <c r="J68" s="462" t="n">
        <v>0</v>
      </c>
      <c r="K68" s="463" t="str">
        <f aca="false">IF(I68&gt;=1,"Screen","")</f>
        <v/>
      </c>
      <c r="L68" s="463" t="str">
        <f aca="false">IF(J68&gt;=1,"File","")</f>
        <v/>
      </c>
    </row>
    <row r="69" customFormat="false" ht="15.75" hidden="false" customHeight="false" outlineLevel="0" collapsed="false">
      <c r="B69" s="318" t="s">
        <v>1039</v>
      </c>
      <c r="C69" s="71" t="s">
        <v>969</v>
      </c>
      <c r="D69" s="466" t="s">
        <v>1054</v>
      </c>
      <c r="E69" s="72" t="s">
        <v>1152</v>
      </c>
      <c r="F69" s="72" t="s">
        <v>1153</v>
      </c>
      <c r="G69" s="72" t="s">
        <v>1154</v>
      </c>
      <c r="H69" s="462" t="n">
        <v>63</v>
      </c>
      <c r="I69" s="462" t="n">
        <v>0</v>
      </c>
      <c r="J69" s="462" t="n">
        <v>0</v>
      </c>
      <c r="K69" s="463" t="str">
        <f aca="false">IF(I69&gt;=1,"Screen","")</f>
        <v/>
      </c>
      <c r="L69" s="463" t="str">
        <f aca="false">IF(J69&gt;=1,"File","")</f>
        <v/>
      </c>
    </row>
    <row r="70" customFormat="false" ht="15.75" hidden="false" customHeight="false" outlineLevel="0" collapsed="false">
      <c r="B70" s="318" t="s">
        <v>1039</v>
      </c>
      <c r="C70" s="71" t="s">
        <v>969</v>
      </c>
      <c r="D70" s="466" t="s">
        <v>1054</v>
      </c>
      <c r="E70" s="72" t="s">
        <v>1155</v>
      </c>
      <c r="F70" s="72" t="s">
        <v>1156</v>
      </c>
      <c r="G70" s="72" t="s">
        <v>1157</v>
      </c>
      <c r="H70" s="462" t="n">
        <v>64</v>
      </c>
      <c r="I70" s="462" t="n">
        <v>0</v>
      </c>
      <c r="J70" s="462" t="n">
        <v>0</v>
      </c>
      <c r="K70" s="463" t="str">
        <f aca="false">IF(I70&gt;=1,"Screen","")</f>
        <v/>
      </c>
      <c r="L70" s="463" t="str">
        <f aca="false">IF(J70&gt;=1,"File","")</f>
        <v/>
      </c>
    </row>
    <row r="71" customFormat="false" ht="15.75" hidden="false" customHeight="false" outlineLevel="0" collapsed="false">
      <c r="B71" s="71" t="s">
        <v>1010</v>
      </c>
      <c r="C71" s="71" t="s">
        <v>969</v>
      </c>
      <c r="D71" s="466" t="s">
        <v>1054</v>
      </c>
      <c r="E71" s="72" t="s">
        <v>1158</v>
      </c>
      <c r="F71" s="72" t="s">
        <v>1159</v>
      </c>
      <c r="G71" s="72" t="s">
        <v>1160</v>
      </c>
      <c r="H71" s="462" t="n">
        <v>65</v>
      </c>
      <c r="I71" s="462" t="n">
        <v>0</v>
      </c>
      <c r="J71" s="462" t="n">
        <v>0</v>
      </c>
      <c r="K71" s="463" t="str">
        <f aca="false">IF(I71&gt;=1,"Screen","")</f>
        <v/>
      </c>
      <c r="L71" s="463" t="str">
        <f aca="false">IF(J71&gt;=1,"File","")</f>
        <v/>
      </c>
    </row>
    <row r="72" customFormat="false" ht="15.75" hidden="false" customHeight="false" outlineLevel="0" collapsed="false">
      <c r="B72" s="71" t="s">
        <v>1010</v>
      </c>
      <c r="C72" s="71" t="s">
        <v>969</v>
      </c>
      <c r="D72" s="466" t="s">
        <v>1054</v>
      </c>
      <c r="E72" s="72" t="s">
        <v>1161</v>
      </c>
      <c r="F72" s="72" t="s">
        <v>1162</v>
      </c>
      <c r="G72" s="72" t="s">
        <v>1163</v>
      </c>
      <c r="H72" s="462" t="n">
        <v>66</v>
      </c>
      <c r="I72" s="462" t="n">
        <v>0</v>
      </c>
      <c r="J72" s="462" t="n">
        <v>0</v>
      </c>
      <c r="K72" s="463" t="str">
        <f aca="false">IF(I72&gt;=1,"Screen","")</f>
        <v/>
      </c>
      <c r="L72" s="463" t="str">
        <f aca="false">IF(J72&gt;=1,"File","")</f>
        <v/>
      </c>
    </row>
    <row r="73" customFormat="false" ht="15.75" hidden="false" customHeight="false" outlineLevel="0" collapsed="false">
      <c r="B73" s="71" t="s">
        <v>1010</v>
      </c>
      <c r="C73" s="71" t="s">
        <v>969</v>
      </c>
      <c r="D73" s="466" t="s">
        <v>1054</v>
      </c>
      <c r="E73" s="72" t="s">
        <v>1164</v>
      </c>
      <c r="F73" s="72" t="s">
        <v>1165</v>
      </c>
      <c r="G73" s="72" t="s">
        <v>1166</v>
      </c>
      <c r="H73" s="462" t="n">
        <v>67</v>
      </c>
      <c r="I73" s="462" t="n">
        <v>0</v>
      </c>
      <c r="J73" s="462" t="n">
        <v>0</v>
      </c>
      <c r="K73" s="463" t="str">
        <f aca="false">IF(I73&gt;=1,"Screen","")</f>
        <v/>
      </c>
      <c r="L73" s="463" t="str">
        <f aca="false">IF(J73&gt;=1,"File","")</f>
        <v/>
      </c>
    </row>
    <row r="74" customFormat="false" ht="15.75" hidden="false" customHeight="false" outlineLevel="0" collapsed="false">
      <c r="B74" s="464" t="s">
        <v>1032</v>
      </c>
      <c r="C74" s="71" t="s">
        <v>969</v>
      </c>
      <c r="D74" s="466" t="s">
        <v>1054</v>
      </c>
      <c r="E74" s="72" t="s">
        <v>1167</v>
      </c>
      <c r="F74" s="72" t="s">
        <v>1168</v>
      </c>
      <c r="G74" s="72" t="s">
        <v>1169</v>
      </c>
      <c r="H74" s="462" t="n">
        <v>68</v>
      </c>
      <c r="I74" s="462" t="n">
        <v>0</v>
      </c>
      <c r="J74" s="462" t="n">
        <v>0</v>
      </c>
      <c r="K74" s="463" t="str">
        <f aca="false">IF(I74&gt;=1,"Screen","")</f>
        <v/>
      </c>
      <c r="L74" s="463" t="str">
        <f aca="false">IF(J74&gt;=1,"File","")</f>
        <v/>
      </c>
    </row>
    <row r="75" customFormat="false" ht="15.75" hidden="false" customHeight="false" outlineLevel="0" collapsed="false">
      <c r="B75" s="464" t="s">
        <v>1032</v>
      </c>
      <c r="C75" s="71" t="s">
        <v>969</v>
      </c>
      <c r="D75" s="466" t="s">
        <v>1054</v>
      </c>
      <c r="E75" s="72" t="s">
        <v>1170</v>
      </c>
      <c r="F75" s="72" t="s">
        <v>1171</v>
      </c>
      <c r="G75" s="72" t="s">
        <v>1172</v>
      </c>
      <c r="H75" s="462" t="n">
        <v>69</v>
      </c>
      <c r="I75" s="462" t="n">
        <v>0</v>
      </c>
      <c r="J75" s="462" t="n">
        <v>0</v>
      </c>
      <c r="K75" s="463" t="str">
        <f aca="false">IF(I75&gt;=1,"Screen","")</f>
        <v/>
      </c>
      <c r="L75" s="463" t="str">
        <f aca="false">IF(J75&gt;=1,"File","")</f>
        <v/>
      </c>
    </row>
    <row r="76" customFormat="false" ht="15.75" hidden="false" customHeight="false" outlineLevel="0" collapsed="false">
      <c r="B76" s="464" t="s">
        <v>1032</v>
      </c>
      <c r="C76" s="71" t="s">
        <v>969</v>
      </c>
      <c r="D76" s="466" t="s">
        <v>1054</v>
      </c>
      <c r="E76" s="72" t="s">
        <v>1173</v>
      </c>
      <c r="F76" s="72" t="s">
        <v>1174</v>
      </c>
      <c r="G76" s="72" t="s">
        <v>1175</v>
      </c>
      <c r="H76" s="462" t="n">
        <v>70</v>
      </c>
      <c r="I76" s="462" t="n">
        <v>0</v>
      </c>
      <c r="J76" s="462" t="n">
        <v>0</v>
      </c>
      <c r="K76" s="463" t="str">
        <f aca="false">IF(I76&gt;=1,"Screen","")</f>
        <v/>
      </c>
      <c r="L76" s="463" t="str">
        <f aca="false">IF(J76&gt;=1,"File","")</f>
        <v/>
      </c>
    </row>
    <row r="77" customFormat="false" ht="15.75" hidden="false" customHeight="false" outlineLevel="0" collapsed="false">
      <c r="B77" s="464" t="s">
        <v>1032</v>
      </c>
      <c r="C77" s="71" t="s">
        <v>969</v>
      </c>
      <c r="D77" s="466" t="s">
        <v>1054</v>
      </c>
      <c r="E77" s="72" t="s">
        <v>1176</v>
      </c>
      <c r="F77" s="72" t="s">
        <v>1177</v>
      </c>
      <c r="G77" s="72" t="s">
        <v>1178</v>
      </c>
      <c r="H77" s="462" t="n">
        <v>71</v>
      </c>
      <c r="I77" s="462" t="n">
        <v>0</v>
      </c>
      <c r="J77" s="462" t="n">
        <v>0</v>
      </c>
      <c r="K77" s="463" t="str">
        <f aca="false">IF(I77&gt;=1,"Screen","")</f>
        <v/>
      </c>
      <c r="L77" s="463" t="str">
        <f aca="false">IF(J77&gt;=1,"File","")</f>
        <v/>
      </c>
    </row>
    <row r="78" customFormat="false" ht="15.75" hidden="false" customHeight="false" outlineLevel="0" collapsed="false">
      <c r="B78" s="464" t="s">
        <v>1032</v>
      </c>
      <c r="C78" s="71" t="s">
        <v>969</v>
      </c>
      <c r="D78" s="466" t="s">
        <v>1054</v>
      </c>
      <c r="E78" s="72" t="s">
        <v>1179</v>
      </c>
      <c r="F78" s="72" t="s">
        <v>1180</v>
      </c>
      <c r="G78" s="72" t="s">
        <v>1181</v>
      </c>
      <c r="H78" s="462" t="n">
        <v>72</v>
      </c>
      <c r="I78" s="462" t="n">
        <v>0</v>
      </c>
      <c r="J78" s="462" t="n">
        <v>0</v>
      </c>
      <c r="K78" s="463" t="str">
        <f aca="false">IF(I78&gt;=1,"Screen","")</f>
        <v/>
      </c>
      <c r="L78" s="463" t="str">
        <f aca="false">IF(J78&gt;=1,"File","")</f>
        <v/>
      </c>
    </row>
    <row r="79" customFormat="false" ht="15.75" hidden="false" customHeight="false" outlineLevel="0" collapsed="false">
      <c r="B79" s="464" t="s">
        <v>1032</v>
      </c>
      <c r="C79" s="71" t="s">
        <v>969</v>
      </c>
      <c r="D79" s="466" t="s">
        <v>1054</v>
      </c>
      <c r="E79" s="72" t="s">
        <v>1182</v>
      </c>
      <c r="F79" s="72" t="s">
        <v>1183</v>
      </c>
      <c r="G79" s="72" t="s">
        <v>1184</v>
      </c>
      <c r="H79" s="462" t="n">
        <v>73</v>
      </c>
      <c r="I79" s="462" t="n">
        <v>0</v>
      </c>
      <c r="J79" s="462" t="n">
        <v>0</v>
      </c>
      <c r="K79" s="463" t="str">
        <f aca="false">IF(I79&gt;=1,"Screen","")</f>
        <v/>
      </c>
      <c r="L79" s="463" t="str">
        <f aca="false">IF(J79&gt;=1,"File","")</f>
        <v/>
      </c>
    </row>
    <row r="80" customFormat="false" ht="15.75" hidden="false" customHeight="false" outlineLevel="0" collapsed="false">
      <c r="B80" s="464" t="s">
        <v>1032</v>
      </c>
      <c r="C80" s="71" t="s">
        <v>969</v>
      </c>
      <c r="D80" s="466" t="s">
        <v>1054</v>
      </c>
      <c r="E80" s="72" t="s">
        <v>1185</v>
      </c>
      <c r="F80" s="72" t="s">
        <v>1186</v>
      </c>
      <c r="G80" s="72" t="s">
        <v>1187</v>
      </c>
      <c r="H80" s="462" t="n">
        <v>74</v>
      </c>
      <c r="I80" s="462" t="n">
        <v>0</v>
      </c>
      <c r="J80" s="462" t="n">
        <v>0</v>
      </c>
      <c r="K80" s="463" t="str">
        <f aca="false">IF(I80&gt;=1,"Screen","")</f>
        <v/>
      </c>
      <c r="L80" s="463" t="str">
        <f aca="false">IF(J80&gt;=1,"File","")</f>
        <v/>
      </c>
    </row>
    <row r="81" customFormat="false" ht="15.75" hidden="false" customHeight="false" outlineLevel="0" collapsed="false">
      <c r="B81" s="167" t="s">
        <v>1026</v>
      </c>
      <c r="C81" s="71" t="s">
        <v>969</v>
      </c>
      <c r="D81" s="466" t="s">
        <v>1054</v>
      </c>
      <c r="E81" s="72" t="s">
        <v>1188</v>
      </c>
      <c r="F81" s="72" t="s">
        <v>1189</v>
      </c>
      <c r="G81" s="72" t="s">
        <v>1190</v>
      </c>
      <c r="H81" s="462" t="n">
        <v>75</v>
      </c>
      <c r="I81" s="462" t="n">
        <v>0</v>
      </c>
      <c r="J81" s="462" t="n">
        <v>0</v>
      </c>
      <c r="K81" s="463" t="str">
        <f aca="false">IF(I81&gt;=1,"Screen","")</f>
        <v/>
      </c>
      <c r="L81" s="463" t="str">
        <f aca="false">IF(J81&gt;=1,"File","")</f>
        <v/>
      </c>
    </row>
    <row r="82" customFormat="false" ht="15.75" hidden="false" customHeight="false" outlineLevel="0" collapsed="false">
      <c r="B82" s="457" t="s">
        <v>1042</v>
      </c>
      <c r="C82" s="71" t="s">
        <v>969</v>
      </c>
      <c r="D82" s="466" t="s">
        <v>1054</v>
      </c>
      <c r="E82" s="72" t="s">
        <v>1191</v>
      </c>
      <c r="F82" s="72" t="s">
        <v>1192</v>
      </c>
      <c r="G82" s="72" t="s">
        <v>1192</v>
      </c>
      <c r="H82" s="462" t="n">
        <v>76</v>
      </c>
      <c r="I82" s="462" t="n">
        <v>0</v>
      </c>
      <c r="J82" s="462" t="n">
        <v>0</v>
      </c>
      <c r="K82" s="463" t="str">
        <f aca="false">IF(I82&gt;=1,"Screen","")</f>
        <v/>
      </c>
      <c r="L82" s="463" t="str">
        <f aca="false">IF(J82&gt;=1,"File","")</f>
        <v/>
      </c>
    </row>
    <row r="83" customFormat="false" ht="15.75" hidden="false" customHeight="false" outlineLevel="0" collapsed="false">
      <c r="B83" s="457" t="s">
        <v>1042</v>
      </c>
      <c r="C83" s="71" t="s">
        <v>969</v>
      </c>
      <c r="D83" s="466" t="s">
        <v>1054</v>
      </c>
      <c r="E83" s="72" t="s">
        <v>1193</v>
      </c>
      <c r="F83" s="72" t="s">
        <v>1194</v>
      </c>
      <c r="G83" s="72" t="s">
        <v>1195</v>
      </c>
      <c r="H83" s="462" t="n">
        <v>77</v>
      </c>
      <c r="I83" s="462" t="n">
        <v>0</v>
      </c>
      <c r="J83" s="462" t="n">
        <v>0</v>
      </c>
      <c r="K83" s="463" t="str">
        <f aca="false">IF(I83&gt;=1,"Screen","")</f>
        <v/>
      </c>
      <c r="L83" s="463" t="str">
        <f aca="false">IF(J83&gt;=1,"File","")</f>
        <v/>
      </c>
    </row>
    <row r="84" customFormat="false" ht="15.75" hidden="false" customHeight="false" outlineLevel="0" collapsed="false">
      <c r="B84" s="71" t="s">
        <v>1010</v>
      </c>
      <c r="C84" s="71" t="s">
        <v>969</v>
      </c>
      <c r="D84" s="467" t="s">
        <v>1196</v>
      </c>
      <c r="E84" s="72" t="s">
        <v>1197</v>
      </c>
      <c r="F84" s="72" t="s">
        <v>1198</v>
      </c>
      <c r="G84" s="139" t="s">
        <v>1199</v>
      </c>
      <c r="H84" s="462" t="n">
        <v>78</v>
      </c>
      <c r="I84" s="462" t="n">
        <v>0</v>
      </c>
      <c r="J84" s="462" t="n">
        <v>0</v>
      </c>
      <c r="K84" s="463" t="str">
        <f aca="false">IF(I84&gt;=1,"Screen","")</f>
        <v/>
      </c>
      <c r="L84" s="463" t="str">
        <f aca="false">IF(J84&gt;=1,"File","")</f>
        <v/>
      </c>
    </row>
    <row r="85" customFormat="false" ht="15.75" hidden="false" customHeight="false" outlineLevel="0" collapsed="false">
      <c r="B85" s="161" t="s">
        <v>1022</v>
      </c>
      <c r="C85" s="71" t="s">
        <v>969</v>
      </c>
      <c r="D85" s="467" t="s">
        <v>1196</v>
      </c>
      <c r="E85" s="72" t="s">
        <v>1200</v>
      </c>
      <c r="F85" s="72" t="s">
        <v>1201</v>
      </c>
      <c r="G85" s="139" t="s">
        <v>1202</v>
      </c>
      <c r="H85" s="462" t="n">
        <v>79</v>
      </c>
      <c r="I85" s="462" t="n">
        <v>0</v>
      </c>
      <c r="J85" s="462" t="n">
        <v>0</v>
      </c>
      <c r="K85" s="463" t="str">
        <f aca="false">IF(I85&gt;=1,"Screen","")</f>
        <v/>
      </c>
      <c r="L85" s="463" t="str">
        <f aca="false">IF(J85&gt;=1,"File","")</f>
        <v/>
      </c>
    </row>
    <row r="86" customFormat="false" ht="15.75" hidden="false" customHeight="false" outlineLevel="0" collapsed="false">
      <c r="B86" s="152" t="s">
        <v>1029</v>
      </c>
      <c r="C86" s="71" t="s">
        <v>969</v>
      </c>
      <c r="D86" s="467" t="s">
        <v>1196</v>
      </c>
      <c r="E86" s="72" t="s">
        <v>1203</v>
      </c>
      <c r="F86" s="72" t="s">
        <v>1204</v>
      </c>
      <c r="G86" s="139" t="s">
        <v>1205</v>
      </c>
      <c r="H86" s="462" t="n">
        <v>80</v>
      </c>
      <c r="I86" s="462" t="n">
        <v>0</v>
      </c>
      <c r="J86" s="462" t="n">
        <v>0</v>
      </c>
      <c r="K86" s="463" t="str">
        <f aca="false">IF(I86&gt;=1,"Screen","")</f>
        <v/>
      </c>
      <c r="L86" s="463" t="str">
        <f aca="false">IF(J86&gt;=1,"File","")</f>
        <v/>
      </c>
    </row>
    <row r="87" customFormat="false" ht="15.75" hidden="false" customHeight="false" outlineLevel="0" collapsed="false">
      <c r="B87" s="167" t="s">
        <v>1026</v>
      </c>
      <c r="C87" s="71" t="s">
        <v>969</v>
      </c>
      <c r="D87" s="467" t="s">
        <v>1196</v>
      </c>
      <c r="E87" s="72" t="s">
        <v>1206</v>
      </c>
      <c r="F87" s="72" t="s">
        <v>1207</v>
      </c>
      <c r="G87" s="139" t="s">
        <v>1208</v>
      </c>
      <c r="H87" s="462" t="n">
        <v>81</v>
      </c>
      <c r="I87" s="462" t="n">
        <v>0</v>
      </c>
      <c r="J87" s="462" t="n">
        <v>0</v>
      </c>
      <c r="K87" s="463" t="str">
        <f aca="false">IF(I87&gt;=1,"Screen","")</f>
        <v/>
      </c>
      <c r="L87" s="463" t="str">
        <f aca="false">IF(J87&gt;=1,"File","")</f>
        <v/>
      </c>
    </row>
    <row r="88" customFormat="false" ht="15.75" hidden="false" customHeight="false" outlineLevel="0" collapsed="false">
      <c r="B88" s="464" t="s">
        <v>1032</v>
      </c>
      <c r="C88" s="71" t="s">
        <v>969</v>
      </c>
      <c r="D88" s="467" t="s">
        <v>1196</v>
      </c>
      <c r="E88" s="72" t="s">
        <v>1209</v>
      </c>
      <c r="F88" s="72" t="s">
        <v>1210</v>
      </c>
      <c r="G88" s="139" t="s">
        <v>1211</v>
      </c>
      <c r="H88" s="462" t="n">
        <v>82</v>
      </c>
      <c r="I88" s="462" t="n">
        <v>0</v>
      </c>
      <c r="J88" s="462" t="n">
        <v>0</v>
      </c>
      <c r="K88" s="463" t="str">
        <f aca="false">IF(I88&gt;=1,"Screen","")</f>
        <v/>
      </c>
      <c r="L88" s="463" t="str">
        <f aca="false">IF(J88&gt;=1,"File","")</f>
        <v/>
      </c>
    </row>
    <row r="89" customFormat="false" ht="15.75" hidden="false" customHeight="false" outlineLevel="0" collapsed="false">
      <c r="B89" s="464" t="s">
        <v>1032</v>
      </c>
      <c r="C89" s="71" t="s">
        <v>969</v>
      </c>
      <c r="D89" s="467" t="s">
        <v>1196</v>
      </c>
      <c r="E89" s="72" t="s">
        <v>1212</v>
      </c>
      <c r="F89" s="72" t="s">
        <v>1213</v>
      </c>
      <c r="G89" s="139" t="s">
        <v>1214</v>
      </c>
      <c r="H89" s="462" t="n">
        <v>83</v>
      </c>
      <c r="I89" s="462" t="n">
        <v>0</v>
      </c>
      <c r="J89" s="462" t="n">
        <v>0</v>
      </c>
      <c r="K89" s="463" t="str">
        <f aca="false">IF(I89&gt;=1,"Screen","")</f>
        <v/>
      </c>
      <c r="L89" s="463" t="str">
        <f aca="false">IF(J89&gt;=1,"File","")</f>
        <v/>
      </c>
    </row>
    <row r="90" customFormat="false" ht="15.75" hidden="false" customHeight="false" outlineLevel="0" collapsed="false">
      <c r="B90" s="464" t="s">
        <v>1032</v>
      </c>
      <c r="C90" s="71" t="s">
        <v>969</v>
      </c>
      <c r="D90" s="467" t="s">
        <v>1196</v>
      </c>
      <c r="E90" s="72" t="s">
        <v>1215</v>
      </c>
      <c r="F90" s="72" t="s">
        <v>1216</v>
      </c>
      <c r="G90" s="139" t="s">
        <v>1217</v>
      </c>
      <c r="H90" s="462" t="n">
        <v>84</v>
      </c>
      <c r="I90" s="462" t="n">
        <v>0</v>
      </c>
      <c r="J90" s="462" t="n">
        <v>0</v>
      </c>
      <c r="K90" s="463" t="str">
        <f aca="false">IF(I90&gt;=1,"Screen","")</f>
        <v/>
      </c>
      <c r="L90" s="463" t="str">
        <f aca="false">IF(J90&gt;=1,"File","")</f>
        <v/>
      </c>
    </row>
    <row r="91" customFormat="false" ht="15.75" hidden="false" customHeight="false" outlineLevel="0" collapsed="false">
      <c r="B91" s="457" t="s">
        <v>1042</v>
      </c>
      <c r="C91" s="71" t="s">
        <v>969</v>
      </c>
      <c r="D91" s="161" t="s">
        <v>424</v>
      </c>
      <c r="E91" s="72" t="s">
        <v>1218</v>
      </c>
      <c r="F91" s="72" t="s">
        <v>1219</v>
      </c>
      <c r="G91" s="72" t="s">
        <v>1220</v>
      </c>
      <c r="H91" s="462" t="n">
        <v>85</v>
      </c>
      <c r="I91" s="462" t="n">
        <v>0</v>
      </c>
      <c r="J91" s="462" t="n">
        <v>0</v>
      </c>
      <c r="K91" s="463" t="str">
        <f aca="false">IF(I91&gt;=1,"Screen","")</f>
        <v/>
      </c>
      <c r="L91" s="463" t="str">
        <f aca="false">IF(J91&gt;=1,"File","")</f>
        <v/>
      </c>
    </row>
    <row r="92" customFormat="false" ht="15.75" hidden="false" customHeight="false" outlineLevel="0" collapsed="false">
      <c r="B92" s="318" t="s">
        <v>1039</v>
      </c>
      <c r="C92" s="71" t="s">
        <v>969</v>
      </c>
      <c r="D92" s="161" t="s">
        <v>424</v>
      </c>
      <c r="E92" s="72" t="s">
        <v>1221</v>
      </c>
      <c r="F92" s="72" t="s">
        <v>1222</v>
      </c>
      <c r="G92" s="72" t="s">
        <v>1223</v>
      </c>
      <c r="H92" s="462" t="n">
        <v>86</v>
      </c>
      <c r="I92" s="462" t="n">
        <v>0</v>
      </c>
      <c r="J92" s="462" t="n">
        <v>0</v>
      </c>
      <c r="K92" s="463" t="str">
        <f aca="false">IF(I92&gt;=1,"Screen","")</f>
        <v/>
      </c>
      <c r="L92" s="463" t="str">
        <f aca="false">IF(J92&gt;=1,"File","")</f>
        <v/>
      </c>
    </row>
    <row r="93" customFormat="false" ht="15.75" hidden="false" customHeight="false" outlineLevel="0" collapsed="false">
      <c r="B93" s="71" t="s">
        <v>1010</v>
      </c>
      <c r="C93" s="71" t="s">
        <v>969</v>
      </c>
      <c r="D93" s="161" t="s">
        <v>424</v>
      </c>
      <c r="E93" s="72" t="s">
        <v>1224</v>
      </c>
      <c r="F93" s="72" t="s">
        <v>1225</v>
      </c>
      <c r="G93" s="72" t="s">
        <v>1226</v>
      </c>
      <c r="H93" s="462" t="n">
        <v>87</v>
      </c>
      <c r="I93" s="462" t="n">
        <v>0</v>
      </c>
      <c r="J93" s="462" t="n">
        <v>1</v>
      </c>
      <c r="K93" s="463" t="str">
        <f aca="false">IF(I93&gt;=1,"Screen","")</f>
        <v/>
      </c>
      <c r="L93" s="463" t="str">
        <f aca="false">IF(J93&gt;=1,"File","")</f>
        <v>File</v>
      </c>
    </row>
    <row r="94" customFormat="false" ht="15.75" hidden="false" customHeight="false" outlineLevel="0" collapsed="false">
      <c r="B94" s="71" t="s">
        <v>1010</v>
      </c>
      <c r="C94" s="71" t="s">
        <v>969</v>
      </c>
      <c r="D94" s="161" t="s">
        <v>424</v>
      </c>
      <c r="E94" s="72" t="s">
        <v>1227</v>
      </c>
      <c r="F94" s="72" t="s">
        <v>1228</v>
      </c>
      <c r="G94" s="72" t="s">
        <v>1229</v>
      </c>
      <c r="H94" s="462" t="n">
        <v>88</v>
      </c>
      <c r="I94" s="462" t="n">
        <v>0</v>
      </c>
      <c r="J94" s="462" t="n">
        <v>1</v>
      </c>
      <c r="K94" s="463" t="str">
        <f aca="false">IF(I94&gt;=1,"Screen","")</f>
        <v/>
      </c>
      <c r="L94" s="463" t="str">
        <f aca="false">IF(J94&gt;=1,"File","")</f>
        <v>File</v>
      </c>
    </row>
    <row r="95" customFormat="false" ht="15.75" hidden="false" customHeight="false" outlineLevel="0" collapsed="false">
      <c r="B95" s="71" t="s">
        <v>1010</v>
      </c>
      <c r="C95" s="71" t="s">
        <v>969</v>
      </c>
      <c r="D95" s="161" t="s">
        <v>424</v>
      </c>
      <c r="E95" s="72" t="s">
        <v>1230</v>
      </c>
      <c r="F95" s="72" t="s">
        <v>1231</v>
      </c>
      <c r="G95" s="72" t="s">
        <v>1232</v>
      </c>
      <c r="H95" s="462" t="n">
        <v>89</v>
      </c>
      <c r="I95" s="462" t="n">
        <v>0</v>
      </c>
      <c r="J95" s="462" t="n">
        <v>1</v>
      </c>
      <c r="K95" s="463" t="str">
        <f aca="false">IF(I95&gt;=1,"Screen","")</f>
        <v/>
      </c>
      <c r="L95" s="463" t="str">
        <f aca="false">IF(J95&gt;=1,"File","")</f>
        <v>File</v>
      </c>
    </row>
    <row r="96" customFormat="false" ht="15.75" hidden="false" customHeight="false" outlineLevel="0" collapsed="false">
      <c r="B96" s="161" t="s">
        <v>1022</v>
      </c>
      <c r="C96" s="71" t="s">
        <v>969</v>
      </c>
      <c r="D96" s="161" t="s">
        <v>424</v>
      </c>
      <c r="E96" s="72" t="s">
        <v>1233</v>
      </c>
      <c r="F96" s="72" t="s">
        <v>1234</v>
      </c>
      <c r="G96" s="72" t="s">
        <v>1235</v>
      </c>
      <c r="H96" s="462" t="n">
        <v>90</v>
      </c>
      <c r="I96" s="462" t="n">
        <v>0</v>
      </c>
      <c r="J96" s="462" t="n">
        <v>0</v>
      </c>
      <c r="K96" s="463" t="str">
        <f aca="false">IF(I96&gt;=1,"Screen","")</f>
        <v/>
      </c>
      <c r="L96" s="463" t="str">
        <f aca="false">IF(J96&gt;=1,"File","")</f>
        <v/>
      </c>
    </row>
    <row r="97" customFormat="false" ht="15.75" hidden="false" customHeight="false" outlineLevel="0" collapsed="false">
      <c r="B97" s="161" t="s">
        <v>1022</v>
      </c>
      <c r="C97" s="71" t="s">
        <v>969</v>
      </c>
      <c r="D97" s="161" t="s">
        <v>424</v>
      </c>
      <c r="E97" s="72" t="s">
        <v>1236</v>
      </c>
      <c r="F97" s="72" t="s">
        <v>1237</v>
      </c>
      <c r="G97" s="72" t="s">
        <v>1238</v>
      </c>
      <c r="H97" s="462" t="n">
        <v>91</v>
      </c>
      <c r="I97" s="462" t="n">
        <v>0</v>
      </c>
      <c r="J97" s="462" t="n">
        <v>0</v>
      </c>
      <c r="K97" s="463" t="str">
        <f aca="false">IF(I97&gt;=1,"Screen","")</f>
        <v/>
      </c>
      <c r="L97" s="463" t="str">
        <f aca="false">IF(J97&gt;=1,"File","")</f>
        <v/>
      </c>
    </row>
    <row r="98" customFormat="false" ht="15.75" hidden="false" customHeight="false" outlineLevel="0" collapsed="false">
      <c r="B98" s="152" t="s">
        <v>1029</v>
      </c>
      <c r="C98" s="71" t="s">
        <v>969</v>
      </c>
      <c r="D98" s="161" t="s">
        <v>424</v>
      </c>
      <c r="E98" s="72" t="s">
        <v>1239</v>
      </c>
      <c r="F98" s="72" t="s">
        <v>1240</v>
      </c>
      <c r="G98" s="72" t="s">
        <v>1241</v>
      </c>
      <c r="H98" s="462" t="n">
        <v>92</v>
      </c>
      <c r="I98" s="462" t="n">
        <v>0</v>
      </c>
      <c r="J98" s="462" t="n">
        <v>0</v>
      </c>
      <c r="K98" s="463" t="str">
        <f aca="false">IF(I98&gt;=1,"Screen","")</f>
        <v/>
      </c>
      <c r="L98" s="463" t="str">
        <f aca="false">IF(J98&gt;=1,"File","")</f>
        <v/>
      </c>
    </row>
    <row r="99" customFormat="false" ht="15.75" hidden="false" customHeight="false" outlineLevel="0" collapsed="false">
      <c r="B99" s="152" t="s">
        <v>1029</v>
      </c>
      <c r="C99" s="71" t="s">
        <v>969</v>
      </c>
      <c r="D99" s="161" t="s">
        <v>424</v>
      </c>
      <c r="E99" s="72" t="s">
        <v>1242</v>
      </c>
      <c r="F99" s="72" t="s">
        <v>1243</v>
      </c>
      <c r="G99" s="72" t="s">
        <v>1244</v>
      </c>
      <c r="H99" s="462" t="n">
        <v>93</v>
      </c>
      <c r="I99" s="462" t="n">
        <v>0</v>
      </c>
      <c r="J99" s="462" t="n">
        <v>0</v>
      </c>
      <c r="K99" s="463" t="str">
        <f aca="false">IF(I99&gt;=1,"Screen","")</f>
        <v/>
      </c>
      <c r="L99" s="463" t="str">
        <f aca="false">IF(J99&gt;=1,"File","")</f>
        <v/>
      </c>
    </row>
    <row r="100" customFormat="false" ht="15.75" hidden="false" customHeight="false" outlineLevel="0" collapsed="false">
      <c r="B100" s="167" t="s">
        <v>1026</v>
      </c>
      <c r="C100" s="71" t="s">
        <v>969</v>
      </c>
      <c r="D100" s="161" t="s">
        <v>424</v>
      </c>
      <c r="E100" s="72" t="s">
        <v>1245</v>
      </c>
      <c r="F100" s="72" t="s">
        <v>1246</v>
      </c>
      <c r="G100" s="72" t="s">
        <v>1247</v>
      </c>
      <c r="H100" s="462" t="n">
        <v>94</v>
      </c>
      <c r="I100" s="462" t="n">
        <v>0</v>
      </c>
      <c r="J100" s="462" t="n">
        <v>0</v>
      </c>
      <c r="K100" s="463" t="str">
        <f aca="false">IF(I100&gt;=1,"Screen","")</f>
        <v/>
      </c>
      <c r="L100" s="463" t="str">
        <f aca="false">IF(J100&gt;=1,"File","")</f>
        <v/>
      </c>
    </row>
    <row r="101" customFormat="false" ht="15.75" hidden="false" customHeight="false" outlineLevel="0" collapsed="false">
      <c r="B101" s="167" t="s">
        <v>1026</v>
      </c>
      <c r="C101" s="71" t="s">
        <v>969</v>
      </c>
      <c r="D101" s="161" t="s">
        <v>424</v>
      </c>
      <c r="E101" s="72" t="s">
        <v>1248</v>
      </c>
      <c r="F101" s="72" t="s">
        <v>1249</v>
      </c>
      <c r="G101" s="72" t="s">
        <v>1250</v>
      </c>
      <c r="H101" s="462" t="n">
        <v>95</v>
      </c>
      <c r="I101" s="462" t="n">
        <v>0</v>
      </c>
      <c r="J101" s="462" t="n">
        <v>0</v>
      </c>
      <c r="K101" s="463" t="str">
        <f aca="false">IF(I101&gt;=1,"Screen","")</f>
        <v/>
      </c>
      <c r="L101" s="463" t="str">
        <f aca="false">IF(J101&gt;=1,"File","")</f>
        <v/>
      </c>
    </row>
    <row r="102" customFormat="false" ht="15.75" hidden="false" customHeight="false" outlineLevel="0" collapsed="false">
      <c r="B102" s="464" t="s">
        <v>1032</v>
      </c>
      <c r="C102" s="71" t="s">
        <v>969</v>
      </c>
      <c r="D102" s="161" t="s">
        <v>424</v>
      </c>
      <c r="E102" s="72" t="s">
        <v>1251</v>
      </c>
      <c r="F102" s="72" t="s">
        <v>1252</v>
      </c>
      <c r="G102" s="72" t="s">
        <v>1253</v>
      </c>
      <c r="H102" s="462" t="n">
        <v>96</v>
      </c>
      <c r="I102" s="462" t="n">
        <v>0</v>
      </c>
      <c r="J102" s="462" t="n">
        <v>0</v>
      </c>
      <c r="K102" s="463" t="str">
        <f aca="false">IF(I102&gt;=1,"Screen","")</f>
        <v/>
      </c>
      <c r="L102" s="463" t="str">
        <f aca="false">IF(J102&gt;=1,"File","")</f>
        <v/>
      </c>
    </row>
    <row r="103" customFormat="false" ht="15.75" hidden="false" customHeight="false" outlineLevel="0" collapsed="false">
      <c r="B103" s="464" t="s">
        <v>1032</v>
      </c>
      <c r="C103" s="71" t="s">
        <v>969</v>
      </c>
      <c r="D103" s="161" t="s">
        <v>424</v>
      </c>
      <c r="E103" s="72" t="s">
        <v>1254</v>
      </c>
      <c r="F103" s="72" t="s">
        <v>1255</v>
      </c>
      <c r="G103" s="72" t="s">
        <v>1256</v>
      </c>
      <c r="H103" s="462" t="n">
        <v>97</v>
      </c>
      <c r="I103" s="462" t="n">
        <v>0</v>
      </c>
      <c r="J103" s="462" t="n">
        <v>0</v>
      </c>
      <c r="K103" s="463" t="str">
        <f aca="false">IF(I103&gt;=1,"Screen","")</f>
        <v/>
      </c>
      <c r="L103" s="463" t="str">
        <f aca="false">IF(J103&gt;=1,"File","")</f>
        <v/>
      </c>
    </row>
    <row r="104" customFormat="false" ht="15.75" hidden="false" customHeight="false" outlineLevel="0" collapsed="false">
      <c r="B104" s="464" t="s">
        <v>1032</v>
      </c>
      <c r="C104" s="71" t="s">
        <v>969</v>
      </c>
      <c r="D104" s="161" t="s">
        <v>424</v>
      </c>
      <c r="E104" s="72" t="s">
        <v>1257</v>
      </c>
      <c r="F104" s="72" t="s">
        <v>1258</v>
      </c>
      <c r="G104" s="72" t="s">
        <v>1259</v>
      </c>
      <c r="H104" s="462" t="n">
        <v>98</v>
      </c>
      <c r="I104" s="462" t="n">
        <v>0</v>
      </c>
      <c r="J104" s="462" t="n">
        <v>0</v>
      </c>
      <c r="K104" s="463" t="str">
        <f aca="false">IF(I104&gt;=1,"Screen","")</f>
        <v/>
      </c>
      <c r="L104" s="463" t="str">
        <f aca="false">IF(J104&gt;=1,"File","")</f>
        <v/>
      </c>
    </row>
    <row r="105" customFormat="false" ht="15.75" hidden="false" customHeight="false" outlineLevel="0" collapsed="false">
      <c r="B105" s="318" t="s">
        <v>1039</v>
      </c>
      <c r="C105" s="71" t="s">
        <v>969</v>
      </c>
      <c r="D105" s="161" t="s">
        <v>424</v>
      </c>
      <c r="E105" s="72" t="s">
        <v>1260</v>
      </c>
      <c r="F105" s="72" t="s">
        <v>1261</v>
      </c>
      <c r="G105" s="72" t="s">
        <v>1262</v>
      </c>
      <c r="H105" s="462" t="n">
        <v>99</v>
      </c>
      <c r="I105" s="462" t="n">
        <v>0</v>
      </c>
      <c r="J105" s="462" t="n">
        <v>0</v>
      </c>
      <c r="K105" s="463" t="str">
        <f aca="false">IF(I105&gt;=1,"Screen","")</f>
        <v/>
      </c>
      <c r="L105" s="463" t="str">
        <f aca="false">IF(J105&gt;=1,"File","")</f>
        <v/>
      </c>
    </row>
    <row r="106" customFormat="false" ht="15.75" hidden="false" customHeight="false" outlineLevel="0" collapsed="false">
      <c r="B106" s="318" t="s">
        <v>1039</v>
      </c>
      <c r="C106" s="71" t="s">
        <v>969</v>
      </c>
      <c r="D106" s="161" t="s">
        <v>424</v>
      </c>
      <c r="E106" s="72" t="s">
        <v>1263</v>
      </c>
      <c r="F106" s="72" t="s">
        <v>1264</v>
      </c>
      <c r="G106" s="72" t="s">
        <v>1265</v>
      </c>
      <c r="H106" s="462" t="n">
        <v>100</v>
      </c>
      <c r="I106" s="462" t="n">
        <v>0</v>
      </c>
      <c r="J106" s="462" t="n">
        <v>0</v>
      </c>
      <c r="K106" s="463" t="str">
        <f aca="false">IF(I106&gt;=1,"Screen","")</f>
        <v/>
      </c>
      <c r="L106" s="463" t="str">
        <f aca="false">IF(J106&gt;=1,"File","")</f>
        <v/>
      </c>
    </row>
    <row r="107" customFormat="false" ht="15.75" hidden="false" customHeight="false" outlineLevel="0" collapsed="false">
      <c r="B107" s="318" t="s">
        <v>1039</v>
      </c>
      <c r="C107" s="71" t="s">
        <v>969</v>
      </c>
      <c r="D107" s="161" t="s">
        <v>424</v>
      </c>
      <c r="E107" s="72" t="s">
        <v>1266</v>
      </c>
      <c r="F107" s="72" t="s">
        <v>1264</v>
      </c>
      <c r="G107" s="72" t="s">
        <v>1267</v>
      </c>
      <c r="H107" s="462" t="n">
        <v>101</v>
      </c>
      <c r="I107" s="462" t="n">
        <v>0</v>
      </c>
      <c r="J107" s="462" t="n">
        <v>0</v>
      </c>
      <c r="K107" s="463" t="str">
        <f aca="false">IF(I107&gt;=1,"Screen","")</f>
        <v/>
      </c>
      <c r="L107" s="463" t="str">
        <f aca="false">IF(J107&gt;=1,"File","")</f>
        <v/>
      </c>
    </row>
    <row r="108" customFormat="false" ht="15.75" hidden="false" customHeight="false" outlineLevel="0" collapsed="false">
      <c r="B108" s="167" t="s">
        <v>1026</v>
      </c>
      <c r="C108" s="71" t="s">
        <v>969</v>
      </c>
      <c r="D108" s="151" t="s">
        <v>358</v>
      </c>
      <c r="E108" s="72" t="s">
        <v>1268</v>
      </c>
      <c r="F108" s="72" t="s">
        <v>1269</v>
      </c>
      <c r="G108" s="72" t="s">
        <v>1270</v>
      </c>
      <c r="H108" s="462" t="n">
        <v>102</v>
      </c>
      <c r="I108" s="462" t="n">
        <v>0</v>
      </c>
      <c r="J108" s="462" t="n">
        <v>0</v>
      </c>
      <c r="K108" s="463" t="str">
        <f aca="false">IF(I108&gt;=1,"Screen","")</f>
        <v/>
      </c>
      <c r="L108" s="463" t="str">
        <f aca="false">IF(J108&gt;=1,"File","")</f>
        <v/>
      </c>
    </row>
    <row r="109" customFormat="false" ht="15.75" hidden="false" customHeight="false" outlineLevel="0" collapsed="false">
      <c r="B109" s="167" t="s">
        <v>1026</v>
      </c>
      <c r="C109" s="71" t="s">
        <v>969</v>
      </c>
      <c r="D109" s="151" t="s">
        <v>358</v>
      </c>
      <c r="E109" s="72" t="s">
        <v>1271</v>
      </c>
      <c r="F109" s="72" t="s">
        <v>1272</v>
      </c>
      <c r="G109" s="72" t="s">
        <v>1272</v>
      </c>
      <c r="H109" s="462" t="n">
        <v>103</v>
      </c>
      <c r="I109" s="462" t="n">
        <v>0</v>
      </c>
      <c r="J109" s="462" t="n">
        <v>0</v>
      </c>
      <c r="K109" s="463" t="str">
        <f aca="false">IF(I109&gt;=1,"Screen","")</f>
        <v/>
      </c>
      <c r="L109" s="463" t="str">
        <f aca="false">IF(J109&gt;=1,"File","")</f>
        <v/>
      </c>
    </row>
    <row r="110" customFormat="false" ht="15.75" hidden="false" customHeight="false" outlineLevel="0" collapsed="false">
      <c r="B110" s="71" t="s">
        <v>1010</v>
      </c>
      <c r="C110" s="71" t="s">
        <v>969</v>
      </c>
      <c r="D110" s="139" t="s">
        <v>370</v>
      </c>
      <c r="E110" s="72" t="s">
        <v>1273</v>
      </c>
      <c r="F110" s="72" t="s">
        <v>1274</v>
      </c>
      <c r="G110" s="72" t="s">
        <v>1274</v>
      </c>
      <c r="H110" s="462" t="n">
        <v>104</v>
      </c>
      <c r="I110" s="462" t="n">
        <v>0</v>
      </c>
      <c r="J110" s="462" t="n">
        <v>0</v>
      </c>
      <c r="K110" s="463" t="str">
        <f aca="false">IF(I110&gt;=1,"Screen","")</f>
        <v/>
      </c>
      <c r="L110" s="463" t="str">
        <f aca="false">IF(J110&gt;=1,"File","")</f>
        <v/>
      </c>
    </row>
    <row r="111" customFormat="false" ht="15.75" hidden="false" customHeight="false" outlineLevel="0" collapsed="false">
      <c r="B111" s="457" t="s">
        <v>1042</v>
      </c>
      <c r="C111" s="151" t="s">
        <v>1050</v>
      </c>
      <c r="D111" s="139" t="s">
        <v>370</v>
      </c>
      <c r="E111" s="72" t="s">
        <v>1275</v>
      </c>
      <c r="F111" s="72" t="s">
        <v>1276</v>
      </c>
      <c r="G111" s="465" t="s">
        <v>1277</v>
      </c>
      <c r="H111" s="462" t="n">
        <v>105</v>
      </c>
      <c r="I111" s="462" t="n">
        <v>0</v>
      </c>
      <c r="J111" s="462" t="n">
        <v>0</v>
      </c>
      <c r="K111" s="463" t="str">
        <f aca="false">IF(I111&gt;=1,"Screen","")</f>
        <v/>
      </c>
      <c r="L111" s="463" t="str">
        <f aca="false">IF(J111&gt;=1,"File","")</f>
        <v/>
      </c>
    </row>
    <row r="112" customFormat="false" ht="15.75" hidden="false" customHeight="false" outlineLevel="0" collapsed="false">
      <c r="B112" s="71" t="s">
        <v>1010</v>
      </c>
      <c r="C112" s="71" t="s">
        <v>969</v>
      </c>
      <c r="D112" s="139" t="s">
        <v>370</v>
      </c>
      <c r="E112" s="72" t="s">
        <v>1278</v>
      </c>
      <c r="F112" s="72" t="s">
        <v>1279</v>
      </c>
      <c r="G112" s="72" t="s">
        <v>1280</v>
      </c>
      <c r="H112" s="462" t="n">
        <v>106</v>
      </c>
      <c r="I112" s="462" t="n">
        <v>0</v>
      </c>
      <c r="J112" s="462" t="n">
        <v>0</v>
      </c>
      <c r="K112" s="463" t="str">
        <f aca="false">IF(I112&gt;=1,"Screen","")</f>
        <v/>
      </c>
      <c r="L112" s="463" t="str">
        <f aca="false">IF(J112&gt;=1,"File","")</f>
        <v/>
      </c>
    </row>
    <row r="113" customFormat="false" ht="15.75" hidden="false" customHeight="false" outlineLevel="0" collapsed="false">
      <c r="B113" s="71" t="s">
        <v>1010</v>
      </c>
      <c r="C113" s="71" t="s">
        <v>969</v>
      </c>
      <c r="D113" s="139" t="s">
        <v>370</v>
      </c>
      <c r="E113" s="72" t="s">
        <v>1281</v>
      </c>
      <c r="F113" s="72" t="s">
        <v>1282</v>
      </c>
      <c r="G113" s="72" t="s">
        <v>1283</v>
      </c>
      <c r="H113" s="462" t="n">
        <v>107</v>
      </c>
      <c r="I113" s="462" t="n">
        <v>0</v>
      </c>
      <c r="J113" s="462" t="n">
        <v>0</v>
      </c>
      <c r="K113" s="463" t="str">
        <f aca="false">IF(I113&gt;=1,"Screen","")</f>
        <v/>
      </c>
      <c r="L113" s="463" t="str">
        <f aca="false">IF(J113&gt;=1,"File","")</f>
        <v/>
      </c>
    </row>
    <row r="114" customFormat="false" ht="15.75" hidden="false" customHeight="false" outlineLevel="0" collapsed="false">
      <c r="B114" s="457" t="s">
        <v>1042</v>
      </c>
      <c r="C114" s="71" t="s">
        <v>969</v>
      </c>
      <c r="D114" s="139" t="s">
        <v>370</v>
      </c>
      <c r="E114" s="72" t="s">
        <v>1284</v>
      </c>
      <c r="F114" s="72" t="s">
        <v>1285</v>
      </c>
      <c r="G114" s="72" t="s">
        <v>1285</v>
      </c>
      <c r="H114" s="462" t="n">
        <v>108</v>
      </c>
      <c r="I114" s="462" t="n">
        <v>0</v>
      </c>
      <c r="J114" s="462" t="n">
        <v>0</v>
      </c>
      <c r="K114" s="463" t="str">
        <f aca="false">IF(I114&gt;=1,"Screen","")</f>
        <v/>
      </c>
      <c r="L114" s="463" t="str">
        <f aca="false">IF(J114&gt;=1,"File","")</f>
        <v/>
      </c>
    </row>
    <row r="115" customFormat="false" ht="15.75" hidden="false" customHeight="false" outlineLevel="0" collapsed="false">
      <c r="B115" s="71" t="s">
        <v>1010</v>
      </c>
      <c r="C115" s="71" t="s">
        <v>969</v>
      </c>
      <c r="D115" s="151" t="s">
        <v>358</v>
      </c>
      <c r="E115" s="72" t="s">
        <v>1286</v>
      </c>
      <c r="F115" s="72" t="s">
        <v>1287</v>
      </c>
      <c r="G115" s="72" t="s">
        <v>1288</v>
      </c>
      <c r="H115" s="462" t="n">
        <v>109</v>
      </c>
      <c r="I115" s="462" t="n">
        <v>0</v>
      </c>
      <c r="J115" s="462" t="n">
        <v>0</v>
      </c>
      <c r="K115" s="463" t="str">
        <f aca="false">IF(I115&gt;=1,"Screen","")</f>
        <v/>
      </c>
      <c r="L115" s="463" t="str">
        <f aca="false">IF(J115&gt;=1,"File","")</f>
        <v/>
      </c>
    </row>
    <row r="116" customFormat="false" ht="15.75" hidden="false" customHeight="false" outlineLevel="0" collapsed="false">
      <c r="B116" s="71" t="s">
        <v>1010</v>
      </c>
      <c r="C116" s="71" t="s">
        <v>969</v>
      </c>
      <c r="D116" s="161" t="s">
        <v>424</v>
      </c>
      <c r="E116" s="72" t="s">
        <v>1289</v>
      </c>
      <c r="F116" s="72" t="s">
        <v>1290</v>
      </c>
      <c r="G116" s="72" t="s">
        <v>1291</v>
      </c>
      <c r="H116" s="462" t="n">
        <v>110</v>
      </c>
      <c r="I116" s="462" t="n">
        <v>0</v>
      </c>
      <c r="J116" s="462" t="n">
        <v>0</v>
      </c>
      <c r="K116" s="463" t="str">
        <f aca="false">IF(I116&gt;=1,"Screen","")</f>
        <v/>
      </c>
      <c r="L116" s="463" t="str">
        <f aca="false">IF(J116&gt;=1,"File","")</f>
        <v/>
      </c>
    </row>
    <row r="117" customFormat="false" ht="15.75" hidden="false" customHeight="false" outlineLevel="0" collapsed="false">
      <c r="B117" s="161" t="s">
        <v>1022</v>
      </c>
      <c r="C117" s="71" t="s">
        <v>969</v>
      </c>
      <c r="D117" s="161" t="s">
        <v>424</v>
      </c>
      <c r="E117" s="72" t="s">
        <v>1292</v>
      </c>
      <c r="F117" s="72" t="s">
        <v>1293</v>
      </c>
      <c r="G117" s="72" t="s">
        <v>1294</v>
      </c>
      <c r="H117" s="462" t="n">
        <v>111</v>
      </c>
      <c r="I117" s="462" t="n">
        <v>0</v>
      </c>
      <c r="J117" s="462" t="n">
        <v>0</v>
      </c>
      <c r="K117" s="463" t="str">
        <f aca="false">IF(I117&gt;=1,"Screen","")</f>
        <v/>
      </c>
      <c r="L117" s="463" t="str">
        <f aca="false">IF(J117&gt;=1,"File","")</f>
        <v/>
      </c>
    </row>
    <row r="118" customFormat="false" ht="15.75" hidden="false" customHeight="false" outlineLevel="0" collapsed="false">
      <c r="B118" s="161" t="s">
        <v>1022</v>
      </c>
      <c r="C118" s="71" t="s">
        <v>969</v>
      </c>
      <c r="D118" s="161" t="s">
        <v>424</v>
      </c>
      <c r="E118" s="72" t="s">
        <v>1295</v>
      </c>
      <c r="F118" s="72" t="s">
        <v>1296</v>
      </c>
      <c r="G118" s="72" t="s">
        <v>1297</v>
      </c>
      <c r="H118" s="462" t="n">
        <v>112</v>
      </c>
      <c r="I118" s="462" t="n">
        <v>0</v>
      </c>
      <c r="J118" s="462" t="n">
        <v>0</v>
      </c>
      <c r="K118" s="463" t="str">
        <f aca="false">IF(I118&gt;=1,"Screen","")</f>
        <v/>
      </c>
      <c r="L118" s="463" t="str">
        <f aca="false">IF(J118&gt;=1,"File","")</f>
        <v/>
      </c>
    </row>
    <row r="119" customFormat="false" ht="15.75" hidden="false" customHeight="false" outlineLevel="0" collapsed="false">
      <c r="B119" s="161" t="s">
        <v>1022</v>
      </c>
      <c r="C119" s="71" t="s">
        <v>969</v>
      </c>
      <c r="D119" s="161" t="s">
        <v>424</v>
      </c>
      <c r="E119" s="72" t="s">
        <v>1298</v>
      </c>
      <c r="F119" s="72" t="s">
        <v>1299</v>
      </c>
      <c r="G119" s="72" t="s">
        <v>1300</v>
      </c>
      <c r="H119" s="462" t="n">
        <v>113</v>
      </c>
      <c r="I119" s="462" t="n">
        <v>0</v>
      </c>
      <c r="J119" s="462" t="n">
        <v>0</v>
      </c>
      <c r="K119" s="463" t="str">
        <f aca="false">IF(I119&gt;=1,"Screen","")</f>
        <v/>
      </c>
      <c r="L119" s="463" t="str">
        <f aca="false">IF(J119&gt;=1,"File","")</f>
        <v/>
      </c>
    </row>
    <row r="120" customFormat="false" ht="15.75" hidden="false" customHeight="false" outlineLevel="0" collapsed="false">
      <c r="B120" s="457" t="s">
        <v>1042</v>
      </c>
      <c r="C120" s="71" t="s">
        <v>969</v>
      </c>
      <c r="D120" s="161" t="s">
        <v>1135</v>
      </c>
      <c r="E120" s="72" t="s">
        <v>1301</v>
      </c>
      <c r="F120" s="72" t="s">
        <v>1302</v>
      </c>
      <c r="G120" s="72" t="s">
        <v>1302</v>
      </c>
      <c r="H120" s="462" t="n">
        <v>114</v>
      </c>
      <c r="I120" s="462" t="n">
        <v>0</v>
      </c>
      <c r="J120" s="462" t="n">
        <v>0</v>
      </c>
      <c r="K120" s="463" t="str">
        <f aca="false">IF(I120&gt;=1,"Screen","")</f>
        <v/>
      </c>
      <c r="L120" s="463" t="str">
        <f aca="false">IF(J120&gt;=1,"File","")</f>
        <v/>
      </c>
    </row>
    <row r="121" customFormat="false" ht="15.75" hidden="false" customHeight="false" outlineLevel="0" collapsed="false">
      <c r="B121" s="152" t="s">
        <v>1029</v>
      </c>
      <c r="C121" s="71" t="s">
        <v>969</v>
      </c>
      <c r="D121" s="161" t="s">
        <v>1135</v>
      </c>
      <c r="E121" s="72" t="s">
        <v>1303</v>
      </c>
      <c r="F121" s="72" t="s">
        <v>1304</v>
      </c>
      <c r="G121" s="72" t="s">
        <v>1304</v>
      </c>
      <c r="H121" s="462" t="n">
        <v>115</v>
      </c>
      <c r="I121" s="462" t="n">
        <v>0</v>
      </c>
      <c r="J121" s="462" t="n">
        <v>0</v>
      </c>
      <c r="K121" s="463" t="str">
        <f aca="false">IF(I121&gt;=1,"Screen","")</f>
        <v/>
      </c>
      <c r="L121" s="463" t="str">
        <f aca="false">IF(J121&gt;=1,"File","")</f>
        <v/>
      </c>
    </row>
    <row r="122" customFormat="false" ht="15.75" hidden="false" customHeight="false" outlineLevel="0" collapsed="false">
      <c r="B122" s="318" t="s">
        <v>1039</v>
      </c>
      <c r="C122" s="151" t="s">
        <v>1050</v>
      </c>
      <c r="D122" s="161" t="s">
        <v>1135</v>
      </c>
      <c r="E122" s="72" t="s">
        <v>1305</v>
      </c>
      <c r="F122" s="72" t="s">
        <v>1306</v>
      </c>
      <c r="G122" s="465" t="s">
        <v>1306</v>
      </c>
      <c r="H122" s="462" t="n">
        <v>116</v>
      </c>
      <c r="I122" s="462" t="n">
        <v>1</v>
      </c>
      <c r="J122" s="462" t="n">
        <v>1</v>
      </c>
      <c r="K122" s="463" t="str">
        <f aca="false">IF(I122&gt;=1,"Screen","")</f>
        <v>Screen</v>
      </c>
      <c r="L122" s="463" t="str">
        <f aca="false">IF(J122&gt;=1,"File","")</f>
        <v>File</v>
      </c>
    </row>
    <row r="123" customFormat="false" ht="15.75" hidden="false" customHeight="false" outlineLevel="0" collapsed="false">
      <c r="B123" s="318" t="s">
        <v>1039</v>
      </c>
      <c r="C123" s="151" t="s">
        <v>1050</v>
      </c>
      <c r="D123" s="161" t="s">
        <v>1135</v>
      </c>
      <c r="E123" s="72" t="s">
        <v>1307</v>
      </c>
      <c r="F123" s="72" t="s">
        <v>1308</v>
      </c>
      <c r="G123" s="465" t="s">
        <v>1308</v>
      </c>
      <c r="H123" s="462" t="n">
        <v>117</v>
      </c>
      <c r="I123" s="462" t="n">
        <v>0</v>
      </c>
      <c r="J123" s="462" t="n">
        <v>0</v>
      </c>
      <c r="K123" s="463" t="str">
        <f aca="false">IF(I123&gt;=1,"Screen","")</f>
        <v/>
      </c>
      <c r="L123" s="463" t="str">
        <f aca="false">IF(J123&gt;=1,"File","")</f>
        <v/>
      </c>
    </row>
    <row r="124" customFormat="false" ht="15.75" hidden="false" customHeight="false" outlineLevel="0" collapsed="false">
      <c r="B124" s="318" t="s">
        <v>1039</v>
      </c>
      <c r="C124" s="151" t="s">
        <v>1050</v>
      </c>
      <c r="D124" s="161" t="s">
        <v>1135</v>
      </c>
      <c r="E124" s="72" t="s">
        <v>1309</v>
      </c>
      <c r="F124" s="72" t="s">
        <v>1310</v>
      </c>
      <c r="G124" s="465" t="s">
        <v>1311</v>
      </c>
      <c r="H124" s="462" t="n">
        <v>118</v>
      </c>
      <c r="I124" s="462" t="n">
        <v>0</v>
      </c>
      <c r="J124" s="462" t="n">
        <v>0</v>
      </c>
      <c r="K124" s="463" t="str">
        <f aca="false">IF(I124&gt;=1,"Screen","")</f>
        <v/>
      </c>
      <c r="L124" s="463" t="str">
        <f aca="false">IF(J124&gt;=1,"File","")</f>
        <v/>
      </c>
    </row>
    <row r="125" customFormat="false" ht="15.75" hidden="false" customHeight="false" outlineLevel="0" collapsed="false">
      <c r="B125" s="318" t="s">
        <v>1039</v>
      </c>
      <c r="C125" s="151" t="s">
        <v>1050</v>
      </c>
      <c r="D125" s="121" t="s">
        <v>1063</v>
      </c>
      <c r="E125" s="72" t="s">
        <v>1312</v>
      </c>
      <c r="F125" s="72" t="s">
        <v>1313</v>
      </c>
      <c r="G125" s="465" t="s">
        <v>1313</v>
      </c>
      <c r="H125" s="462" t="n">
        <v>119</v>
      </c>
      <c r="I125" s="462" t="n">
        <v>0</v>
      </c>
      <c r="J125" s="462" t="n">
        <v>0</v>
      </c>
      <c r="K125" s="463" t="str">
        <f aca="false">IF(I125&gt;=1,"Screen","")</f>
        <v/>
      </c>
      <c r="L125" s="463" t="str">
        <f aca="false">IF(J125&gt;=1,"File","")</f>
        <v/>
      </c>
    </row>
    <row r="126" customFormat="false" ht="15.75" hidden="false" customHeight="false" outlineLevel="0" collapsed="false">
      <c r="B126" s="318" t="s">
        <v>1039</v>
      </c>
      <c r="C126" s="151" t="s">
        <v>1050</v>
      </c>
      <c r="D126" s="121" t="s">
        <v>1063</v>
      </c>
      <c r="E126" s="72" t="s">
        <v>1314</v>
      </c>
      <c r="F126" s="72" t="s">
        <v>1315</v>
      </c>
      <c r="G126" s="465" t="s">
        <v>1315</v>
      </c>
      <c r="H126" s="462" t="n">
        <v>120</v>
      </c>
      <c r="I126" s="462" t="n">
        <v>0</v>
      </c>
      <c r="J126" s="462" t="n">
        <v>0</v>
      </c>
      <c r="K126" s="463" t="str">
        <f aca="false">IF(I126&gt;=1,"Screen","")</f>
        <v/>
      </c>
      <c r="L126" s="463" t="str">
        <f aca="false">IF(J126&gt;=1,"File","")</f>
        <v/>
      </c>
    </row>
    <row r="127" customFormat="false" ht="15.75" hidden="false" customHeight="false" outlineLevel="0" collapsed="false">
      <c r="B127" s="318" t="s">
        <v>1039</v>
      </c>
      <c r="C127" s="151" t="s">
        <v>1050</v>
      </c>
      <c r="D127" s="121" t="s">
        <v>1063</v>
      </c>
      <c r="E127" s="72" t="s">
        <v>1316</v>
      </c>
      <c r="F127" s="72" t="s">
        <v>1317</v>
      </c>
      <c r="G127" s="465" t="s">
        <v>1317</v>
      </c>
      <c r="H127" s="462" t="n">
        <v>121</v>
      </c>
      <c r="I127" s="462" t="n">
        <v>0</v>
      </c>
      <c r="J127" s="462" t="n">
        <v>0</v>
      </c>
      <c r="K127" s="463" t="str">
        <f aca="false">IF(I127&gt;=1,"Screen","")</f>
        <v/>
      </c>
      <c r="L127" s="463" t="str">
        <f aca="false">IF(J127&gt;=1,"File","")</f>
        <v/>
      </c>
    </row>
    <row r="128" customFormat="false" ht="15.75" hidden="false" customHeight="false" outlineLevel="0" collapsed="false">
      <c r="B128" s="26" t="s">
        <v>1318</v>
      </c>
      <c r="C128" s="151" t="s">
        <v>1050</v>
      </c>
      <c r="D128" s="183" t="s">
        <v>970</v>
      </c>
      <c r="E128" s="72" t="s">
        <v>1319</v>
      </c>
      <c r="F128" s="72" t="s">
        <v>204</v>
      </c>
      <c r="G128" s="465" t="s">
        <v>204</v>
      </c>
      <c r="H128" s="462" t="n">
        <v>122</v>
      </c>
      <c r="I128" s="462" t="n">
        <v>0</v>
      </c>
      <c r="J128" s="462" t="n">
        <v>0</v>
      </c>
      <c r="K128" s="463" t="str">
        <f aca="false">IF(I128&gt;=1,"Screen","")</f>
        <v/>
      </c>
      <c r="L128" s="463" t="str">
        <f aca="false">IF(J128&gt;=1,"File","")</f>
        <v/>
      </c>
    </row>
    <row r="129" customFormat="false" ht="15.75" hidden="false" customHeight="false" outlineLevel="0" collapsed="false">
      <c r="B129" s="457" t="s">
        <v>1042</v>
      </c>
      <c r="C129" s="71" t="s">
        <v>969</v>
      </c>
      <c r="D129" s="468" t="s">
        <v>1320</v>
      </c>
      <c r="E129" s="72" t="s">
        <v>1321</v>
      </c>
      <c r="F129" s="72" t="s">
        <v>1322</v>
      </c>
      <c r="G129" s="72" t="s">
        <v>1322</v>
      </c>
      <c r="H129" s="462" t="n">
        <v>123</v>
      </c>
      <c r="I129" s="462" t="n">
        <v>0</v>
      </c>
      <c r="J129" s="462" t="n">
        <v>0</v>
      </c>
      <c r="K129" s="463" t="str">
        <f aca="false">IF(I129&gt;=1,"Screen","")</f>
        <v/>
      </c>
      <c r="L129" s="463" t="str">
        <f aca="false">IF(J129&gt;=1,"File","")</f>
        <v/>
      </c>
    </row>
    <row r="130" customFormat="false" ht="15.75" hidden="false" customHeight="false" outlineLevel="0" collapsed="false">
      <c r="B130" s="457" t="s">
        <v>1042</v>
      </c>
      <c r="C130" s="71" t="s">
        <v>969</v>
      </c>
      <c r="D130" s="468" t="s">
        <v>1320</v>
      </c>
      <c r="E130" s="72" t="s">
        <v>1323</v>
      </c>
      <c r="F130" s="72" t="s">
        <v>1324</v>
      </c>
      <c r="G130" s="72" t="s">
        <v>1324</v>
      </c>
      <c r="H130" s="462" t="n">
        <v>124</v>
      </c>
      <c r="I130" s="462" t="n">
        <v>0</v>
      </c>
      <c r="J130" s="462" t="n">
        <v>0</v>
      </c>
      <c r="K130" s="463" t="str">
        <f aca="false">IF(I130&gt;=1,"Screen","")</f>
        <v/>
      </c>
      <c r="L130" s="463" t="str">
        <f aca="false">IF(J130&gt;=1,"File","")</f>
        <v/>
      </c>
    </row>
    <row r="131" customFormat="false" ht="15.75" hidden="false" customHeight="false" outlineLevel="0" collapsed="false">
      <c r="B131" s="461" t="s">
        <v>968</v>
      </c>
      <c r="C131" s="71" t="s">
        <v>969</v>
      </c>
      <c r="D131" s="183" t="s">
        <v>970</v>
      </c>
      <c r="E131" s="72" t="s">
        <v>1325</v>
      </c>
      <c r="F131" s="72" t="s">
        <v>1326</v>
      </c>
      <c r="G131" s="72" t="s">
        <v>1326</v>
      </c>
      <c r="H131" s="462" t="n">
        <v>125</v>
      </c>
      <c r="I131" s="462" t="n">
        <v>0</v>
      </c>
      <c r="J131" s="462" t="n">
        <v>0</v>
      </c>
      <c r="K131" s="463" t="str">
        <f aca="false">IF(I131&gt;=1,"Screen","")</f>
        <v/>
      </c>
      <c r="L131" s="463" t="str">
        <f aca="false">IF(J131&gt;=1,"File","")</f>
        <v/>
      </c>
    </row>
    <row r="132" customFormat="false" ht="15.75" hidden="false" customHeight="false" outlineLevel="0" collapsed="false">
      <c r="B132" s="152" t="s">
        <v>1029</v>
      </c>
      <c r="C132" s="71" t="s">
        <v>969</v>
      </c>
      <c r="D132" s="151" t="s">
        <v>358</v>
      </c>
      <c r="E132" s="72" t="s">
        <v>1327</v>
      </c>
      <c r="F132" s="72" t="s">
        <v>1328</v>
      </c>
      <c r="G132" s="72" t="s">
        <v>1328</v>
      </c>
      <c r="H132" s="462" t="n">
        <v>126</v>
      </c>
      <c r="I132" s="462" t="n">
        <v>0</v>
      </c>
      <c r="J132" s="462" t="n">
        <v>0</v>
      </c>
      <c r="K132" s="463" t="str">
        <f aca="false">IF(I132&gt;=1,"Screen","")</f>
        <v/>
      </c>
      <c r="L132" s="463" t="str">
        <f aca="false">IF(J132&gt;=1,"File","")</f>
        <v/>
      </c>
    </row>
    <row r="133" customFormat="false" ht="15.75" hidden="false" customHeight="false" outlineLevel="0" collapsed="false">
      <c r="B133" s="26" t="s">
        <v>1318</v>
      </c>
      <c r="C133" s="151" t="s">
        <v>1050</v>
      </c>
      <c r="D133" s="183" t="s">
        <v>970</v>
      </c>
      <c r="E133" s="72" t="s">
        <v>1329</v>
      </c>
      <c r="F133" s="72" t="s">
        <v>1330</v>
      </c>
      <c r="G133" s="465" t="s">
        <v>1331</v>
      </c>
      <c r="H133" s="462" t="n">
        <v>127</v>
      </c>
      <c r="I133" s="462" t="n">
        <v>0</v>
      </c>
      <c r="J133" s="462" t="n">
        <v>0</v>
      </c>
      <c r="K133" s="463" t="str">
        <f aca="false">IF(I133&gt;=1,"Screen","")</f>
        <v/>
      </c>
      <c r="L133" s="463" t="str">
        <f aca="false">IF(J133&gt;=1,"File","")</f>
        <v/>
      </c>
    </row>
    <row r="134" customFormat="false" ht="15.75" hidden="false" customHeight="false" outlineLevel="0" collapsed="false">
      <c r="B134" s="461" t="s">
        <v>968</v>
      </c>
      <c r="C134" s="71" t="s">
        <v>969</v>
      </c>
      <c r="D134" s="183" t="s">
        <v>970</v>
      </c>
      <c r="E134" s="72" t="s">
        <v>1332</v>
      </c>
      <c r="F134" s="72" t="s">
        <v>1333</v>
      </c>
      <c r="G134" s="72" t="s">
        <v>1334</v>
      </c>
      <c r="H134" s="462" t="n">
        <v>128</v>
      </c>
      <c r="I134" s="462" t="n">
        <v>0</v>
      </c>
      <c r="J134" s="462" t="n">
        <v>0</v>
      </c>
      <c r="K134" s="463" t="str">
        <f aca="false">IF(I134&gt;=1,"Screen","")</f>
        <v/>
      </c>
      <c r="L134" s="463" t="str">
        <f aca="false">IF(J134&gt;=1,"File","")</f>
        <v/>
      </c>
    </row>
    <row r="135" customFormat="false" ht="15.75" hidden="false" customHeight="false" outlineLevel="0" collapsed="false">
      <c r="B135" s="26" t="s">
        <v>1318</v>
      </c>
      <c r="C135" s="151" t="s">
        <v>1050</v>
      </c>
      <c r="D135" s="183" t="s">
        <v>970</v>
      </c>
      <c r="E135" s="72" t="s">
        <v>1335</v>
      </c>
      <c r="F135" s="72" t="s">
        <v>1336</v>
      </c>
      <c r="G135" s="465" t="s">
        <v>1336</v>
      </c>
      <c r="H135" s="462" t="n">
        <v>129</v>
      </c>
      <c r="I135" s="462" t="n">
        <v>0</v>
      </c>
      <c r="J135" s="462" t="n">
        <v>0</v>
      </c>
      <c r="K135" s="463" t="str">
        <f aca="false">IF(I135&gt;=1,"Screen","")</f>
        <v/>
      </c>
      <c r="L135" s="463" t="str">
        <f aca="false">IF(J135&gt;=1,"File","")</f>
        <v/>
      </c>
    </row>
    <row r="136" customFormat="false" ht="15.75" hidden="false" customHeight="false" outlineLevel="0" collapsed="false">
      <c r="B136" s="26" t="s">
        <v>1318</v>
      </c>
      <c r="C136" s="151" t="s">
        <v>1050</v>
      </c>
      <c r="D136" s="183" t="s">
        <v>970</v>
      </c>
      <c r="E136" s="72" t="s">
        <v>1337</v>
      </c>
      <c r="F136" s="72" t="s">
        <v>1338</v>
      </c>
      <c r="G136" s="465" t="s">
        <v>1338</v>
      </c>
      <c r="H136" s="462" t="n">
        <v>130</v>
      </c>
      <c r="I136" s="462" t="n">
        <v>0</v>
      </c>
      <c r="J136" s="462" t="n">
        <v>0</v>
      </c>
      <c r="K136" s="463" t="str">
        <f aca="false">IF(I136&gt;=1,"Screen","")</f>
        <v/>
      </c>
      <c r="L136" s="463" t="str">
        <f aca="false">IF(J136&gt;=1,"File","")</f>
        <v/>
      </c>
    </row>
    <row r="137" customFormat="false" ht="15.75" hidden="false" customHeight="false" outlineLevel="0" collapsed="false">
      <c r="B137" s="461" t="s">
        <v>968</v>
      </c>
      <c r="C137" s="151" t="s">
        <v>1050</v>
      </c>
      <c r="D137" s="183" t="s">
        <v>970</v>
      </c>
      <c r="E137" s="72" t="s">
        <v>1339</v>
      </c>
      <c r="F137" s="72" t="s">
        <v>1340</v>
      </c>
      <c r="G137" s="465" t="s">
        <v>1341</v>
      </c>
      <c r="H137" s="462" t="n">
        <v>131</v>
      </c>
      <c r="I137" s="462" t="n">
        <v>0</v>
      </c>
      <c r="J137" s="462" t="n">
        <v>0</v>
      </c>
      <c r="K137" s="463" t="str">
        <f aca="false">IF(I137&gt;=1,"Screen","")</f>
        <v/>
      </c>
      <c r="L137" s="463" t="str">
        <f aca="false">IF(J137&gt;=1,"File","")</f>
        <v/>
      </c>
    </row>
    <row r="138" customFormat="false" ht="15.75" hidden="false" customHeight="false" outlineLevel="0" collapsed="false">
      <c r="B138" s="461" t="s">
        <v>968</v>
      </c>
      <c r="C138" s="151" t="s">
        <v>1050</v>
      </c>
      <c r="D138" s="183" t="s">
        <v>970</v>
      </c>
      <c r="E138" s="72" t="s">
        <v>1342</v>
      </c>
      <c r="F138" s="72" t="s">
        <v>1343</v>
      </c>
      <c r="G138" s="465" t="s">
        <v>1344</v>
      </c>
      <c r="H138" s="462" t="n">
        <v>132</v>
      </c>
      <c r="I138" s="462" t="n">
        <v>0</v>
      </c>
      <c r="J138" s="462" t="n">
        <v>0</v>
      </c>
      <c r="K138" s="463" t="str">
        <f aca="false">IF(I138&gt;=1,"Screen","")</f>
        <v/>
      </c>
      <c r="L138" s="463" t="str">
        <f aca="false">IF(J138&gt;=1,"File","")</f>
        <v/>
      </c>
    </row>
    <row r="139" customFormat="false" ht="15.75" hidden="false" customHeight="false" outlineLevel="0" collapsed="false">
      <c r="B139" s="461" t="s">
        <v>968</v>
      </c>
      <c r="C139" s="151" t="s">
        <v>1050</v>
      </c>
      <c r="D139" s="183" t="s">
        <v>970</v>
      </c>
      <c r="E139" s="72" t="s">
        <v>1345</v>
      </c>
      <c r="F139" s="72" t="s">
        <v>1346</v>
      </c>
      <c r="G139" s="465" t="s">
        <v>1347</v>
      </c>
      <c r="H139" s="462" t="n">
        <v>133</v>
      </c>
      <c r="I139" s="462" t="n">
        <v>0</v>
      </c>
      <c r="J139" s="462" t="n">
        <v>0</v>
      </c>
      <c r="K139" s="463" t="str">
        <f aca="false">IF(I139&gt;=1,"Screen","")</f>
        <v/>
      </c>
      <c r="L139" s="463" t="str">
        <f aca="false">IF(J139&gt;=1,"File","")</f>
        <v/>
      </c>
    </row>
    <row r="140" customFormat="false" ht="15.75" hidden="false" customHeight="false" outlineLevel="0" collapsed="false">
      <c r="B140" s="26" t="s">
        <v>1318</v>
      </c>
      <c r="C140" s="151" t="s">
        <v>1050</v>
      </c>
      <c r="D140" s="183" t="s">
        <v>970</v>
      </c>
      <c r="E140" s="72" t="s">
        <v>1348</v>
      </c>
      <c r="F140" s="72" t="s">
        <v>1349</v>
      </c>
      <c r="G140" s="465" t="s">
        <v>1350</v>
      </c>
      <c r="H140" s="462" t="n">
        <v>134</v>
      </c>
      <c r="I140" s="462" t="n">
        <v>0</v>
      </c>
      <c r="J140" s="462" t="n">
        <v>0</v>
      </c>
      <c r="K140" s="463"/>
      <c r="L140" s="463"/>
    </row>
    <row r="141" customFormat="false" ht="15.75" hidden="false" customHeight="false" outlineLevel="0" collapsed="false">
      <c r="B141" s="461" t="s">
        <v>968</v>
      </c>
      <c r="C141" s="151" t="s">
        <v>1050</v>
      </c>
      <c r="D141" s="183" t="s">
        <v>970</v>
      </c>
      <c r="E141" s="72" t="s">
        <v>1351</v>
      </c>
      <c r="F141" s="72" t="s">
        <v>1352</v>
      </c>
      <c r="G141" s="465" t="s">
        <v>1352</v>
      </c>
      <c r="H141" s="462" t="n">
        <v>135</v>
      </c>
      <c r="I141" s="462" t="n">
        <v>0</v>
      </c>
      <c r="J141" s="462" t="n">
        <v>0</v>
      </c>
      <c r="K141" s="463"/>
      <c r="L141" s="463"/>
    </row>
    <row r="142" customFormat="false" ht="15.75" hidden="false" customHeight="false" outlineLevel="0" collapsed="false">
      <c r="B142" s="461" t="s">
        <v>968</v>
      </c>
      <c r="C142" s="151" t="s">
        <v>1050</v>
      </c>
      <c r="D142" s="183" t="s">
        <v>970</v>
      </c>
      <c r="E142" s="72" t="s">
        <v>1353</v>
      </c>
      <c r="F142" s="72" t="s">
        <v>1354</v>
      </c>
      <c r="G142" s="465" t="s">
        <v>1354</v>
      </c>
      <c r="H142" s="462" t="n">
        <v>136</v>
      </c>
      <c r="I142" s="462" t="n">
        <v>0</v>
      </c>
      <c r="J142" s="462" t="n">
        <v>0</v>
      </c>
      <c r="K142" s="463"/>
      <c r="L142" s="463"/>
    </row>
    <row r="143" customFormat="false" ht="15.75" hidden="false" customHeight="false" outlineLevel="0" collapsed="false">
      <c r="B143" s="457" t="s">
        <v>1042</v>
      </c>
      <c r="C143" s="71" t="s">
        <v>969</v>
      </c>
      <c r="D143" s="152" t="s">
        <v>1043</v>
      </c>
      <c r="E143" s="72" t="s">
        <v>1355</v>
      </c>
      <c r="F143" s="72" t="s">
        <v>1356</v>
      </c>
      <c r="G143" s="72" t="s">
        <v>1357</v>
      </c>
      <c r="H143" s="462" t="n">
        <v>137</v>
      </c>
      <c r="I143" s="462" t="n">
        <v>0</v>
      </c>
      <c r="J143" s="462" t="n">
        <v>0</v>
      </c>
      <c r="K143" s="463" t="str">
        <f aca="false">IF(I143&gt;=1,"Screen","")</f>
        <v/>
      </c>
      <c r="L143" s="463" t="str">
        <f aca="false">IF(J143&gt;=1,"File","")</f>
        <v/>
      </c>
    </row>
    <row r="144" customFormat="false" ht="15.75" hidden="false" customHeight="false" outlineLevel="0" collapsed="false">
      <c r="B144" s="26" t="s">
        <v>1318</v>
      </c>
      <c r="C144" s="151" t="s">
        <v>1050</v>
      </c>
      <c r="D144" s="152" t="s">
        <v>1043</v>
      </c>
      <c r="E144" s="72" t="s">
        <v>1358</v>
      </c>
      <c r="F144" s="72" t="s">
        <v>1359</v>
      </c>
      <c r="G144" s="465" t="s">
        <v>1360</v>
      </c>
      <c r="H144" s="462" t="n">
        <v>138</v>
      </c>
      <c r="I144" s="462" t="n">
        <v>0</v>
      </c>
      <c r="J144" s="462" t="n">
        <v>0</v>
      </c>
      <c r="K144" s="463" t="str">
        <f aca="false">IF(I144&gt;=1,"Screen","")</f>
        <v/>
      </c>
      <c r="L144" s="463" t="str">
        <f aca="false">IF(J144&gt;=1,"File","")</f>
        <v/>
      </c>
    </row>
    <row r="145" customFormat="false" ht="15.75" hidden="false" customHeight="false" outlineLevel="0" collapsed="false">
      <c r="B145" s="461" t="s">
        <v>968</v>
      </c>
      <c r="C145" s="121" t="s">
        <v>1361</v>
      </c>
      <c r="D145" s="183" t="s">
        <v>970</v>
      </c>
      <c r="E145" s="72" t="s">
        <v>1362</v>
      </c>
      <c r="F145" s="72" t="s">
        <v>1363</v>
      </c>
      <c r="G145" s="469" t="s">
        <v>1364</v>
      </c>
      <c r="H145" s="462" t="n">
        <v>139</v>
      </c>
      <c r="I145" s="462" t="n">
        <v>0</v>
      </c>
      <c r="J145" s="462" t="n">
        <v>0</v>
      </c>
      <c r="K145" s="463" t="str">
        <f aca="false">IF(I145&gt;=1,"Screen","")</f>
        <v/>
      </c>
      <c r="L145" s="463" t="str">
        <f aca="false">IF(J145&gt;=1,"File","")</f>
        <v/>
      </c>
    </row>
    <row r="146" customFormat="false" ht="15.75" hidden="false" customHeight="false" outlineLevel="0" collapsed="false">
      <c r="B146" s="457" t="s">
        <v>1042</v>
      </c>
      <c r="C146" s="71" t="s">
        <v>969</v>
      </c>
      <c r="D146" s="468" t="s">
        <v>1320</v>
      </c>
      <c r="E146" s="72" t="s">
        <v>1365</v>
      </c>
      <c r="F146" s="72" t="s">
        <v>1366</v>
      </c>
      <c r="G146" s="72" t="s">
        <v>1367</v>
      </c>
      <c r="H146" s="462" t="n">
        <v>140</v>
      </c>
      <c r="I146" s="462" t="n">
        <v>0</v>
      </c>
      <c r="J146" s="462" t="n">
        <v>0</v>
      </c>
      <c r="K146" s="463" t="str">
        <f aca="false">IF(I146&gt;=1,"Screen","")</f>
        <v/>
      </c>
      <c r="L146" s="463" t="str">
        <f aca="false">IF(J146&gt;=1,"File","")</f>
        <v/>
      </c>
    </row>
    <row r="147" customFormat="false" ht="15.75" hidden="false" customHeight="false" outlineLevel="0" collapsed="false">
      <c r="B147" s="161" t="s">
        <v>1022</v>
      </c>
      <c r="C147" s="71" t="s">
        <v>969</v>
      </c>
      <c r="D147" s="466" t="s">
        <v>1054</v>
      </c>
      <c r="E147" s="72" t="s">
        <v>1368</v>
      </c>
      <c r="F147" s="72" t="s">
        <v>1369</v>
      </c>
      <c r="G147" s="72" t="s">
        <v>1370</v>
      </c>
      <c r="H147" s="462" t="n">
        <v>141</v>
      </c>
      <c r="I147" s="462" t="n">
        <v>0</v>
      </c>
      <c r="J147" s="462" t="n">
        <v>0</v>
      </c>
      <c r="K147" s="463" t="str">
        <f aca="false">IF(I147&gt;=1,"Screen","")</f>
        <v/>
      </c>
      <c r="L147" s="463" t="str">
        <f aca="false">IF(J147&gt;=1,"File","")</f>
        <v/>
      </c>
    </row>
    <row r="148" customFormat="false" ht="15.75" hidden="false" customHeight="false" outlineLevel="0" collapsed="false">
      <c r="B148" s="71" t="s">
        <v>1010</v>
      </c>
      <c r="C148" s="151" t="s">
        <v>1050</v>
      </c>
      <c r="D148" s="121" t="s">
        <v>1063</v>
      </c>
      <c r="E148" s="72" t="s">
        <v>1371</v>
      </c>
      <c r="F148" s="72" t="s">
        <v>1372</v>
      </c>
      <c r="G148" s="465" t="s">
        <v>1373</v>
      </c>
      <c r="H148" s="462" t="n">
        <v>142</v>
      </c>
      <c r="I148" s="462" t="n">
        <v>0</v>
      </c>
      <c r="J148" s="462" t="n">
        <v>0</v>
      </c>
      <c r="K148" s="463" t="str">
        <f aca="false">IF(I148&gt;=1,"Screen","")</f>
        <v/>
      </c>
      <c r="L148" s="463" t="str">
        <f aca="false">IF(J148&gt;=1,"File","")</f>
        <v/>
      </c>
    </row>
    <row r="149" customFormat="false" ht="15.75" hidden="false" customHeight="false" outlineLevel="0" collapsed="false">
      <c r="B149" s="161" t="s">
        <v>1022</v>
      </c>
      <c r="C149" s="151" t="s">
        <v>1050</v>
      </c>
      <c r="D149" s="121" t="s">
        <v>1063</v>
      </c>
      <c r="E149" s="72" t="s">
        <v>1374</v>
      </c>
      <c r="F149" s="72" t="s">
        <v>1375</v>
      </c>
      <c r="G149" s="465" t="s">
        <v>1376</v>
      </c>
      <c r="H149" s="462" t="n">
        <v>143</v>
      </c>
      <c r="I149" s="462" t="n">
        <v>0</v>
      </c>
      <c r="J149" s="462" t="n">
        <v>0</v>
      </c>
      <c r="K149" s="463" t="str">
        <f aca="false">IF(I149&gt;=1,"Screen","")</f>
        <v/>
      </c>
      <c r="L149" s="463" t="str">
        <f aca="false">IF(J149&gt;=1,"File","")</f>
        <v/>
      </c>
    </row>
    <row r="150" customFormat="false" ht="15.75" hidden="false" customHeight="false" outlineLevel="0" collapsed="false">
      <c r="B150" s="457" t="s">
        <v>1042</v>
      </c>
      <c r="C150" s="71" t="s">
        <v>969</v>
      </c>
      <c r="D150" s="466" t="s">
        <v>1054</v>
      </c>
      <c r="E150" s="72" t="s">
        <v>1193</v>
      </c>
      <c r="F150" s="72" t="s">
        <v>1377</v>
      </c>
      <c r="G150" s="72" t="s">
        <v>1378</v>
      </c>
      <c r="H150" s="462" t="n">
        <v>144</v>
      </c>
      <c r="I150" s="462" t="n">
        <v>0</v>
      </c>
      <c r="J150" s="462" t="n">
        <v>0</v>
      </c>
      <c r="K150" s="463" t="str">
        <f aca="false">IF(I150&gt;=1,"Screen","")</f>
        <v/>
      </c>
      <c r="L150" s="463" t="str">
        <f aca="false">IF(J150&gt;=1,"File","")</f>
        <v/>
      </c>
    </row>
    <row r="151" customFormat="false" ht="15.75" hidden="false" customHeight="false" outlineLevel="0" collapsed="false">
      <c r="B151" s="457" t="s">
        <v>1042</v>
      </c>
      <c r="C151" s="71" t="s">
        <v>969</v>
      </c>
      <c r="D151" s="139" t="s">
        <v>370</v>
      </c>
      <c r="E151" s="72" t="s">
        <v>1379</v>
      </c>
      <c r="F151" s="72" t="s">
        <v>1380</v>
      </c>
      <c r="G151" s="72" t="s">
        <v>1381</v>
      </c>
      <c r="H151" s="462" t="n">
        <v>145</v>
      </c>
      <c r="I151" s="462" t="n">
        <v>0</v>
      </c>
      <c r="J151" s="462" t="n">
        <v>0</v>
      </c>
      <c r="K151" s="463" t="str">
        <f aca="false">IF(I151&gt;=1,"Screen","")</f>
        <v/>
      </c>
      <c r="L151" s="463" t="str">
        <f aca="false">IF(J151&gt;=1,"File","")</f>
        <v/>
      </c>
    </row>
    <row r="152" customFormat="false" ht="15.75" hidden="false" customHeight="false" outlineLevel="0" collapsed="false">
      <c r="B152" s="26" t="s">
        <v>1318</v>
      </c>
      <c r="C152" s="151" t="s">
        <v>1050</v>
      </c>
      <c r="D152" s="183" t="s">
        <v>970</v>
      </c>
      <c r="E152" s="72" t="s">
        <v>1382</v>
      </c>
      <c r="F152" s="72" t="s">
        <v>1383</v>
      </c>
      <c r="G152" s="465" t="s">
        <v>1384</v>
      </c>
      <c r="H152" s="462" t="n">
        <v>146</v>
      </c>
      <c r="I152" s="462" t="n">
        <v>0</v>
      </c>
      <c r="J152" s="462" t="n">
        <v>0</v>
      </c>
      <c r="K152" s="463" t="str">
        <f aca="false">IF(I152&gt;=1,"Screen","")</f>
        <v/>
      </c>
      <c r="L152" s="463" t="str">
        <f aca="false">IF(J152&gt;=1,"File","")</f>
        <v/>
      </c>
    </row>
    <row r="153" customFormat="false" ht="15.75" hidden="false" customHeight="false" outlineLevel="0" collapsed="false">
      <c r="B153" s="26" t="s">
        <v>1318</v>
      </c>
      <c r="C153" s="151" t="s">
        <v>1050</v>
      </c>
      <c r="D153" s="139" t="s">
        <v>370</v>
      </c>
      <c r="E153" s="72" t="s">
        <v>1385</v>
      </c>
      <c r="F153" s="72" t="s">
        <v>1386</v>
      </c>
      <c r="G153" s="465" t="s">
        <v>1387</v>
      </c>
      <c r="H153" s="462" t="n">
        <v>147</v>
      </c>
      <c r="I153" s="462" t="n">
        <v>0</v>
      </c>
      <c r="J153" s="462" t="n">
        <v>0</v>
      </c>
      <c r="K153" s="463" t="str">
        <f aca="false">IF(I153&gt;=1,"Screen","")</f>
        <v/>
      </c>
      <c r="L153" s="463" t="str">
        <f aca="false">IF(J153&gt;=1,"File","")</f>
        <v/>
      </c>
    </row>
    <row r="154" customFormat="false" ht="15.75" hidden="false" customHeight="false" outlineLevel="0" collapsed="false">
      <c r="B154" s="457" t="s">
        <v>1042</v>
      </c>
      <c r="C154" s="121" t="s">
        <v>1361</v>
      </c>
      <c r="D154" s="139" t="s">
        <v>370</v>
      </c>
      <c r="E154" s="72" t="s">
        <v>1388</v>
      </c>
      <c r="F154" s="72" t="s">
        <v>1389</v>
      </c>
      <c r="G154" s="469" t="s">
        <v>1390</v>
      </c>
      <c r="H154" s="462" t="n">
        <v>148</v>
      </c>
      <c r="I154" s="462" t="n">
        <v>0</v>
      </c>
      <c r="J154" s="462" t="n">
        <v>0</v>
      </c>
      <c r="K154" s="463" t="str">
        <f aca="false">IF(I154&gt;=1,"Screen","")</f>
        <v/>
      </c>
      <c r="L154" s="463" t="str">
        <f aca="false">IF(J154&gt;=1,"File","")</f>
        <v/>
      </c>
    </row>
    <row r="155" customFormat="false" ht="15.75" hidden="false" customHeight="false" outlineLevel="0" collapsed="false">
      <c r="B155" s="457" t="s">
        <v>1042</v>
      </c>
      <c r="C155" s="121" t="s">
        <v>1361</v>
      </c>
      <c r="D155" s="152" t="s">
        <v>1043</v>
      </c>
      <c r="E155" s="72" t="s">
        <v>1391</v>
      </c>
      <c r="F155" s="72" t="s">
        <v>1392</v>
      </c>
      <c r="G155" s="469" t="s">
        <v>1393</v>
      </c>
      <c r="H155" s="462" t="n">
        <v>149</v>
      </c>
      <c r="I155" s="462" t="n">
        <v>0</v>
      </c>
      <c r="J155" s="462" t="n">
        <v>0</v>
      </c>
      <c r="K155" s="463" t="str">
        <f aca="false">IF(I155&gt;=1,"Screen","")</f>
        <v/>
      </c>
      <c r="L155" s="463" t="str">
        <f aca="false">IF(J155&gt;=1,"File","")</f>
        <v/>
      </c>
    </row>
    <row r="156" customFormat="false" ht="15.75" hidden="false" customHeight="false" outlineLevel="0" collapsed="false">
      <c r="B156" s="457" t="s">
        <v>1042</v>
      </c>
      <c r="C156" s="121" t="s">
        <v>1361</v>
      </c>
      <c r="D156" s="152" t="s">
        <v>1043</v>
      </c>
      <c r="E156" s="72" t="s">
        <v>1394</v>
      </c>
      <c r="F156" s="72" t="s">
        <v>1395</v>
      </c>
      <c r="G156" s="469" t="s">
        <v>1396</v>
      </c>
      <c r="H156" s="462" t="n">
        <v>150</v>
      </c>
      <c r="I156" s="462" t="n">
        <v>0</v>
      </c>
      <c r="J156" s="462" t="n">
        <v>0</v>
      </c>
      <c r="K156" s="463" t="str">
        <f aca="false">IF(I156&gt;=1,"Screen","")</f>
        <v/>
      </c>
      <c r="L156" s="463" t="str">
        <f aca="false">IF(J156&gt;=1,"File","")</f>
        <v/>
      </c>
    </row>
    <row r="157" customFormat="false" ht="15.75" hidden="false" customHeight="false" outlineLevel="0" collapsed="false">
      <c r="B157" s="461" t="s">
        <v>968</v>
      </c>
      <c r="C157" s="71" t="s">
        <v>969</v>
      </c>
      <c r="D157" s="183" t="s">
        <v>970</v>
      </c>
      <c r="E157" s="72" t="s">
        <v>1397</v>
      </c>
      <c r="F157" s="72" t="s">
        <v>1397</v>
      </c>
      <c r="G157" s="72" t="s">
        <v>1397</v>
      </c>
      <c r="H157" s="462" t="n">
        <v>151</v>
      </c>
      <c r="I157" s="462" t="n">
        <v>0</v>
      </c>
      <c r="J157" s="462" t="n">
        <v>0</v>
      </c>
      <c r="K157" s="463" t="str">
        <f aca="false">IF(I157&gt;=1,"Screen","")</f>
        <v/>
      </c>
      <c r="L157" s="463" t="str">
        <f aca="false">IF(J157&gt;=1,"File","")</f>
        <v/>
      </c>
    </row>
    <row r="158" customFormat="false" ht="15.75" hidden="false" customHeight="false" outlineLevel="0" collapsed="false">
      <c r="B158" s="461" t="s">
        <v>968</v>
      </c>
      <c r="C158" s="71" t="s">
        <v>969</v>
      </c>
      <c r="D158" s="183" t="s">
        <v>970</v>
      </c>
      <c r="E158" s="72" t="s">
        <v>1398</v>
      </c>
      <c r="F158" s="72" t="s">
        <v>1399</v>
      </c>
      <c r="G158" s="72" t="s">
        <v>1400</v>
      </c>
      <c r="H158" s="462" t="n">
        <v>152</v>
      </c>
      <c r="I158" s="462" t="n">
        <v>0</v>
      </c>
      <c r="J158" s="462" t="n">
        <v>0</v>
      </c>
      <c r="K158" s="463" t="str">
        <f aca="false">IF(I158&gt;=1,"Screen","")</f>
        <v/>
      </c>
      <c r="L158" s="463" t="str">
        <f aca="false">IF(J158&gt;=1,"File","")</f>
        <v/>
      </c>
    </row>
    <row r="159" customFormat="false" ht="15.75" hidden="false" customHeight="false" outlineLevel="0" collapsed="false">
      <c r="B159" s="461" t="s">
        <v>968</v>
      </c>
      <c r="C159" s="71" t="s">
        <v>969</v>
      </c>
      <c r="D159" s="183" t="s">
        <v>970</v>
      </c>
      <c r="E159" s="72" t="s">
        <v>1401</v>
      </c>
      <c r="F159" s="72" t="s">
        <v>1401</v>
      </c>
      <c r="G159" s="72" t="s">
        <v>1402</v>
      </c>
      <c r="H159" s="462" t="n">
        <v>153</v>
      </c>
      <c r="I159" s="462" t="n">
        <v>0</v>
      </c>
      <c r="J159" s="462" t="n">
        <v>0</v>
      </c>
      <c r="K159" s="463" t="str">
        <f aca="false">IF(I159&gt;=1,"Screen","")</f>
        <v/>
      </c>
      <c r="L159" s="463" t="str">
        <f aca="false">IF(J159&gt;=1,"File","")</f>
        <v/>
      </c>
    </row>
    <row r="160" customFormat="false" ht="15.75" hidden="false" customHeight="false" outlineLevel="0" collapsed="false">
      <c r="B160" s="176" t="s">
        <v>1403</v>
      </c>
      <c r="C160" s="71" t="s">
        <v>969</v>
      </c>
      <c r="D160" s="468" t="s">
        <v>1320</v>
      </c>
      <c r="E160" s="72" t="s">
        <v>1404</v>
      </c>
      <c r="F160" s="72" t="s">
        <v>1405</v>
      </c>
      <c r="G160" s="72" t="s">
        <v>1406</v>
      </c>
      <c r="H160" s="462" t="n">
        <v>154</v>
      </c>
      <c r="I160" s="462" t="n">
        <v>0</v>
      </c>
      <c r="J160" s="462" t="n">
        <v>0</v>
      </c>
      <c r="K160" s="463" t="str">
        <f aca="false">IF(I160&gt;=1,"Screen","")</f>
        <v/>
      </c>
      <c r="L160" s="463" t="str">
        <f aca="false">IF(J160&gt;=1,"File","")</f>
        <v/>
      </c>
    </row>
    <row r="161" customFormat="false" ht="15.75" hidden="false" customHeight="false" outlineLevel="0" collapsed="false">
      <c r="B161" s="176" t="s">
        <v>1403</v>
      </c>
      <c r="C161" s="71" t="s">
        <v>969</v>
      </c>
      <c r="D161" s="468" t="s">
        <v>1320</v>
      </c>
      <c r="E161" s="72" t="s">
        <v>1407</v>
      </c>
      <c r="F161" s="72" t="s">
        <v>1407</v>
      </c>
      <c r="G161" s="72" t="s">
        <v>1408</v>
      </c>
      <c r="H161" s="462" t="n">
        <v>155</v>
      </c>
      <c r="I161" s="462" t="n">
        <v>0</v>
      </c>
      <c r="J161" s="462" t="n">
        <v>0</v>
      </c>
      <c r="K161" s="463" t="str">
        <f aca="false">IF(I161&gt;=1,"Screen","")</f>
        <v/>
      </c>
      <c r="L161" s="463" t="str">
        <f aca="false">IF(J161&gt;=1,"File","")</f>
        <v/>
      </c>
    </row>
    <row r="162" customFormat="false" ht="15.75" hidden="false" customHeight="false" outlineLevel="0" collapsed="false">
      <c r="B162" s="176" t="s">
        <v>1403</v>
      </c>
      <c r="C162" s="71" t="s">
        <v>969</v>
      </c>
      <c r="D162" s="468" t="s">
        <v>1320</v>
      </c>
      <c r="E162" s="72" t="s">
        <v>1409</v>
      </c>
      <c r="F162" s="72" t="s">
        <v>1409</v>
      </c>
      <c r="G162" s="72" t="s">
        <v>1410</v>
      </c>
      <c r="H162" s="462" t="n">
        <v>156</v>
      </c>
      <c r="I162" s="462" t="n">
        <v>0</v>
      </c>
      <c r="J162" s="462" t="n">
        <v>0</v>
      </c>
      <c r="K162" s="463" t="str">
        <f aca="false">IF(I162&gt;=1,"Screen","")</f>
        <v/>
      </c>
      <c r="L162" s="463" t="str">
        <f aca="false">IF(J162&gt;=1,"File","")</f>
        <v/>
      </c>
    </row>
    <row r="163" customFormat="false" ht="15.75" hidden="false" customHeight="false" outlineLevel="0" collapsed="false">
      <c r="B163" s="176" t="s">
        <v>1403</v>
      </c>
      <c r="C163" s="71" t="s">
        <v>969</v>
      </c>
      <c r="D163" s="468" t="s">
        <v>1320</v>
      </c>
      <c r="E163" s="72" t="s">
        <v>1411</v>
      </c>
      <c r="F163" s="72" t="s">
        <v>1411</v>
      </c>
      <c r="G163" s="72" t="s">
        <v>1412</v>
      </c>
      <c r="H163" s="462" t="n">
        <v>157</v>
      </c>
      <c r="I163" s="462" t="n">
        <v>0</v>
      </c>
      <c r="J163" s="462" t="n">
        <v>0</v>
      </c>
      <c r="K163" s="463" t="str">
        <f aca="false">IF(I163&gt;=1,"Screen","")</f>
        <v/>
      </c>
      <c r="L163" s="463" t="str">
        <f aca="false">IF(J163&gt;=1,"File","")</f>
        <v/>
      </c>
    </row>
    <row r="164" customFormat="false" ht="15.75" hidden="false" customHeight="false" outlineLevel="0" collapsed="false">
      <c r="B164" s="176" t="s">
        <v>1403</v>
      </c>
      <c r="C164" s="71" t="s">
        <v>969</v>
      </c>
      <c r="D164" s="468" t="s">
        <v>1320</v>
      </c>
      <c r="E164" s="72" t="s">
        <v>1366</v>
      </c>
      <c r="F164" s="72" t="s">
        <v>1366</v>
      </c>
      <c r="G164" s="72" t="s">
        <v>1413</v>
      </c>
      <c r="H164" s="462" t="n">
        <v>158</v>
      </c>
      <c r="I164" s="462" t="n">
        <v>0</v>
      </c>
      <c r="J164" s="462" t="n">
        <v>0</v>
      </c>
      <c r="K164" s="463" t="str">
        <f aca="false">IF(I164&gt;=1,"Screen","")</f>
        <v/>
      </c>
      <c r="L164" s="463" t="str">
        <f aca="false">IF(J164&gt;=1,"File","")</f>
        <v/>
      </c>
    </row>
    <row r="165" customFormat="false" ht="15.75" hidden="false" customHeight="false" outlineLevel="0" collapsed="false">
      <c r="B165" s="176" t="s">
        <v>1403</v>
      </c>
      <c r="C165" s="71" t="s">
        <v>969</v>
      </c>
      <c r="D165" s="468" t="s">
        <v>1320</v>
      </c>
      <c r="E165" s="72" t="s">
        <v>1414</v>
      </c>
      <c r="F165" s="72" t="s">
        <v>1414</v>
      </c>
      <c r="G165" s="72" t="s">
        <v>1415</v>
      </c>
      <c r="H165" s="462" t="n">
        <v>159</v>
      </c>
      <c r="I165" s="462" t="n">
        <v>0</v>
      </c>
      <c r="J165" s="462" t="n">
        <v>0</v>
      </c>
      <c r="K165" s="463" t="str">
        <f aca="false">IF(I165&gt;=1,"Screen","")</f>
        <v/>
      </c>
      <c r="L165" s="463" t="str">
        <f aca="false">IF(J165&gt;=1,"File","")</f>
        <v/>
      </c>
    </row>
    <row r="166" customFormat="false" ht="15.75" hidden="false" customHeight="false" outlineLevel="0" collapsed="false">
      <c r="B166" s="176" t="s">
        <v>1403</v>
      </c>
      <c r="C166" s="71" t="s">
        <v>969</v>
      </c>
      <c r="D166" s="468" t="s">
        <v>1320</v>
      </c>
      <c r="E166" s="72" t="s">
        <v>1416</v>
      </c>
      <c r="F166" s="72" t="s">
        <v>1416</v>
      </c>
      <c r="G166" s="72" t="s">
        <v>1417</v>
      </c>
      <c r="H166" s="462" t="n">
        <v>160</v>
      </c>
      <c r="I166" s="462" t="n">
        <v>0</v>
      </c>
      <c r="J166" s="462" t="n">
        <v>0</v>
      </c>
      <c r="K166" s="463" t="str">
        <f aca="false">IF(I166&gt;=1,"Screen","")</f>
        <v/>
      </c>
      <c r="L166" s="463" t="str">
        <f aca="false">IF(J166&gt;=1,"File","")</f>
        <v/>
      </c>
    </row>
    <row r="167" customFormat="false" ht="15.75" hidden="false" customHeight="false" outlineLevel="0" collapsed="false">
      <c r="B167" s="176" t="s">
        <v>1403</v>
      </c>
      <c r="C167" s="71" t="s">
        <v>969</v>
      </c>
      <c r="D167" s="468" t="s">
        <v>1320</v>
      </c>
      <c r="E167" s="72" t="s">
        <v>1418</v>
      </c>
      <c r="F167" s="72" t="s">
        <v>1418</v>
      </c>
      <c r="G167" s="72" t="s">
        <v>1419</v>
      </c>
      <c r="H167" s="462" t="n">
        <v>161</v>
      </c>
      <c r="I167" s="462" t="n">
        <v>0</v>
      </c>
      <c r="J167" s="462" t="n">
        <v>0</v>
      </c>
      <c r="K167" s="463" t="str">
        <f aca="false">IF(I167&gt;=1,"Screen","")</f>
        <v/>
      </c>
      <c r="L167" s="463" t="str">
        <f aca="false">IF(J167&gt;=1,"File","")</f>
        <v/>
      </c>
    </row>
    <row r="168" customFormat="false" ht="15.75" hidden="false" customHeight="false" outlineLevel="0" collapsed="false">
      <c r="B168" s="176" t="s">
        <v>1403</v>
      </c>
      <c r="C168" s="71" t="s">
        <v>969</v>
      </c>
      <c r="D168" s="468" t="s">
        <v>1320</v>
      </c>
      <c r="E168" s="72" t="s">
        <v>1420</v>
      </c>
      <c r="F168" s="470" t="s">
        <v>1421</v>
      </c>
      <c r="G168" s="72" t="s">
        <v>1422</v>
      </c>
      <c r="H168" s="462" t="n">
        <v>162</v>
      </c>
      <c r="I168" s="462" t="n">
        <v>0</v>
      </c>
      <c r="J168" s="462" t="n">
        <v>0</v>
      </c>
      <c r="K168" s="463" t="str">
        <f aca="false">IF(I168&gt;=1,"Screen","")</f>
        <v/>
      </c>
      <c r="L168" s="463" t="str">
        <f aca="false">IF(J168&gt;=1,"File","")</f>
        <v/>
      </c>
    </row>
    <row r="169" customFormat="false" ht="15.75" hidden="false" customHeight="false" outlineLevel="0" collapsed="false">
      <c r="B169" s="176" t="s">
        <v>1403</v>
      </c>
      <c r="C169" s="71" t="s">
        <v>969</v>
      </c>
      <c r="D169" s="468" t="s">
        <v>1320</v>
      </c>
      <c r="E169" s="72" t="s">
        <v>1423</v>
      </c>
      <c r="F169" s="470" t="s">
        <v>1424</v>
      </c>
      <c r="G169" s="72" t="s">
        <v>1425</v>
      </c>
      <c r="H169" s="462" t="n">
        <v>163</v>
      </c>
      <c r="I169" s="462" t="n">
        <v>0</v>
      </c>
      <c r="J169" s="462" t="n">
        <v>0</v>
      </c>
      <c r="K169" s="463" t="str">
        <f aca="false">IF(I169&gt;=1,"Screen","")</f>
        <v/>
      </c>
      <c r="L169" s="463" t="str">
        <f aca="false">IF(J169&gt;=1,"File","")</f>
        <v/>
      </c>
    </row>
    <row r="170" customFormat="false" ht="15.75" hidden="false" customHeight="false" outlineLevel="0" collapsed="false">
      <c r="B170" s="176" t="s">
        <v>1403</v>
      </c>
      <c r="C170" s="71" t="s">
        <v>969</v>
      </c>
      <c r="D170" s="468" t="s">
        <v>1320</v>
      </c>
      <c r="E170" s="72" t="s">
        <v>1426</v>
      </c>
      <c r="F170" s="470" t="s">
        <v>1427</v>
      </c>
      <c r="G170" s="72" t="s">
        <v>1428</v>
      </c>
      <c r="H170" s="462" t="n">
        <v>164</v>
      </c>
      <c r="I170" s="462" t="n">
        <v>0</v>
      </c>
      <c r="J170" s="462" t="n">
        <v>0</v>
      </c>
      <c r="K170" s="463" t="str">
        <f aca="false">IF(I170&gt;=1,"Screen","")</f>
        <v/>
      </c>
      <c r="L170" s="463" t="str">
        <f aca="false">IF(J170&gt;=1,"File","")</f>
        <v/>
      </c>
    </row>
    <row r="171" customFormat="false" ht="15.75" hidden="false" customHeight="false" outlineLevel="0" collapsed="false">
      <c r="B171" s="176" t="s">
        <v>1403</v>
      </c>
      <c r="C171" s="71" t="s">
        <v>969</v>
      </c>
      <c r="D171" s="468" t="s">
        <v>1320</v>
      </c>
      <c r="E171" s="72" t="s">
        <v>1429</v>
      </c>
      <c r="F171" s="470" t="s">
        <v>1430</v>
      </c>
      <c r="G171" s="72" t="s">
        <v>1431</v>
      </c>
      <c r="H171" s="462" t="n">
        <v>165</v>
      </c>
      <c r="I171" s="462" t="n">
        <v>0</v>
      </c>
      <c r="J171" s="462" t="n">
        <v>0</v>
      </c>
      <c r="K171" s="463" t="str">
        <f aca="false">IF(I171&gt;=1,"Screen","")</f>
        <v/>
      </c>
      <c r="L171" s="463" t="str">
        <f aca="false">IF(J171&gt;=1,"File","")</f>
        <v/>
      </c>
    </row>
    <row r="172" customFormat="false" ht="15.75" hidden="false" customHeight="false" outlineLevel="0" collapsed="false">
      <c r="B172" s="176" t="s">
        <v>1403</v>
      </c>
      <c r="C172" s="71" t="s">
        <v>969</v>
      </c>
      <c r="D172" s="468" t="s">
        <v>1320</v>
      </c>
      <c r="E172" s="72" t="s">
        <v>1432</v>
      </c>
      <c r="F172" s="72" t="s">
        <v>1433</v>
      </c>
      <c r="G172" s="72" t="s">
        <v>1434</v>
      </c>
      <c r="H172" s="462" t="n">
        <v>166</v>
      </c>
      <c r="I172" s="462" t="n">
        <v>0</v>
      </c>
      <c r="J172" s="462" t="n">
        <v>0</v>
      </c>
      <c r="K172" s="463" t="str">
        <f aca="false">IF(I172&gt;=1,"Screen","")</f>
        <v/>
      </c>
      <c r="L172" s="463" t="str">
        <f aca="false">IF(J172&gt;=1,"File","")</f>
        <v/>
      </c>
    </row>
    <row r="173" customFormat="false" ht="15.75" hidden="false" customHeight="false" outlineLevel="0" collapsed="false">
      <c r="B173" s="176" t="s">
        <v>1403</v>
      </c>
      <c r="C173" s="71" t="s">
        <v>969</v>
      </c>
      <c r="D173" s="468" t="s">
        <v>1320</v>
      </c>
      <c r="E173" s="72" t="s">
        <v>1435</v>
      </c>
      <c r="F173" s="72" t="s">
        <v>1436</v>
      </c>
      <c r="G173" s="72" t="s">
        <v>1437</v>
      </c>
      <c r="H173" s="462" t="n">
        <v>167</v>
      </c>
      <c r="I173" s="462" t="n">
        <v>0</v>
      </c>
      <c r="J173" s="462" t="n">
        <v>0</v>
      </c>
      <c r="K173" s="463" t="str">
        <f aca="false">IF(I173&gt;=1,"Screen","")</f>
        <v/>
      </c>
      <c r="L173" s="463" t="str">
        <f aca="false">IF(J173&gt;=1,"File","")</f>
        <v/>
      </c>
    </row>
    <row r="174" customFormat="false" ht="15.75" hidden="false" customHeight="false" outlineLevel="0" collapsed="false">
      <c r="B174" s="71" t="s">
        <v>1010</v>
      </c>
      <c r="C174" s="71" t="s">
        <v>969</v>
      </c>
      <c r="D174" s="139" t="s">
        <v>370</v>
      </c>
      <c r="E174" s="72" t="s">
        <v>1438</v>
      </c>
      <c r="F174" s="72" t="s">
        <v>1439</v>
      </c>
      <c r="G174" s="72" t="s">
        <v>1439</v>
      </c>
      <c r="H174" s="462" t="n">
        <v>168</v>
      </c>
      <c r="I174" s="462" t="n">
        <v>0</v>
      </c>
      <c r="J174" s="462" t="n">
        <v>0</v>
      </c>
      <c r="K174" s="463" t="str">
        <f aca="false">IF(I174&gt;=1,"Screen","")</f>
        <v/>
      </c>
      <c r="L174" s="463" t="str">
        <f aca="false">IF(J174&gt;=1,"File","")</f>
        <v/>
      </c>
    </row>
    <row r="175" customFormat="false" ht="15.75" hidden="false" customHeight="false" outlineLevel="0" collapsed="false">
      <c r="B175" s="71" t="s">
        <v>1010</v>
      </c>
      <c r="C175" s="71" t="s">
        <v>969</v>
      </c>
      <c r="D175" s="139" t="s">
        <v>370</v>
      </c>
      <c r="E175" s="72" t="s">
        <v>1440</v>
      </c>
      <c r="F175" s="72" t="s">
        <v>1441</v>
      </c>
      <c r="G175" s="72" t="s">
        <v>1441</v>
      </c>
      <c r="H175" s="462" t="n">
        <v>169</v>
      </c>
      <c r="I175" s="462" t="n">
        <v>0</v>
      </c>
      <c r="J175" s="462" t="n">
        <v>0</v>
      </c>
      <c r="K175" s="463" t="str">
        <f aca="false">IF(I175&gt;=1,"Screen","")</f>
        <v/>
      </c>
      <c r="L175" s="463" t="str">
        <f aca="false">IF(J175&gt;=1,"File","")</f>
        <v/>
      </c>
    </row>
    <row r="176" customFormat="false" ht="15.75" hidden="false" customHeight="false" outlineLevel="0" collapsed="false">
      <c r="B176" s="152" t="s">
        <v>1029</v>
      </c>
      <c r="C176" s="71" t="s">
        <v>969</v>
      </c>
      <c r="D176" s="466" t="s">
        <v>1054</v>
      </c>
      <c r="E176" s="72" t="s">
        <v>1442</v>
      </c>
      <c r="F176" s="72" t="s">
        <v>1442</v>
      </c>
      <c r="G176" s="72" t="s">
        <v>1442</v>
      </c>
      <c r="H176" s="462" t="n">
        <v>170</v>
      </c>
      <c r="I176" s="462" t="n">
        <v>0</v>
      </c>
      <c r="J176" s="462" t="n">
        <v>0</v>
      </c>
      <c r="K176" s="463" t="str">
        <f aca="false">IF(I176&gt;=1,"Screen","")</f>
        <v/>
      </c>
      <c r="L176" s="463" t="str">
        <f aca="false">IF(J176&gt;=1,"File","")</f>
        <v/>
      </c>
    </row>
    <row r="177" customFormat="false" ht="15.75" hidden="false" customHeight="false" outlineLevel="0" collapsed="false">
      <c r="B177" s="464" t="s">
        <v>1032</v>
      </c>
      <c r="C177" s="71" t="s">
        <v>969</v>
      </c>
      <c r="D177" s="151" t="s">
        <v>358</v>
      </c>
      <c r="E177" s="72" t="s">
        <v>1443</v>
      </c>
      <c r="F177" s="72" t="s">
        <v>1444</v>
      </c>
      <c r="G177" s="471" t="s">
        <v>1445</v>
      </c>
      <c r="H177" s="462" t="n">
        <v>171</v>
      </c>
      <c r="I177" s="462" t="n">
        <v>0</v>
      </c>
      <c r="J177" s="462" t="n">
        <v>0</v>
      </c>
      <c r="K177" s="463" t="str">
        <f aca="false">IF(I177&gt;=1,"Screen","")</f>
        <v/>
      </c>
      <c r="L177" s="463" t="str">
        <f aca="false">IF(J177&gt;=1,"File","")</f>
        <v/>
      </c>
    </row>
    <row r="178" customFormat="false" ht="15.75" hidden="false" customHeight="false" outlineLevel="0" collapsed="false">
      <c r="B178" s="152" t="s">
        <v>1029</v>
      </c>
      <c r="C178" s="71" t="s">
        <v>969</v>
      </c>
      <c r="D178" s="161" t="s">
        <v>424</v>
      </c>
      <c r="E178" s="72" t="s">
        <v>1446</v>
      </c>
      <c r="F178" s="72" t="s">
        <v>1447</v>
      </c>
      <c r="G178" s="72" t="s">
        <v>1447</v>
      </c>
      <c r="H178" s="462" t="n">
        <v>172</v>
      </c>
      <c r="I178" s="462" t="n">
        <v>0</v>
      </c>
      <c r="J178" s="462" t="n">
        <v>0</v>
      </c>
      <c r="K178" s="463" t="str">
        <f aca="false">IF(I178&gt;=1,"Screen","")</f>
        <v/>
      </c>
      <c r="L178" s="463" t="str">
        <f aca="false">IF(J178&gt;=1,"File","")</f>
        <v/>
      </c>
    </row>
    <row r="179" customFormat="false" ht="15.75" hidden="false" customHeight="false" outlineLevel="0" collapsed="false">
      <c r="B179" s="318" t="s">
        <v>1039</v>
      </c>
      <c r="C179" s="151" t="s">
        <v>1050</v>
      </c>
      <c r="D179" s="161" t="s">
        <v>424</v>
      </c>
      <c r="E179" s="72" t="s">
        <v>1448</v>
      </c>
      <c r="F179" s="72" t="s">
        <v>1449</v>
      </c>
      <c r="G179" s="465" t="s">
        <v>1450</v>
      </c>
      <c r="H179" s="472" t="n">
        <v>173</v>
      </c>
      <c r="I179" s="462" t="n">
        <v>0</v>
      </c>
      <c r="J179" s="462" t="n">
        <v>0</v>
      </c>
      <c r="K179" s="463" t="str">
        <f aca="false">IF(I179&gt;=1,"Screen","")</f>
        <v/>
      </c>
      <c r="L179" s="463" t="str">
        <f aca="false">IF(J179&gt;=1,"File","")</f>
        <v/>
      </c>
    </row>
    <row r="180" customFormat="false" ht="15.75" hidden="false" customHeight="false" outlineLevel="0" collapsed="false">
      <c r="B180" s="26" t="s">
        <v>1318</v>
      </c>
      <c r="C180" s="151" t="s">
        <v>1050</v>
      </c>
      <c r="D180" s="152" t="s">
        <v>1043</v>
      </c>
      <c r="E180" s="72" t="s">
        <v>1451</v>
      </c>
      <c r="F180" s="72" t="s">
        <v>1452</v>
      </c>
      <c r="G180" s="465" t="s">
        <v>1453</v>
      </c>
      <c r="H180" s="462" t="n">
        <v>174</v>
      </c>
      <c r="I180" s="462" t="n">
        <v>0</v>
      </c>
      <c r="J180" s="462" t="n">
        <v>0</v>
      </c>
      <c r="K180" s="463" t="str">
        <f aca="false">IF(I180&gt;=1,"Screen","")</f>
        <v/>
      </c>
      <c r="L180" s="463" t="str">
        <f aca="false">IF(J180&gt;=1,"File","")</f>
        <v/>
      </c>
    </row>
    <row r="181" customFormat="false" ht="15.75" hidden="false" customHeight="false" outlineLevel="0" collapsed="false">
      <c r="B181" s="26" t="s">
        <v>1318</v>
      </c>
      <c r="C181" s="151" t="s">
        <v>1050</v>
      </c>
      <c r="D181" s="183" t="s">
        <v>970</v>
      </c>
      <c r="E181" s="72" t="s">
        <v>1454</v>
      </c>
      <c r="F181" s="72" t="s">
        <v>1455</v>
      </c>
      <c r="G181" s="465" t="s">
        <v>1456</v>
      </c>
      <c r="H181" s="462" t="n">
        <v>175</v>
      </c>
      <c r="I181" s="462" t="n">
        <v>0</v>
      </c>
      <c r="J181" s="462" t="n">
        <v>0</v>
      </c>
      <c r="K181" s="463" t="str">
        <f aca="false">IF(I181&gt;=1,"Screen","")</f>
        <v/>
      </c>
      <c r="L181" s="463" t="str">
        <f aca="false">IF(J181&gt;=1,"File","")</f>
        <v/>
      </c>
    </row>
    <row r="182" customFormat="false" ht="15.75" hidden="false" customHeight="false" outlineLevel="0" collapsed="false">
      <c r="B182" s="71" t="s">
        <v>1010</v>
      </c>
      <c r="C182" s="71" t="s">
        <v>969</v>
      </c>
      <c r="D182" s="139" t="s">
        <v>370</v>
      </c>
      <c r="E182" s="72" t="s">
        <v>1457</v>
      </c>
      <c r="F182" s="72" t="s">
        <v>1458</v>
      </c>
      <c r="G182" s="72" t="s">
        <v>1458</v>
      </c>
      <c r="H182" s="462" t="n">
        <v>176</v>
      </c>
      <c r="I182" s="462" t="n">
        <v>0</v>
      </c>
      <c r="J182" s="462" t="n">
        <v>0</v>
      </c>
      <c r="K182" s="463" t="str">
        <f aca="false">IF(I182&gt;=1,"Screen","")</f>
        <v/>
      </c>
      <c r="L182" s="463" t="str">
        <f aca="false">IF(J182&gt;=1,"File","")</f>
        <v/>
      </c>
    </row>
    <row r="183" customFormat="false" ht="15.75" hidden="false" customHeight="false" outlineLevel="0" collapsed="false">
      <c r="B183" s="457" t="s">
        <v>1042</v>
      </c>
      <c r="C183" s="151" t="s">
        <v>1050</v>
      </c>
      <c r="D183" s="139" t="s">
        <v>370</v>
      </c>
      <c r="E183" s="72" t="s">
        <v>1459</v>
      </c>
      <c r="F183" s="72" t="s">
        <v>1460</v>
      </c>
      <c r="G183" s="72" t="s">
        <v>1460</v>
      </c>
      <c r="H183" s="462" t="n">
        <v>177</v>
      </c>
      <c r="I183" s="462" t="n">
        <v>0</v>
      </c>
      <c r="J183" s="462" t="n">
        <v>0</v>
      </c>
      <c r="K183" s="463" t="str">
        <f aca="false">IF(I183&gt;=1,"Screen","")</f>
        <v/>
      </c>
      <c r="L183" s="463" t="str">
        <f aca="false">IF(J183&gt;=1,"File","")</f>
        <v/>
      </c>
    </row>
    <row r="184" customFormat="false" ht="15.75" hidden="false" customHeight="false" outlineLevel="0" collapsed="false">
      <c r="B184" s="457" t="s">
        <v>1042</v>
      </c>
      <c r="C184" s="151" t="s">
        <v>1050</v>
      </c>
      <c r="D184" s="139" t="s">
        <v>370</v>
      </c>
      <c r="E184" s="72" t="s">
        <v>1461</v>
      </c>
      <c r="F184" s="72" t="s">
        <v>1462</v>
      </c>
      <c r="G184" s="72" t="s">
        <v>1462</v>
      </c>
      <c r="H184" s="462" t="n">
        <v>178</v>
      </c>
      <c r="I184" s="462" t="n">
        <v>0</v>
      </c>
      <c r="J184" s="462" t="n">
        <v>0</v>
      </c>
      <c r="K184" s="463" t="str">
        <f aca="false">IF(I184&gt;=1,"Screen","")</f>
        <v/>
      </c>
      <c r="L184" s="463" t="str">
        <f aca="false">IF(J184&gt;=1,"File","")</f>
        <v/>
      </c>
    </row>
    <row r="185" customFormat="false" ht="15.75" hidden="false" customHeight="false" outlineLevel="0" collapsed="false">
      <c r="B185" s="457" t="s">
        <v>1042</v>
      </c>
      <c r="C185" s="151" t="s">
        <v>1050</v>
      </c>
      <c r="D185" s="139" t="s">
        <v>370</v>
      </c>
      <c r="E185" s="72" t="s">
        <v>1463</v>
      </c>
      <c r="F185" s="72" t="s">
        <v>1464</v>
      </c>
      <c r="G185" s="72" t="s">
        <v>1465</v>
      </c>
      <c r="H185" s="462" t="n">
        <v>179</v>
      </c>
      <c r="I185" s="462" t="n">
        <v>0</v>
      </c>
      <c r="J185" s="462" t="n">
        <v>0</v>
      </c>
      <c r="K185" s="463" t="str">
        <f aca="false">IF(I185&gt;=1,"Screen","")</f>
        <v/>
      </c>
      <c r="L185" s="463" t="str">
        <f aca="false">IF(J185&gt;=1,"File","")</f>
        <v/>
      </c>
    </row>
    <row r="186" customFormat="false" ht="15.75" hidden="false" customHeight="false" outlineLevel="0" collapsed="false">
      <c r="B186" s="71" t="s">
        <v>1010</v>
      </c>
      <c r="C186" s="71" t="s">
        <v>969</v>
      </c>
      <c r="D186" s="139" t="s">
        <v>370</v>
      </c>
      <c r="E186" s="72" t="s">
        <v>1466</v>
      </c>
      <c r="F186" s="72" t="s">
        <v>1467</v>
      </c>
      <c r="G186" s="72" t="s">
        <v>1468</v>
      </c>
      <c r="H186" s="462" t="n">
        <v>180</v>
      </c>
      <c r="I186" s="462" t="n">
        <v>0</v>
      </c>
      <c r="J186" s="462" t="n">
        <v>0</v>
      </c>
      <c r="K186" s="463" t="str">
        <f aca="false">IF(I186&gt;=1,"Screen","")</f>
        <v/>
      </c>
      <c r="L186" s="463" t="str">
        <f aca="false">IF(J186&gt;=1,"File","")</f>
        <v/>
      </c>
    </row>
    <row r="187" customFormat="false" ht="15.75" hidden="false" customHeight="false" outlineLevel="0" collapsed="false">
      <c r="B187" s="71" t="s">
        <v>1010</v>
      </c>
      <c r="C187" s="151" t="s">
        <v>1050</v>
      </c>
      <c r="D187" s="139" t="s">
        <v>370</v>
      </c>
      <c r="E187" s="72" t="s">
        <v>1469</v>
      </c>
      <c r="F187" s="72" t="s">
        <v>1470</v>
      </c>
      <c r="G187" s="72" t="s">
        <v>1471</v>
      </c>
      <c r="H187" s="462" t="n">
        <v>181</v>
      </c>
      <c r="I187" s="462" t="n">
        <v>0</v>
      </c>
      <c r="J187" s="462" t="n">
        <v>0</v>
      </c>
      <c r="K187" s="463" t="str">
        <f aca="false">IF(I187&gt;=1,"Screen","")</f>
        <v/>
      </c>
      <c r="L187" s="463" t="str">
        <f aca="false">IF(J187&gt;=1,"File","")</f>
        <v/>
      </c>
    </row>
    <row r="188" customFormat="false" ht="15.75" hidden="false" customHeight="false" outlineLevel="0" collapsed="false">
      <c r="B188" s="461" t="s">
        <v>968</v>
      </c>
      <c r="C188" s="71" t="s">
        <v>969</v>
      </c>
      <c r="D188" s="183" t="s">
        <v>970</v>
      </c>
      <c r="E188" s="72" t="s">
        <v>1472</v>
      </c>
      <c r="F188" s="72" t="s">
        <v>1472</v>
      </c>
      <c r="G188" s="72" t="s">
        <v>1472</v>
      </c>
      <c r="H188" s="462" t="n">
        <v>182</v>
      </c>
      <c r="I188" s="462" t="n">
        <v>0</v>
      </c>
      <c r="J188" s="462" t="n">
        <v>0</v>
      </c>
      <c r="K188" s="463" t="str">
        <f aca="false">IF(I188&gt;=1,"Screen","")</f>
        <v/>
      </c>
      <c r="L188" s="463" t="str">
        <f aca="false">IF(J188&gt;=1,"File","")</f>
        <v/>
      </c>
    </row>
    <row r="189" customFormat="false" ht="15.75" hidden="false" customHeight="false" outlineLevel="0" collapsed="false">
      <c r="B189" s="461" t="s">
        <v>968</v>
      </c>
      <c r="C189" s="71" t="s">
        <v>969</v>
      </c>
      <c r="D189" s="183" t="s">
        <v>970</v>
      </c>
      <c r="E189" s="72" t="s">
        <v>1473</v>
      </c>
      <c r="F189" s="72" t="s">
        <v>1473</v>
      </c>
      <c r="G189" s="72" t="s">
        <v>1473</v>
      </c>
      <c r="H189" s="462" t="n">
        <v>183</v>
      </c>
      <c r="I189" s="462" t="n">
        <v>0</v>
      </c>
      <c r="J189" s="462" t="n">
        <v>0</v>
      </c>
      <c r="K189" s="463" t="str">
        <f aca="false">IF(I189&gt;=1,"Screen","")</f>
        <v/>
      </c>
      <c r="L189" s="463" t="str">
        <f aca="false">IF(J189&gt;=1,"File","")</f>
        <v/>
      </c>
    </row>
    <row r="190" customFormat="false" ht="15.75" hidden="false" customHeight="false" outlineLevel="0" collapsed="false">
      <c r="B190" s="461" t="s">
        <v>968</v>
      </c>
      <c r="C190" s="71" t="s">
        <v>969</v>
      </c>
      <c r="D190" s="183" t="s">
        <v>970</v>
      </c>
      <c r="E190" s="72" t="s">
        <v>1474</v>
      </c>
      <c r="F190" s="72" t="s">
        <v>1474</v>
      </c>
      <c r="G190" s="72" t="s">
        <v>1474</v>
      </c>
      <c r="H190" s="462" t="n">
        <v>184</v>
      </c>
      <c r="I190" s="462" t="n">
        <v>0</v>
      </c>
      <c r="J190" s="462" t="n">
        <v>0</v>
      </c>
      <c r="K190" s="463" t="str">
        <f aca="false">IF(I190&gt;=1,"Screen","")</f>
        <v/>
      </c>
      <c r="L190" s="463" t="str">
        <f aca="false">IF(J190&gt;=1,"File","")</f>
        <v/>
      </c>
    </row>
    <row r="191" customFormat="false" ht="15.75" hidden="false" customHeight="false" outlineLevel="0" collapsed="false">
      <c r="B191" s="318" t="s">
        <v>1039</v>
      </c>
      <c r="C191" s="151" t="s">
        <v>1050</v>
      </c>
      <c r="D191" s="161" t="s">
        <v>424</v>
      </c>
      <c r="E191" s="72" t="s">
        <v>1475</v>
      </c>
      <c r="F191" s="72" t="s">
        <v>1476</v>
      </c>
      <c r="G191" s="465" t="s">
        <v>1477</v>
      </c>
      <c r="H191" s="472" t="n">
        <v>185</v>
      </c>
      <c r="I191" s="462" t="n">
        <v>0</v>
      </c>
      <c r="J191" s="462" t="n">
        <v>0</v>
      </c>
      <c r="K191" s="463" t="str">
        <f aca="false">IF(I191&gt;=1,"Screen","")</f>
        <v/>
      </c>
      <c r="L191" s="463" t="str">
        <f aca="false">IF(J191&gt;=1,"File","")</f>
        <v/>
      </c>
    </row>
    <row r="192" customFormat="false" ht="15.75" hidden="false" customHeight="false" outlineLevel="0" collapsed="false">
      <c r="B192" s="318" t="s">
        <v>1039</v>
      </c>
      <c r="C192" s="151" t="s">
        <v>1050</v>
      </c>
      <c r="D192" s="161" t="s">
        <v>1135</v>
      </c>
      <c r="E192" s="72" t="s">
        <v>1478</v>
      </c>
      <c r="F192" s="72" t="s">
        <v>1479</v>
      </c>
      <c r="G192" s="465" t="s">
        <v>1480</v>
      </c>
      <c r="H192" s="472" t="n">
        <v>186</v>
      </c>
      <c r="I192" s="462" t="n">
        <v>0</v>
      </c>
      <c r="J192" s="462" t="n">
        <v>0</v>
      </c>
      <c r="K192" s="463" t="str">
        <f aca="false">IF(I192&gt;=1,"Screen","")</f>
        <v/>
      </c>
      <c r="L192" s="463" t="str">
        <f aca="false">IF(J192&gt;=1,"File","")</f>
        <v/>
      </c>
    </row>
    <row r="193" customFormat="false" ht="15.75" hidden="false" customHeight="false" outlineLevel="0" collapsed="false">
      <c r="B193" s="152" t="s">
        <v>1029</v>
      </c>
      <c r="C193" s="71" t="s">
        <v>969</v>
      </c>
      <c r="D193" s="161" t="s">
        <v>424</v>
      </c>
      <c r="E193" s="72" t="s">
        <v>1481</v>
      </c>
      <c r="F193" s="72" t="s">
        <v>1482</v>
      </c>
      <c r="G193" s="72" t="s">
        <v>1483</v>
      </c>
      <c r="H193" s="462" t="n">
        <v>187</v>
      </c>
      <c r="I193" s="462" t="n">
        <v>0</v>
      </c>
      <c r="J193" s="462" t="n">
        <v>0</v>
      </c>
      <c r="K193" s="463" t="str">
        <f aca="false">IF(I193&gt;=1,"Screen","")</f>
        <v/>
      </c>
      <c r="L193" s="463" t="str">
        <f aca="false">IF(J193&gt;=1,"File","")</f>
        <v/>
      </c>
    </row>
    <row r="194" customFormat="false" ht="15.75" hidden="false" customHeight="false" outlineLevel="0" collapsed="false">
      <c r="B194" s="152" t="s">
        <v>1029</v>
      </c>
      <c r="C194" s="71" t="s">
        <v>969</v>
      </c>
      <c r="D194" s="152" t="s">
        <v>1015</v>
      </c>
      <c r="E194" s="72" t="s">
        <v>1484</v>
      </c>
      <c r="F194" s="72" t="s">
        <v>1485</v>
      </c>
      <c r="G194" s="72" t="s">
        <v>1485</v>
      </c>
      <c r="H194" s="462" t="n">
        <v>188</v>
      </c>
      <c r="I194" s="462" t="n">
        <v>0</v>
      </c>
      <c r="J194" s="462" t="n">
        <v>0</v>
      </c>
      <c r="K194" s="463" t="str">
        <f aca="false">IF(I194&gt;=1,"Screen","")</f>
        <v/>
      </c>
      <c r="L194" s="463" t="str">
        <f aca="false">IF(J194&gt;=1,"File","")</f>
        <v/>
      </c>
    </row>
    <row r="195" customFormat="false" ht="15.75" hidden="false" customHeight="false" outlineLevel="0" collapsed="false">
      <c r="B195" s="152" t="s">
        <v>1029</v>
      </c>
      <c r="C195" s="71" t="s">
        <v>969</v>
      </c>
      <c r="D195" s="121" t="s">
        <v>1063</v>
      </c>
      <c r="E195" s="72" t="s">
        <v>1486</v>
      </c>
      <c r="F195" s="72" t="s">
        <v>1487</v>
      </c>
      <c r="G195" s="72" t="s">
        <v>1488</v>
      </c>
      <c r="H195" s="462" t="n">
        <v>189</v>
      </c>
      <c r="I195" s="462" t="n">
        <v>0</v>
      </c>
      <c r="J195" s="462" t="n">
        <v>0</v>
      </c>
      <c r="K195" s="463" t="str">
        <f aca="false">IF(I195&gt;=1,"Screen","")</f>
        <v/>
      </c>
      <c r="L195" s="463" t="str">
        <f aca="false">IF(J195&gt;=1,"File","")</f>
        <v/>
      </c>
    </row>
    <row r="196" customFormat="false" ht="15.75" hidden="false" customHeight="false" outlineLevel="0" collapsed="false">
      <c r="B196" s="152" t="s">
        <v>1029</v>
      </c>
      <c r="C196" s="71" t="s">
        <v>969</v>
      </c>
      <c r="D196" s="161" t="s">
        <v>424</v>
      </c>
      <c r="E196" s="72" t="s">
        <v>1489</v>
      </c>
      <c r="F196" s="72" t="s">
        <v>1490</v>
      </c>
      <c r="G196" s="72" t="s">
        <v>1491</v>
      </c>
      <c r="H196" s="462" t="n">
        <v>190</v>
      </c>
      <c r="I196" s="462" t="n">
        <v>0</v>
      </c>
      <c r="J196" s="462" t="n">
        <v>0</v>
      </c>
      <c r="K196" s="463" t="str">
        <f aca="false">IF(I196&gt;=1,"Screen","")</f>
        <v/>
      </c>
      <c r="L196" s="463" t="str">
        <f aca="false">IF(J196&gt;=1,"File","")</f>
        <v/>
      </c>
    </row>
    <row r="197" customFormat="false" ht="15.75" hidden="false" customHeight="false" outlineLevel="0" collapsed="false">
      <c r="B197" s="457" t="s">
        <v>1042</v>
      </c>
      <c r="C197" s="71" t="s">
        <v>969</v>
      </c>
      <c r="D197" s="161" t="s">
        <v>424</v>
      </c>
      <c r="E197" s="72" t="s">
        <v>1492</v>
      </c>
      <c r="F197" s="72" t="s">
        <v>1493</v>
      </c>
      <c r="G197" s="72" t="s">
        <v>1493</v>
      </c>
      <c r="H197" s="462" t="n">
        <v>191</v>
      </c>
      <c r="I197" s="462" t="n">
        <v>0</v>
      </c>
      <c r="J197" s="462" t="n">
        <v>0</v>
      </c>
      <c r="K197" s="463" t="str">
        <f aca="false">IF(I197&gt;=1,"Screen","")</f>
        <v/>
      </c>
      <c r="L197" s="463" t="str">
        <f aca="false">IF(J197&gt;=1,"File","")</f>
        <v/>
      </c>
    </row>
    <row r="198" customFormat="false" ht="15.75" hidden="false" customHeight="false" outlineLevel="0" collapsed="false">
      <c r="B198" s="457" t="s">
        <v>1042</v>
      </c>
      <c r="C198" s="71" t="s">
        <v>969</v>
      </c>
      <c r="D198" s="161" t="s">
        <v>424</v>
      </c>
      <c r="E198" s="72" t="s">
        <v>1494</v>
      </c>
      <c r="F198" s="72" t="s">
        <v>1495</v>
      </c>
      <c r="G198" s="72" t="s">
        <v>1495</v>
      </c>
      <c r="H198" s="462" t="n">
        <v>192</v>
      </c>
      <c r="I198" s="462" t="n">
        <v>0</v>
      </c>
      <c r="J198" s="462" t="n">
        <v>0</v>
      </c>
      <c r="K198" s="463" t="str">
        <f aca="false">IF(I198&gt;=1,"Screen","")</f>
        <v/>
      </c>
      <c r="L198" s="463" t="str">
        <f aca="false">IF(J198&gt;=1,"File","")</f>
        <v/>
      </c>
    </row>
    <row r="199" customFormat="false" ht="15.75" hidden="false" customHeight="false" outlineLevel="0" collapsed="false">
      <c r="B199" s="71" t="s">
        <v>1010</v>
      </c>
      <c r="C199" s="71" t="s">
        <v>969</v>
      </c>
      <c r="D199" s="161" t="s">
        <v>1135</v>
      </c>
      <c r="E199" s="72" t="s">
        <v>1496</v>
      </c>
      <c r="F199" s="72" t="s">
        <v>1497</v>
      </c>
      <c r="G199" s="72" t="s">
        <v>1498</v>
      </c>
      <c r="H199" s="462" t="n">
        <v>193</v>
      </c>
      <c r="I199" s="462" t="n">
        <v>0</v>
      </c>
      <c r="J199" s="462" t="n">
        <v>1</v>
      </c>
      <c r="K199" s="463" t="str">
        <f aca="false">IF(I199&gt;=1,"Screen","")</f>
        <v/>
      </c>
      <c r="L199" s="463" t="str">
        <f aca="false">IF(J199&gt;=1,"File","")</f>
        <v>File</v>
      </c>
    </row>
    <row r="200" customFormat="false" ht="15.75" hidden="false" customHeight="false" outlineLevel="0" collapsed="false">
      <c r="B200" s="71" t="s">
        <v>1010</v>
      </c>
      <c r="C200" s="71" t="s">
        <v>969</v>
      </c>
      <c r="D200" s="161" t="s">
        <v>1135</v>
      </c>
      <c r="E200" s="72" t="s">
        <v>1499</v>
      </c>
      <c r="F200" s="72" t="s">
        <v>1500</v>
      </c>
      <c r="G200" s="72" t="s">
        <v>1501</v>
      </c>
      <c r="H200" s="462" t="n">
        <v>194</v>
      </c>
      <c r="I200" s="462" t="n">
        <v>1</v>
      </c>
      <c r="J200" s="462" t="n">
        <v>1</v>
      </c>
      <c r="K200" s="463" t="str">
        <f aca="false">IF(I200&gt;=1,"Screen","")</f>
        <v>Screen</v>
      </c>
      <c r="L200" s="463" t="str">
        <f aca="false">IF(J200&gt;=1,"File","")</f>
        <v>File</v>
      </c>
    </row>
    <row r="201" customFormat="false" ht="15.75" hidden="false" customHeight="false" outlineLevel="0" collapsed="false">
      <c r="B201" s="71" t="s">
        <v>1010</v>
      </c>
      <c r="C201" s="71" t="s">
        <v>969</v>
      </c>
      <c r="D201" s="161" t="s">
        <v>1135</v>
      </c>
      <c r="E201" s="72" t="s">
        <v>1227</v>
      </c>
      <c r="F201" s="72" t="s">
        <v>1502</v>
      </c>
      <c r="G201" s="72" t="s">
        <v>1503</v>
      </c>
      <c r="H201" s="462" t="n">
        <v>195</v>
      </c>
      <c r="I201" s="462" t="n">
        <v>0</v>
      </c>
      <c r="J201" s="462" t="n">
        <v>1</v>
      </c>
      <c r="K201" s="463" t="str">
        <f aca="false">IF(I201&gt;=1,"Screen","")</f>
        <v/>
      </c>
      <c r="L201" s="463" t="str">
        <f aca="false">IF(J201&gt;=1,"File","")</f>
        <v>File</v>
      </c>
    </row>
    <row r="202" customFormat="false" ht="15.75" hidden="false" customHeight="false" outlineLevel="0" collapsed="false">
      <c r="B202" s="161" t="s">
        <v>1022</v>
      </c>
      <c r="C202" s="71" t="s">
        <v>969</v>
      </c>
      <c r="D202" s="161" t="s">
        <v>1135</v>
      </c>
      <c r="E202" s="72" t="s">
        <v>1504</v>
      </c>
      <c r="F202" s="72" t="s">
        <v>1505</v>
      </c>
      <c r="G202" s="72" t="s">
        <v>1506</v>
      </c>
      <c r="H202" s="462" t="n">
        <v>196</v>
      </c>
      <c r="I202" s="462" t="n">
        <v>0</v>
      </c>
      <c r="J202" s="462" t="n">
        <v>0</v>
      </c>
      <c r="K202" s="463" t="str">
        <f aca="false">IF(I202&gt;=1,"Screen","")</f>
        <v/>
      </c>
      <c r="L202" s="463" t="str">
        <f aca="false">IF(J202&gt;=1,"File","")</f>
        <v/>
      </c>
    </row>
    <row r="203" customFormat="false" ht="15.75" hidden="false" customHeight="false" outlineLevel="0" collapsed="false">
      <c r="B203" s="161" t="s">
        <v>1022</v>
      </c>
      <c r="C203" s="71" t="s">
        <v>969</v>
      </c>
      <c r="D203" s="161" t="s">
        <v>1135</v>
      </c>
      <c r="E203" s="72" t="s">
        <v>1507</v>
      </c>
      <c r="F203" s="72" t="s">
        <v>1508</v>
      </c>
      <c r="G203" s="72" t="s">
        <v>1509</v>
      </c>
      <c r="H203" s="462" t="n">
        <v>197</v>
      </c>
      <c r="I203" s="462" t="n">
        <v>0</v>
      </c>
      <c r="J203" s="462" t="n">
        <v>0</v>
      </c>
      <c r="K203" s="463" t="str">
        <f aca="false">IF(I203&gt;=1,"Screen","")</f>
        <v/>
      </c>
      <c r="L203" s="463" t="str">
        <f aca="false">IF(J203&gt;=1,"File","")</f>
        <v/>
      </c>
    </row>
    <row r="204" customFormat="false" ht="15.75" hidden="false" customHeight="false" outlineLevel="0" collapsed="false">
      <c r="B204" s="161" t="s">
        <v>1022</v>
      </c>
      <c r="C204" s="71" t="s">
        <v>969</v>
      </c>
      <c r="D204" s="161" t="s">
        <v>1135</v>
      </c>
      <c r="E204" s="72" t="s">
        <v>1233</v>
      </c>
      <c r="F204" s="72" t="s">
        <v>1510</v>
      </c>
      <c r="G204" s="72" t="s">
        <v>1511</v>
      </c>
      <c r="H204" s="462" t="n">
        <v>198</v>
      </c>
      <c r="I204" s="462" t="n">
        <v>0</v>
      </c>
      <c r="J204" s="462" t="n">
        <v>0</v>
      </c>
      <c r="K204" s="463" t="str">
        <f aca="false">IF(I204&gt;=1,"Screen","")</f>
        <v/>
      </c>
      <c r="L204" s="463" t="str">
        <f aca="false">IF(J204&gt;=1,"File","")</f>
        <v/>
      </c>
    </row>
    <row r="205" customFormat="false" ht="15.75" hidden="false" customHeight="false" outlineLevel="0" collapsed="false">
      <c r="B205" s="167" t="s">
        <v>1026</v>
      </c>
      <c r="C205" s="71" t="s">
        <v>969</v>
      </c>
      <c r="D205" s="161" t="s">
        <v>1135</v>
      </c>
      <c r="E205" s="72" t="s">
        <v>1512</v>
      </c>
      <c r="F205" s="72" t="s">
        <v>1513</v>
      </c>
      <c r="G205" s="72" t="s">
        <v>1514</v>
      </c>
      <c r="H205" s="462" t="n">
        <v>199</v>
      </c>
      <c r="I205" s="462" t="n">
        <v>0</v>
      </c>
      <c r="J205" s="462" t="n">
        <v>0</v>
      </c>
      <c r="K205" s="463" t="str">
        <f aca="false">IF(I205&gt;=1,"Screen","")</f>
        <v/>
      </c>
      <c r="L205" s="463" t="str">
        <f aca="false">IF(J205&gt;=1,"File","")</f>
        <v/>
      </c>
    </row>
    <row r="206" customFormat="false" ht="15.75" hidden="false" customHeight="false" outlineLevel="0" collapsed="false">
      <c r="B206" s="167" t="s">
        <v>1026</v>
      </c>
      <c r="C206" s="71" t="s">
        <v>969</v>
      </c>
      <c r="D206" s="161" t="s">
        <v>1135</v>
      </c>
      <c r="E206" s="72" t="s">
        <v>1515</v>
      </c>
      <c r="F206" s="72" t="s">
        <v>1516</v>
      </c>
      <c r="G206" s="72" t="s">
        <v>1517</v>
      </c>
      <c r="H206" s="462" t="n">
        <v>200</v>
      </c>
      <c r="I206" s="462" t="n">
        <v>0</v>
      </c>
      <c r="J206" s="462" t="n">
        <v>0</v>
      </c>
      <c r="K206" s="463" t="str">
        <f aca="false">IF(I206&gt;=1,"Screen","")</f>
        <v/>
      </c>
      <c r="L206" s="463" t="str">
        <f aca="false">IF(J206&gt;=1,"File","")</f>
        <v/>
      </c>
    </row>
    <row r="207" customFormat="false" ht="15.75" hidden="false" customHeight="false" outlineLevel="0" collapsed="false">
      <c r="B207" s="167" t="s">
        <v>1026</v>
      </c>
      <c r="C207" s="71" t="s">
        <v>969</v>
      </c>
      <c r="D207" s="161" t="s">
        <v>1135</v>
      </c>
      <c r="E207" s="72" t="s">
        <v>1245</v>
      </c>
      <c r="F207" s="72" t="s">
        <v>1518</v>
      </c>
      <c r="G207" s="72" t="s">
        <v>1519</v>
      </c>
      <c r="H207" s="462" t="n">
        <v>201</v>
      </c>
      <c r="I207" s="462" t="n">
        <v>0</v>
      </c>
      <c r="J207" s="462" t="n">
        <v>0</v>
      </c>
      <c r="K207" s="463" t="str">
        <f aca="false">IF(I207&gt;=1,"Screen","")</f>
        <v/>
      </c>
      <c r="L207" s="463" t="str">
        <f aca="false">IF(J207&gt;=1,"File","")</f>
        <v/>
      </c>
    </row>
    <row r="208" customFormat="false" ht="15.75" hidden="false" customHeight="false" outlineLevel="0" collapsed="false">
      <c r="B208" s="464" t="s">
        <v>1032</v>
      </c>
      <c r="C208" s="71" t="s">
        <v>969</v>
      </c>
      <c r="D208" s="161" t="s">
        <v>1135</v>
      </c>
      <c r="E208" s="72" t="s">
        <v>1520</v>
      </c>
      <c r="F208" s="72" t="s">
        <v>1521</v>
      </c>
      <c r="G208" s="72" t="s">
        <v>1522</v>
      </c>
      <c r="H208" s="462" t="n">
        <v>202</v>
      </c>
      <c r="I208" s="462" t="n">
        <v>0</v>
      </c>
      <c r="J208" s="462" t="n">
        <v>0</v>
      </c>
      <c r="K208" s="463" t="str">
        <f aca="false">IF(I208&gt;=1,"Screen","")</f>
        <v/>
      </c>
      <c r="L208" s="463" t="str">
        <f aca="false">IF(J208&gt;=1,"File","")</f>
        <v/>
      </c>
    </row>
    <row r="209" customFormat="false" ht="15.75" hidden="false" customHeight="false" outlineLevel="0" collapsed="false">
      <c r="B209" s="464" t="s">
        <v>1032</v>
      </c>
      <c r="C209" s="71" t="s">
        <v>969</v>
      </c>
      <c r="D209" s="161" t="s">
        <v>1135</v>
      </c>
      <c r="E209" s="72" t="s">
        <v>1523</v>
      </c>
      <c r="F209" s="72" t="s">
        <v>1524</v>
      </c>
      <c r="G209" s="72" t="s">
        <v>1525</v>
      </c>
      <c r="H209" s="462" t="n">
        <v>203</v>
      </c>
      <c r="I209" s="462" t="n">
        <v>0</v>
      </c>
      <c r="J209" s="462" t="n">
        <v>0</v>
      </c>
      <c r="K209" s="463" t="str">
        <f aca="false">IF(I209&gt;=1,"Screen","")</f>
        <v/>
      </c>
      <c r="L209" s="463" t="str">
        <f aca="false">IF(J209&gt;=1,"File","")</f>
        <v/>
      </c>
    </row>
    <row r="210" customFormat="false" ht="15.75" hidden="false" customHeight="false" outlineLevel="0" collapsed="false">
      <c r="B210" s="464" t="s">
        <v>1032</v>
      </c>
      <c r="C210" s="71" t="s">
        <v>969</v>
      </c>
      <c r="D210" s="161" t="s">
        <v>1135</v>
      </c>
      <c r="E210" s="72" t="s">
        <v>1526</v>
      </c>
      <c r="F210" s="72" t="s">
        <v>1527</v>
      </c>
      <c r="G210" s="72" t="s">
        <v>1528</v>
      </c>
      <c r="H210" s="462" t="n">
        <v>204</v>
      </c>
      <c r="I210" s="462" t="n">
        <v>0</v>
      </c>
      <c r="J210" s="462" t="n">
        <v>0</v>
      </c>
      <c r="K210" s="463" t="str">
        <f aca="false">IF(I210&gt;=1,"Screen","")</f>
        <v/>
      </c>
      <c r="L210" s="463" t="str">
        <f aca="false">IF(J210&gt;=1,"File","")</f>
        <v/>
      </c>
    </row>
    <row r="211" customFormat="false" ht="15.75" hidden="false" customHeight="false" outlineLevel="0" collapsed="false">
      <c r="B211" s="457" t="s">
        <v>1042</v>
      </c>
      <c r="C211" s="71" t="s">
        <v>969</v>
      </c>
      <c r="D211" s="161" t="s">
        <v>1135</v>
      </c>
      <c r="E211" s="72" t="s">
        <v>1529</v>
      </c>
      <c r="F211" s="72" t="s">
        <v>1530</v>
      </c>
      <c r="G211" s="72" t="s">
        <v>1531</v>
      </c>
      <c r="H211" s="462" t="n">
        <v>205</v>
      </c>
      <c r="I211" s="462" t="n">
        <v>0</v>
      </c>
      <c r="J211" s="462" t="n">
        <v>0</v>
      </c>
      <c r="K211" s="463" t="str">
        <f aca="false">IF(I211&gt;=1,"Screen","")</f>
        <v/>
      </c>
      <c r="L211" s="463" t="str">
        <f aca="false">IF(J211&gt;=1,"File","")</f>
        <v/>
      </c>
    </row>
    <row r="212" customFormat="false" ht="15.75" hidden="false" customHeight="false" outlineLevel="0" collapsed="false">
      <c r="B212" s="457" t="s">
        <v>1042</v>
      </c>
      <c r="C212" s="71" t="s">
        <v>969</v>
      </c>
      <c r="D212" s="161" t="s">
        <v>1135</v>
      </c>
      <c r="E212" s="72" t="s">
        <v>1532</v>
      </c>
      <c r="F212" s="72" t="s">
        <v>1533</v>
      </c>
      <c r="G212" s="72" t="s">
        <v>1534</v>
      </c>
      <c r="H212" s="462" t="n">
        <v>206</v>
      </c>
      <c r="I212" s="462" t="n">
        <v>0</v>
      </c>
      <c r="J212" s="462" t="n">
        <v>0</v>
      </c>
      <c r="K212" s="463" t="str">
        <f aca="false">IF(I212&gt;=1,"Screen","")</f>
        <v/>
      </c>
      <c r="L212" s="463" t="str">
        <f aca="false">IF(J212&gt;=1,"File","")</f>
        <v/>
      </c>
    </row>
    <row r="213" customFormat="false" ht="15.75" hidden="false" customHeight="false" outlineLevel="0" collapsed="false">
      <c r="B213" s="457" t="s">
        <v>1042</v>
      </c>
      <c r="C213" s="71" t="s">
        <v>969</v>
      </c>
      <c r="D213" s="161" t="s">
        <v>1135</v>
      </c>
      <c r="E213" s="72" t="s">
        <v>1535</v>
      </c>
      <c r="F213" s="72" t="s">
        <v>1536</v>
      </c>
      <c r="G213" s="72" t="s">
        <v>1537</v>
      </c>
      <c r="H213" s="462" t="n">
        <v>207</v>
      </c>
      <c r="I213" s="462" t="n">
        <v>0</v>
      </c>
      <c r="J213" s="462" t="n">
        <v>0</v>
      </c>
      <c r="K213" s="463" t="str">
        <f aca="false">IF(I213&gt;=1,"Screen","")</f>
        <v/>
      </c>
      <c r="L213" s="463" t="str">
        <f aca="false">IF(J213&gt;=1,"File","")</f>
        <v/>
      </c>
    </row>
    <row r="214" customFormat="false" ht="15.75" hidden="false" customHeight="false" outlineLevel="0" collapsed="false">
      <c r="B214" s="457" t="s">
        <v>1042</v>
      </c>
      <c r="C214" s="121" t="s">
        <v>1361</v>
      </c>
      <c r="D214" s="152" t="s">
        <v>1011</v>
      </c>
      <c r="E214" s="72" t="s">
        <v>1538</v>
      </c>
      <c r="F214" s="72" t="s">
        <v>1539</v>
      </c>
      <c r="G214" s="469" t="s">
        <v>1540</v>
      </c>
      <c r="H214" s="462" t="n">
        <v>208</v>
      </c>
      <c r="I214" s="462" t="n">
        <v>0</v>
      </c>
      <c r="J214" s="462" t="n">
        <v>0</v>
      </c>
      <c r="K214" s="463" t="str">
        <f aca="false">IF(I214&gt;=1,"Screen","")</f>
        <v/>
      </c>
      <c r="L214" s="463" t="str">
        <f aca="false">IF(J214&gt;=1,"File","")</f>
        <v/>
      </c>
    </row>
    <row r="215" customFormat="false" ht="15.75" hidden="false" customHeight="false" outlineLevel="0" collapsed="false">
      <c r="B215" s="71" t="s">
        <v>1010</v>
      </c>
      <c r="C215" s="121" t="s">
        <v>1361</v>
      </c>
      <c r="D215" s="121" t="s">
        <v>1063</v>
      </c>
      <c r="E215" s="72" t="s">
        <v>1541</v>
      </c>
      <c r="F215" s="72" t="s">
        <v>1372</v>
      </c>
      <c r="G215" s="469" t="s">
        <v>1542</v>
      </c>
      <c r="H215" s="462" t="n">
        <v>209</v>
      </c>
      <c r="I215" s="462" t="n">
        <v>0</v>
      </c>
      <c r="J215" s="462" t="n">
        <v>0</v>
      </c>
      <c r="K215" s="463" t="str">
        <f aca="false">IF(I215&gt;=1,"Screen","")</f>
        <v/>
      </c>
      <c r="L215" s="463" t="str">
        <f aca="false">IF(J215&gt;=1,"File","")</f>
        <v/>
      </c>
    </row>
    <row r="216" customFormat="false" ht="15.75" hidden="false" customHeight="false" outlineLevel="0" collapsed="false">
      <c r="B216" s="71" t="s">
        <v>1010</v>
      </c>
      <c r="C216" s="121" t="s">
        <v>1361</v>
      </c>
      <c r="D216" s="121" t="s">
        <v>1063</v>
      </c>
      <c r="E216" s="72" t="s">
        <v>1543</v>
      </c>
      <c r="F216" s="72" t="s">
        <v>1544</v>
      </c>
      <c r="G216" s="469" t="s">
        <v>1545</v>
      </c>
      <c r="H216" s="462" t="n">
        <v>210</v>
      </c>
      <c r="I216" s="462" t="n">
        <v>0</v>
      </c>
      <c r="J216" s="462" t="n">
        <v>0</v>
      </c>
      <c r="K216" s="463" t="str">
        <f aca="false">IF(I216&gt;=1,"Screen","")</f>
        <v/>
      </c>
      <c r="L216" s="463" t="str">
        <f aca="false">IF(J216&gt;=1,"File","")</f>
        <v/>
      </c>
    </row>
    <row r="217" customFormat="false" ht="15.75" hidden="false" customHeight="false" outlineLevel="0" collapsed="false">
      <c r="B217" s="71" t="s">
        <v>1010</v>
      </c>
      <c r="C217" s="121" t="s">
        <v>1361</v>
      </c>
      <c r="D217" s="466" t="s">
        <v>1054</v>
      </c>
      <c r="E217" s="72" t="s">
        <v>1546</v>
      </c>
      <c r="F217" s="72" t="s">
        <v>1547</v>
      </c>
      <c r="G217" s="469" t="s">
        <v>1548</v>
      </c>
      <c r="H217" s="462" t="n">
        <v>211</v>
      </c>
      <c r="I217" s="462" t="n">
        <v>0</v>
      </c>
      <c r="J217" s="462" t="n">
        <v>0</v>
      </c>
      <c r="K217" s="463" t="str">
        <f aca="false">IF(I217&gt;=1,"Screen","")</f>
        <v/>
      </c>
      <c r="L217" s="463" t="str">
        <f aca="false">IF(J217&gt;=1,"File","")</f>
        <v/>
      </c>
    </row>
    <row r="218" customFormat="false" ht="15.75" hidden="false" customHeight="false" outlineLevel="0" collapsed="false">
      <c r="B218" s="71" t="s">
        <v>1010</v>
      </c>
      <c r="C218" s="121" t="s">
        <v>1361</v>
      </c>
      <c r="D218" s="466" t="s">
        <v>1054</v>
      </c>
      <c r="E218" s="72" t="s">
        <v>1549</v>
      </c>
      <c r="F218" s="72" t="s">
        <v>1550</v>
      </c>
      <c r="G218" s="469" t="s">
        <v>1551</v>
      </c>
      <c r="H218" s="462" t="n">
        <v>212</v>
      </c>
      <c r="I218" s="462" t="n">
        <v>0</v>
      </c>
      <c r="J218" s="462" t="n">
        <v>0</v>
      </c>
      <c r="K218" s="463" t="str">
        <f aca="false">IF(I218&gt;=1,"Screen","")</f>
        <v/>
      </c>
      <c r="L218" s="463" t="str">
        <f aca="false">IF(J218&gt;=1,"File","")</f>
        <v/>
      </c>
    </row>
    <row r="219" customFormat="false" ht="15.75" hidden="false" customHeight="false" outlineLevel="0" collapsed="false">
      <c r="B219" s="457" t="s">
        <v>1042</v>
      </c>
      <c r="C219" s="121" t="s">
        <v>1361</v>
      </c>
      <c r="D219" s="468" t="s">
        <v>1320</v>
      </c>
      <c r="E219" s="72" t="s">
        <v>1552</v>
      </c>
      <c r="F219" s="72" t="s">
        <v>1553</v>
      </c>
      <c r="G219" s="72" t="s">
        <v>1554</v>
      </c>
      <c r="H219" s="462" t="n">
        <v>213</v>
      </c>
      <c r="I219" s="462" t="n">
        <v>0</v>
      </c>
      <c r="J219" s="462" t="n">
        <v>0</v>
      </c>
      <c r="K219" s="463" t="str">
        <f aca="false">IF(I219&gt;=1,"Screen","")</f>
        <v/>
      </c>
      <c r="L219" s="463" t="str">
        <f aca="false">IF(J219&gt;=1,"File","")</f>
        <v/>
      </c>
    </row>
    <row r="220" customFormat="false" ht="15.75" hidden="false" customHeight="false" outlineLevel="0" collapsed="false">
      <c r="B220" s="457" t="s">
        <v>1042</v>
      </c>
      <c r="C220" s="121" t="s">
        <v>1361</v>
      </c>
      <c r="D220" s="468" t="s">
        <v>1320</v>
      </c>
      <c r="E220" s="72" t="s">
        <v>1555</v>
      </c>
      <c r="F220" s="72" t="s">
        <v>1556</v>
      </c>
      <c r="G220" s="72" t="s">
        <v>1557</v>
      </c>
      <c r="H220" s="462" t="n">
        <v>214</v>
      </c>
      <c r="I220" s="462" t="n">
        <v>0</v>
      </c>
      <c r="J220" s="462" t="n">
        <v>0</v>
      </c>
      <c r="K220" s="463" t="str">
        <f aca="false">IF(I220&gt;=1,"Screen","")</f>
        <v/>
      </c>
      <c r="L220" s="463" t="str">
        <f aca="false">IF(J220&gt;=1,"File","")</f>
        <v/>
      </c>
    </row>
    <row r="221" customFormat="false" ht="15.75" hidden="false" customHeight="false" outlineLevel="0" collapsed="false">
      <c r="B221" s="71" t="s">
        <v>1010</v>
      </c>
      <c r="C221" s="121" t="s">
        <v>1361</v>
      </c>
      <c r="D221" s="466" t="s">
        <v>1054</v>
      </c>
      <c r="E221" s="72" t="s">
        <v>1558</v>
      </c>
      <c r="F221" s="72" t="s">
        <v>1559</v>
      </c>
      <c r="G221" s="465" t="s">
        <v>1560</v>
      </c>
      <c r="H221" s="462" t="n">
        <v>215</v>
      </c>
      <c r="I221" s="462" t="n">
        <v>0</v>
      </c>
      <c r="J221" s="462" t="n">
        <v>0</v>
      </c>
      <c r="K221" s="463" t="str">
        <f aca="false">IF(I221&gt;=1,"Screen","")</f>
        <v/>
      </c>
      <c r="L221" s="463" t="str">
        <f aca="false">IF(J221&gt;=1,"File","")</f>
        <v/>
      </c>
    </row>
    <row r="222" customFormat="false" ht="15.75" hidden="false" customHeight="false" outlineLevel="0" collapsed="false">
      <c r="B222" s="152" t="s">
        <v>1029</v>
      </c>
      <c r="C222" s="71" t="s">
        <v>969</v>
      </c>
      <c r="D222" s="151" t="s">
        <v>358</v>
      </c>
      <c r="E222" s="72" t="s">
        <v>1561</v>
      </c>
      <c r="F222" s="72" t="s">
        <v>1562</v>
      </c>
      <c r="G222" s="72" t="s">
        <v>1563</v>
      </c>
      <c r="H222" s="462" t="n">
        <v>216</v>
      </c>
      <c r="I222" s="462" t="n">
        <v>0</v>
      </c>
      <c r="J222" s="462" t="n">
        <v>0</v>
      </c>
      <c r="K222" s="463" t="str">
        <f aca="false">IF(I222&gt;=1,"Screen","")</f>
        <v/>
      </c>
      <c r="L222" s="463" t="str">
        <f aca="false">IF(J222&gt;=1,"File","")</f>
        <v/>
      </c>
    </row>
    <row r="223" customFormat="false" ht="15.75" hidden="false" customHeight="false" outlineLevel="0" collapsed="false">
      <c r="B223" s="318" t="s">
        <v>1039</v>
      </c>
      <c r="C223" s="71" t="s">
        <v>969</v>
      </c>
      <c r="D223" s="161" t="s">
        <v>1564</v>
      </c>
      <c r="E223" s="72" t="s">
        <v>1565</v>
      </c>
      <c r="F223" s="72" t="s">
        <v>1566</v>
      </c>
      <c r="G223" s="72" t="s">
        <v>1567</v>
      </c>
      <c r="H223" s="462" t="n">
        <v>217</v>
      </c>
      <c r="I223" s="462" t="n">
        <v>0</v>
      </c>
      <c r="J223" s="462" t="n">
        <v>0</v>
      </c>
      <c r="K223" s="463" t="str">
        <f aca="false">IF(I223&gt;=1,"Screen","")</f>
        <v/>
      </c>
      <c r="L223" s="463" t="str">
        <f aca="false">IF(J223&gt;=1,"File","")</f>
        <v/>
      </c>
    </row>
    <row r="224" customFormat="false" ht="15.75" hidden="false" customHeight="false" outlineLevel="0" collapsed="false">
      <c r="B224" s="318" t="s">
        <v>1039</v>
      </c>
      <c r="C224" s="71" t="s">
        <v>969</v>
      </c>
      <c r="D224" s="161" t="s">
        <v>1564</v>
      </c>
      <c r="E224" s="72" t="s">
        <v>1565</v>
      </c>
      <c r="F224" s="72" t="s">
        <v>1568</v>
      </c>
      <c r="G224" s="72" t="s">
        <v>1569</v>
      </c>
      <c r="H224" s="462" t="n">
        <v>218</v>
      </c>
      <c r="I224" s="462" t="n">
        <v>0</v>
      </c>
      <c r="J224" s="462" t="n">
        <v>0</v>
      </c>
      <c r="K224" s="463" t="str">
        <f aca="false">IF(I224&gt;=1,"Screen","")</f>
        <v/>
      </c>
      <c r="L224" s="463" t="str">
        <f aca="false">IF(J224&gt;=1,"File","")</f>
        <v/>
      </c>
    </row>
    <row r="225" customFormat="false" ht="15.75" hidden="false" customHeight="false" outlineLevel="0" collapsed="false">
      <c r="B225" s="318" t="s">
        <v>1039</v>
      </c>
      <c r="C225" s="71" t="s">
        <v>969</v>
      </c>
      <c r="D225" s="161" t="s">
        <v>1564</v>
      </c>
      <c r="E225" s="72" t="s">
        <v>1565</v>
      </c>
      <c r="F225" s="72" t="s">
        <v>1570</v>
      </c>
      <c r="G225" s="72" t="s">
        <v>1571</v>
      </c>
      <c r="H225" s="462" t="n">
        <v>219</v>
      </c>
      <c r="I225" s="462" t="n">
        <v>0</v>
      </c>
      <c r="J225" s="462" t="n">
        <v>0</v>
      </c>
      <c r="K225" s="463" t="str">
        <f aca="false">IF(I225&gt;=1,"Screen","")</f>
        <v/>
      </c>
      <c r="L225" s="463" t="str">
        <f aca="false">IF(J225&gt;=1,"File","")</f>
        <v/>
      </c>
    </row>
    <row r="226" customFormat="false" ht="15.75" hidden="false" customHeight="false" outlineLevel="0" collapsed="false">
      <c r="B226" s="318" t="s">
        <v>1039</v>
      </c>
      <c r="C226" s="71" t="s">
        <v>969</v>
      </c>
      <c r="D226" s="161" t="s">
        <v>1564</v>
      </c>
      <c r="E226" s="72" t="s">
        <v>1565</v>
      </c>
      <c r="F226" s="72" t="s">
        <v>1572</v>
      </c>
      <c r="G226" s="72" t="s">
        <v>1573</v>
      </c>
      <c r="H226" s="462" t="n">
        <v>220</v>
      </c>
      <c r="I226" s="462" t="n">
        <v>0</v>
      </c>
      <c r="J226" s="462" t="n">
        <v>0</v>
      </c>
      <c r="K226" s="463" t="str">
        <f aca="false">IF(I226&gt;=1,"Screen","")</f>
        <v/>
      </c>
      <c r="L226" s="463" t="str">
        <f aca="false">IF(J226&gt;=1,"File","")</f>
        <v/>
      </c>
    </row>
    <row r="227" customFormat="false" ht="15.75" hidden="false" customHeight="false" outlineLevel="0" collapsed="false">
      <c r="B227" s="461" t="s">
        <v>968</v>
      </c>
      <c r="C227" s="71" t="s">
        <v>969</v>
      </c>
      <c r="D227" s="183" t="s">
        <v>970</v>
      </c>
      <c r="E227" s="72" t="s">
        <v>1574</v>
      </c>
      <c r="F227" s="72" t="s">
        <v>443</v>
      </c>
      <c r="G227" s="72" t="s">
        <v>443</v>
      </c>
      <c r="H227" s="462" t="n">
        <v>221</v>
      </c>
      <c r="I227" s="462" t="n">
        <v>0</v>
      </c>
      <c r="J227" s="462" t="n">
        <v>0</v>
      </c>
      <c r="K227" s="463" t="str">
        <f aca="false">IF(I227&gt;=1,"Screen","")</f>
        <v/>
      </c>
      <c r="L227" s="463" t="str">
        <f aca="false">IF(J227&gt;=1,"File","")</f>
        <v/>
      </c>
    </row>
    <row r="228" customFormat="false" ht="15.75" hidden="false" customHeight="false" outlineLevel="0" collapsed="false">
      <c r="B228" s="457" t="s">
        <v>1042</v>
      </c>
      <c r="C228" s="71" t="s">
        <v>969</v>
      </c>
      <c r="D228" s="466" t="s">
        <v>1054</v>
      </c>
      <c r="E228" s="72" t="s">
        <v>1575</v>
      </c>
      <c r="F228" s="72" t="s">
        <v>1576</v>
      </c>
      <c r="G228" s="72" t="s">
        <v>1576</v>
      </c>
      <c r="H228" s="462" t="n">
        <v>222</v>
      </c>
      <c r="I228" s="462" t="n">
        <v>0</v>
      </c>
      <c r="J228" s="462" t="n">
        <v>0</v>
      </c>
      <c r="K228" s="463" t="str">
        <f aca="false">IF(I228&gt;=1,"Screen","")</f>
        <v/>
      </c>
      <c r="L228" s="463" t="str">
        <f aca="false">IF(J228&gt;=1,"File","")</f>
        <v/>
      </c>
    </row>
    <row r="229" customFormat="false" ht="15.75" hidden="false" customHeight="false" outlineLevel="0" collapsed="false">
      <c r="B229" s="457" t="s">
        <v>1042</v>
      </c>
      <c r="C229" s="71" t="s">
        <v>969</v>
      </c>
      <c r="D229" s="467" t="s">
        <v>1196</v>
      </c>
      <c r="E229" s="72" t="s">
        <v>1577</v>
      </c>
      <c r="F229" s="72" t="s">
        <v>1578</v>
      </c>
      <c r="G229" s="139" t="s">
        <v>1578</v>
      </c>
      <c r="H229" s="462" t="n">
        <v>223</v>
      </c>
      <c r="I229" s="462" t="n">
        <v>0</v>
      </c>
      <c r="J229" s="462" t="n">
        <v>0</v>
      </c>
      <c r="K229" s="463" t="str">
        <f aca="false">IF(I229&gt;=1,"Screen","")</f>
        <v/>
      </c>
      <c r="L229" s="463" t="str">
        <f aca="false">IF(J229&gt;=1,"File","")</f>
        <v/>
      </c>
    </row>
    <row r="230" customFormat="false" ht="15.75" hidden="false" customHeight="false" outlineLevel="0" collapsed="false">
      <c r="B230" s="71" t="s">
        <v>1010</v>
      </c>
      <c r="C230" s="71" t="s">
        <v>969</v>
      </c>
      <c r="D230" s="467" t="s">
        <v>1196</v>
      </c>
      <c r="E230" s="72" t="s">
        <v>1579</v>
      </c>
      <c r="F230" s="72" t="s">
        <v>1580</v>
      </c>
      <c r="G230" s="72" t="s">
        <v>1581</v>
      </c>
      <c r="H230" s="462" t="n">
        <v>224</v>
      </c>
      <c r="I230" s="462" t="n">
        <v>0</v>
      </c>
      <c r="J230" s="462" t="n">
        <v>0</v>
      </c>
      <c r="K230" s="463" t="str">
        <f aca="false">IF(I230&gt;=1,"Screen","")</f>
        <v/>
      </c>
      <c r="L230" s="463" t="str">
        <f aca="false">IF(J230&gt;=1,"File","")</f>
        <v/>
      </c>
    </row>
    <row r="231" customFormat="false" ht="15.75" hidden="false" customHeight="false" outlineLevel="0" collapsed="false">
      <c r="B231" s="161" t="s">
        <v>1022</v>
      </c>
      <c r="C231" s="71" t="s">
        <v>969</v>
      </c>
      <c r="D231" s="467" t="s">
        <v>1196</v>
      </c>
      <c r="E231" s="72" t="s">
        <v>1582</v>
      </c>
      <c r="F231" s="72" t="s">
        <v>1583</v>
      </c>
      <c r="G231" s="72" t="s">
        <v>1584</v>
      </c>
      <c r="H231" s="462" t="n">
        <v>225</v>
      </c>
      <c r="I231" s="462" t="n">
        <v>0</v>
      </c>
      <c r="J231" s="462" t="n">
        <v>0</v>
      </c>
      <c r="K231" s="463" t="str">
        <f aca="false">IF(I231&gt;=1,"Screen","")</f>
        <v/>
      </c>
      <c r="L231" s="463" t="str">
        <f aca="false">IF(J231&gt;=1,"File","")</f>
        <v/>
      </c>
    </row>
    <row r="232" customFormat="false" ht="15.75" hidden="false" customHeight="false" outlineLevel="0" collapsed="false">
      <c r="B232" s="167" t="s">
        <v>1026</v>
      </c>
      <c r="C232" s="71" t="s">
        <v>969</v>
      </c>
      <c r="D232" s="467" t="s">
        <v>1196</v>
      </c>
      <c r="E232" s="72" t="s">
        <v>1585</v>
      </c>
      <c r="F232" s="72" t="s">
        <v>628</v>
      </c>
      <c r="G232" s="72" t="s">
        <v>1586</v>
      </c>
      <c r="H232" s="462" t="n">
        <v>226</v>
      </c>
      <c r="I232" s="462" t="n">
        <v>0</v>
      </c>
      <c r="J232" s="462" t="n">
        <v>0</v>
      </c>
      <c r="K232" s="463" t="str">
        <f aca="false">IF(I232&gt;=1,"Screen","")</f>
        <v/>
      </c>
      <c r="L232" s="463" t="str">
        <f aca="false">IF(J232&gt;=1,"File","")</f>
        <v/>
      </c>
    </row>
    <row r="233" customFormat="false" ht="15.75" hidden="false" customHeight="false" outlineLevel="0" collapsed="false">
      <c r="B233" s="464" t="s">
        <v>1032</v>
      </c>
      <c r="C233" s="71" t="s">
        <v>969</v>
      </c>
      <c r="D233" s="467" t="s">
        <v>1196</v>
      </c>
      <c r="E233" s="72" t="s">
        <v>1587</v>
      </c>
      <c r="F233" s="72" t="s">
        <v>1588</v>
      </c>
      <c r="G233" s="72" t="s">
        <v>1589</v>
      </c>
      <c r="H233" s="462" t="n">
        <v>227</v>
      </c>
      <c r="I233" s="462" t="n">
        <v>0</v>
      </c>
      <c r="J233" s="462" t="n">
        <v>0</v>
      </c>
      <c r="K233" s="463" t="str">
        <f aca="false">IF(I233&gt;=1,"Screen","")</f>
        <v/>
      </c>
      <c r="L233" s="463" t="str">
        <f aca="false">IF(J233&gt;=1,"File","")</f>
        <v/>
      </c>
    </row>
    <row r="234" customFormat="false" ht="15.75" hidden="false" customHeight="false" outlineLevel="0" collapsed="false">
      <c r="B234" s="71" t="s">
        <v>1010</v>
      </c>
      <c r="C234" s="71" t="s">
        <v>969</v>
      </c>
      <c r="D234" s="121" t="s">
        <v>1063</v>
      </c>
      <c r="E234" s="72" t="s">
        <v>1590</v>
      </c>
      <c r="F234" s="72" t="s">
        <v>1591</v>
      </c>
      <c r="G234" s="72" t="s">
        <v>1592</v>
      </c>
      <c r="H234" s="462" t="n">
        <v>228</v>
      </c>
      <c r="I234" s="462" t="n">
        <v>0</v>
      </c>
      <c r="J234" s="462" t="n">
        <v>0</v>
      </c>
      <c r="K234" s="463" t="str">
        <f aca="false">IF(I234&gt;=1,"Screen","")</f>
        <v/>
      </c>
      <c r="L234" s="463" t="str">
        <f aca="false">IF(J234&gt;=1,"File","")</f>
        <v/>
      </c>
    </row>
    <row r="235" customFormat="false" ht="15.75" hidden="false" customHeight="false" outlineLevel="0" collapsed="false">
      <c r="B235" s="71" t="s">
        <v>1010</v>
      </c>
      <c r="C235" s="71" t="s">
        <v>969</v>
      </c>
      <c r="D235" s="121" t="s">
        <v>1063</v>
      </c>
      <c r="E235" s="72" t="s">
        <v>1593</v>
      </c>
      <c r="F235" s="72" t="s">
        <v>1594</v>
      </c>
      <c r="G235" s="72" t="s">
        <v>1594</v>
      </c>
      <c r="H235" s="462" t="n">
        <v>229</v>
      </c>
      <c r="I235" s="462" t="n">
        <v>0</v>
      </c>
      <c r="J235" s="462" t="n">
        <v>0</v>
      </c>
      <c r="K235" s="463" t="str">
        <f aca="false">IF(I235&gt;=1,"Screen","")</f>
        <v/>
      </c>
      <c r="L235" s="463" t="str">
        <f aca="false">IF(J235&gt;=1,"File","")</f>
        <v/>
      </c>
    </row>
    <row r="236" customFormat="false" ht="15.75" hidden="false" customHeight="false" outlineLevel="0" collapsed="false">
      <c r="B236" s="71" t="s">
        <v>1010</v>
      </c>
      <c r="C236" s="71" t="s">
        <v>969</v>
      </c>
      <c r="D236" s="121" t="s">
        <v>1063</v>
      </c>
      <c r="E236" s="72" t="s">
        <v>1595</v>
      </c>
      <c r="F236" s="72" t="s">
        <v>1596</v>
      </c>
      <c r="G236" s="72" t="s">
        <v>1597</v>
      </c>
      <c r="H236" s="462" t="n">
        <v>230</v>
      </c>
      <c r="I236" s="462" t="n">
        <v>0</v>
      </c>
      <c r="J236" s="462" t="n">
        <v>0</v>
      </c>
      <c r="K236" s="463" t="str">
        <f aca="false">IF(I236&gt;=1,"Screen","")</f>
        <v/>
      </c>
      <c r="L236" s="463" t="str">
        <f aca="false">IF(J236&gt;=1,"File","")</f>
        <v/>
      </c>
    </row>
    <row r="237" customFormat="false" ht="15.75" hidden="false" customHeight="false" outlineLevel="0" collapsed="false">
      <c r="B237" s="457" t="s">
        <v>1042</v>
      </c>
      <c r="C237" s="71" t="s">
        <v>969</v>
      </c>
      <c r="D237" s="466" t="s">
        <v>1054</v>
      </c>
      <c r="E237" s="72" t="s">
        <v>1598</v>
      </c>
      <c r="F237" s="72" t="s">
        <v>1599</v>
      </c>
      <c r="G237" s="72" t="s">
        <v>1599</v>
      </c>
      <c r="H237" s="462" t="n">
        <v>231</v>
      </c>
      <c r="I237" s="462" t="n">
        <v>0</v>
      </c>
      <c r="J237" s="462" t="n">
        <v>0</v>
      </c>
      <c r="K237" s="463" t="str">
        <f aca="false">IF(I237&gt;=1,"Screen","")</f>
        <v/>
      </c>
      <c r="L237" s="463" t="str">
        <f aca="false">IF(J237&gt;=1,"File","")</f>
        <v/>
      </c>
    </row>
    <row r="238" customFormat="false" ht="15.75" hidden="false" customHeight="false" outlineLevel="0" collapsed="false">
      <c r="B238" s="457" t="s">
        <v>1042</v>
      </c>
      <c r="C238" s="71" t="s">
        <v>969</v>
      </c>
      <c r="D238" s="467" t="s">
        <v>1196</v>
      </c>
      <c r="E238" s="72" t="s">
        <v>1600</v>
      </c>
      <c r="F238" s="72" t="s">
        <v>1601</v>
      </c>
      <c r="G238" s="139" t="s">
        <v>1602</v>
      </c>
      <c r="H238" s="462" t="n">
        <v>232</v>
      </c>
      <c r="I238" s="462" t="n">
        <v>0</v>
      </c>
      <c r="J238" s="462" t="n">
        <v>0</v>
      </c>
      <c r="K238" s="463" t="str">
        <f aca="false">IF(I238&gt;=1,"Screen","")</f>
        <v/>
      </c>
      <c r="L238" s="463" t="str">
        <f aca="false">IF(J238&gt;=1,"File","")</f>
        <v/>
      </c>
    </row>
    <row r="239" customFormat="false" ht="15.75" hidden="false" customHeight="false" outlineLevel="0" collapsed="false">
      <c r="B239" s="461" t="s">
        <v>968</v>
      </c>
      <c r="C239" s="71" t="s">
        <v>969</v>
      </c>
      <c r="D239" s="183" t="s">
        <v>970</v>
      </c>
      <c r="E239" s="72" t="s">
        <v>1603</v>
      </c>
      <c r="F239" s="72" t="s">
        <v>1604</v>
      </c>
      <c r="G239" s="72" t="s">
        <v>1604</v>
      </c>
      <c r="H239" s="462" t="n">
        <v>233</v>
      </c>
      <c r="I239" s="462" t="n">
        <v>0</v>
      </c>
      <c r="J239" s="462" t="n">
        <v>0</v>
      </c>
      <c r="K239" s="463" t="str">
        <f aca="false">IF(I239&gt;=1,"Screen","")</f>
        <v/>
      </c>
      <c r="L239" s="463" t="str">
        <f aca="false">IF(J239&gt;=1,"File","")</f>
        <v/>
      </c>
    </row>
    <row r="240" customFormat="false" ht="15.75" hidden="false" customHeight="false" outlineLevel="0" collapsed="false">
      <c r="B240" s="71" t="s">
        <v>1010</v>
      </c>
      <c r="C240" s="151" t="s">
        <v>1050</v>
      </c>
      <c r="D240" s="121" t="s">
        <v>1063</v>
      </c>
      <c r="E240" s="72" t="s">
        <v>1605</v>
      </c>
      <c r="F240" s="72" t="s">
        <v>1606</v>
      </c>
      <c r="G240" s="465" t="s">
        <v>1607</v>
      </c>
      <c r="H240" s="462" t="n">
        <v>234</v>
      </c>
      <c r="I240" s="462" t="n">
        <v>0</v>
      </c>
      <c r="J240" s="462" t="n">
        <v>0</v>
      </c>
      <c r="K240" s="463" t="str">
        <f aca="false">IF(I240&gt;=1,"Screen","")</f>
        <v/>
      </c>
      <c r="L240" s="463" t="str">
        <f aca="false">IF(J240&gt;=1,"File","")</f>
        <v/>
      </c>
    </row>
    <row r="241" customFormat="false" ht="15.75" hidden="false" customHeight="false" outlineLevel="0" collapsed="false">
      <c r="B241" s="71" t="s">
        <v>1010</v>
      </c>
      <c r="C241" s="71" t="s">
        <v>969</v>
      </c>
      <c r="D241" s="466" t="s">
        <v>1054</v>
      </c>
      <c r="E241" s="72" t="s">
        <v>1608</v>
      </c>
      <c r="F241" s="72" t="s">
        <v>1609</v>
      </c>
      <c r="G241" s="72" t="s">
        <v>1610</v>
      </c>
      <c r="H241" s="462" t="n">
        <v>235</v>
      </c>
      <c r="I241" s="462" t="n">
        <v>0</v>
      </c>
      <c r="J241" s="462" t="n">
        <v>0</v>
      </c>
      <c r="K241" s="463" t="str">
        <f aca="false">IF(I241&gt;=1,"Screen","")</f>
        <v/>
      </c>
      <c r="L241" s="463" t="str">
        <f aca="false">IF(J241&gt;=1,"File","")</f>
        <v/>
      </c>
    </row>
    <row r="242" customFormat="false" ht="15.75" hidden="false" customHeight="false" outlineLevel="0" collapsed="false">
      <c r="B242" s="71" t="s">
        <v>1010</v>
      </c>
      <c r="C242" s="71" t="s">
        <v>969</v>
      </c>
      <c r="D242" s="152" t="s">
        <v>1011</v>
      </c>
      <c r="E242" s="72" t="s">
        <v>1611</v>
      </c>
      <c r="F242" s="72" t="s">
        <v>1612</v>
      </c>
      <c r="G242" s="72" t="s">
        <v>1612</v>
      </c>
      <c r="H242" s="462" t="n">
        <v>236</v>
      </c>
      <c r="I242" s="462" t="n">
        <v>0</v>
      </c>
      <c r="J242" s="462" t="n">
        <v>0</v>
      </c>
      <c r="K242" s="463" t="str">
        <f aca="false">IF(I242&gt;=1,"Screen","")</f>
        <v/>
      </c>
      <c r="L242" s="463" t="str">
        <f aca="false">IF(J242&gt;=1,"File","")</f>
        <v/>
      </c>
    </row>
    <row r="243" customFormat="false" ht="15.75" hidden="false" customHeight="false" outlineLevel="0" collapsed="false">
      <c r="B243" s="71" t="s">
        <v>1010</v>
      </c>
      <c r="C243" s="71" t="s">
        <v>969</v>
      </c>
      <c r="D243" s="466" t="s">
        <v>1054</v>
      </c>
      <c r="E243" s="72" t="s">
        <v>1613</v>
      </c>
      <c r="F243" s="72" t="s">
        <v>1614</v>
      </c>
      <c r="G243" s="72" t="s">
        <v>1614</v>
      </c>
      <c r="H243" s="462" t="n">
        <v>237</v>
      </c>
      <c r="I243" s="462" t="n">
        <v>0</v>
      </c>
      <c r="J243" s="462" t="n">
        <v>0</v>
      </c>
      <c r="K243" s="463" t="str">
        <f aca="false">IF(I243&gt;=1,"Screen","")</f>
        <v/>
      </c>
      <c r="L243" s="463" t="str">
        <f aca="false">IF(J243&gt;=1,"File","")</f>
        <v/>
      </c>
    </row>
    <row r="244" customFormat="false" ht="15.75" hidden="false" customHeight="false" outlineLevel="0" collapsed="false">
      <c r="B244" s="71" t="s">
        <v>1010</v>
      </c>
      <c r="C244" s="71" t="s">
        <v>969</v>
      </c>
      <c r="D244" s="466" t="s">
        <v>1054</v>
      </c>
      <c r="E244" s="72" t="s">
        <v>1615</v>
      </c>
      <c r="F244" s="72" t="s">
        <v>329</v>
      </c>
      <c r="G244" s="72" t="s">
        <v>329</v>
      </c>
      <c r="H244" s="462" t="n">
        <v>238</v>
      </c>
      <c r="I244" s="462" t="n">
        <v>0</v>
      </c>
      <c r="J244" s="462" t="n">
        <v>0</v>
      </c>
      <c r="K244" s="463" t="str">
        <f aca="false">IF(I244&gt;=1,"Screen","")</f>
        <v/>
      </c>
      <c r="L244" s="463" t="str">
        <f aca="false">IF(J244&gt;=1,"File","")</f>
        <v/>
      </c>
    </row>
    <row r="245" customFormat="false" ht="15.75" hidden="false" customHeight="false" outlineLevel="0" collapsed="false">
      <c r="B245" s="71" t="s">
        <v>1010</v>
      </c>
      <c r="C245" s="71" t="s">
        <v>969</v>
      </c>
      <c r="D245" s="466" t="s">
        <v>1054</v>
      </c>
      <c r="E245" s="72" t="s">
        <v>1616</v>
      </c>
      <c r="F245" s="72" t="s">
        <v>1617</v>
      </c>
      <c r="G245" s="72" t="s">
        <v>1617</v>
      </c>
      <c r="H245" s="462" t="n">
        <v>239</v>
      </c>
      <c r="I245" s="462" t="n">
        <v>0</v>
      </c>
      <c r="J245" s="462" t="n">
        <v>0</v>
      </c>
      <c r="K245" s="463" t="str">
        <f aca="false">IF(I245&gt;=1,"Screen","")</f>
        <v/>
      </c>
      <c r="L245" s="463" t="str">
        <f aca="false">IF(J245&gt;=1,"File","")</f>
        <v/>
      </c>
    </row>
    <row r="246" customFormat="false" ht="15.75" hidden="false" customHeight="false" outlineLevel="0" collapsed="false">
      <c r="B246" s="71" t="s">
        <v>1010</v>
      </c>
      <c r="C246" s="71" t="s">
        <v>969</v>
      </c>
      <c r="D246" s="139" t="s">
        <v>370</v>
      </c>
      <c r="E246" s="72" t="s">
        <v>1618</v>
      </c>
      <c r="F246" s="72" t="s">
        <v>1619</v>
      </c>
      <c r="G246" s="72" t="s">
        <v>1619</v>
      </c>
      <c r="H246" s="462" t="n">
        <v>240</v>
      </c>
      <c r="I246" s="462" t="n">
        <v>0</v>
      </c>
      <c r="J246" s="462" t="n">
        <v>0</v>
      </c>
      <c r="K246" s="463" t="str">
        <f aca="false">IF(I246&gt;=1,"Screen","")</f>
        <v/>
      </c>
      <c r="L246" s="463" t="str">
        <f aca="false">IF(J246&gt;=1,"File","")</f>
        <v/>
      </c>
    </row>
    <row r="247" customFormat="false" ht="15.75" hidden="false" customHeight="false" outlineLevel="0" collapsed="false">
      <c r="B247" s="71" t="s">
        <v>1010</v>
      </c>
      <c r="C247" s="71" t="s">
        <v>969</v>
      </c>
      <c r="D247" s="139" t="s">
        <v>370</v>
      </c>
      <c r="E247" s="72" t="s">
        <v>1620</v>
      </c>
      <c r="F247" s="72" t="s">
        <v>1620</v>
      </c>
      <c r="G247" s="72" t="s">
        <v>1621</v>
      </c>
      <c r="H247" s="462" t="n">
        <v>241</v>
      </c>
      <c r="I247" s="462" t="n">
        <v>0</v>
      </c>
      <c r="J247" s="462" t="n">
        <v>0</v>
      </c>
      <c r="K247" s="463" t="str">
        <f aca="false">IF(I247&gt;=1,"Screen","")</f>
        <v/>
      </c>
      <c r="L247" s="463" t="str">
        <f aca="false">IF(J247&gt;=1,"File","")</f>
        <v/>
      </c>
    </row>
    <row r="248" customFormat="false" ht="15.75" hidden="false" customHeight="false" outlineLevel="0" collapsed="false">
      <c r="B248" s="71" t="s">
        <v>1010</v>
      </c>
      <c r="C248" s="71" t="s">
        <v>969</v>
      </c>
      <c r="D248" s="139" t="s">
        <v>370</v>
      </c>
      <c r="E248" s="72" t="s">
        <v>1622</v>
      </c>
      <c r="F248" s="72" t="s">
        <v>1622</v>
      </c>
      <c r="G248" s="72" t="s">
        <v>1623</v>
      </c>
      <c r="H248" s="462" t="n">
        <v>242</v>
      </c>
      <c r="I248" s="462" t="n">
        <v>0</v>
      </c>
      <c r="J248" s="462" t="n">
        <v>0</v>
      </c>
      <c r="K248" s="463" t="str">
        <f aca="false">IF(I248&gt;=1,"Screen","")</f>
        <v/>
      </c>
      <c r="L248" s="463" t="str">
        <f aca="false">IF(J248&gt;=1,"File","")</f>
        <v/>
      </c>
    </row>
    <row r="249" customFormat="false" ht="15.75" hidden="false" customHeight="false" outlineLevel="0" collapsed="false">
      <c r="B249" s="71" t="s">
        <v>1010</v>
      </c>
      <c r="C249" s="71" t="s">
        <v>969</v>
      </c>
      <c r="D249" s="139" t="s">
        <v>370</v>
      </c>
      <c r="E249" s="72" t="s">
        <v>1624</v>
      </c>
      <c r="F249" s="72" t="s">
        <v>1625</v>
      </c>
      <c r="G249" s="72" t="s">
        <v>1625</v>
      </c>
      <c r="H249" s="462" t="n">
        <v>243</v>
      </c>
      <c r="I249" s="462" t="n">
        <v>0</v>
      </c>
      <c r="J249" s="462" t="n">
        <v>0</v>
      </c>
      <c r="K249" s="463" t="str">
        <f aca="false">IF(I249&gt;=1,"Screen","")</f>
        <v/>
      </c>
      <c r="L249" s="463" t="str">
        <f aca="false">IF(J249&gt;=1,"File","")</f>
        <v/>
      </c>
    </row>
    <row r="250" customFormat="false" ht="15.75" hidden="false" customHeight="false" outlineLevel="0" collapsed="false">
      <c r="B250" s="71" t="s">
        <v>1010</v>
      </c>
      <c r="C250" s="71" t="s">
        <v>969</v>
      </c>
      <c r="D250" s="139" t="s">
        <v>370</v>
      </c>
      <c r="E250" s="72" t="s">
        <v>1626</v>
      </c>
      <c r="F250" s="72" t="s">
        <v>1627</v>
      </c>
      <c r="G250" s="72" t="s">
        <v>1627</v>
      </c>
      <c r="H250" s="462" t="n">
        <v>244</v>
      </c>
      <c r="I250" s="462" t="n">
        <v>0</v>
      </c>
      <c r="J250" s="462" t="n">
        <v>0</v>
      </c>
      <c r="K250" s="463" t="str">
        <f aca="false">IF(I250&gt;=1,"Screen","")</f>
        <v/>
      </c>
      <c r="L250" s="463" t="str">
        <f aca="false">IF(J250&gt;=1,"File","")</f>
        <v/>
      </c>
    </row>
    <row r="251" customFormat="false" ht="15.75" hidden="false" customHeight="false" outlineLevel="0" collapsed="false">
      <c r="B251" s="71" t="s">
        <v>1010</v>
      </c>
      <c r="C251" s="71" t="s">
        <v>969</v>
      </c>
      <c r="D251" s="139" t="s">
        <v>370</v>
      </c>
      <c r="E251" s="72" t="s">
        <v>1628</v>
      </c>
      <c r="F251" s="72" t="s">
        <v>1629</v>
      </c>
      <c r="G251" s="72" t="s">
        <v>1629</v>
      </c>
      <c r="H251" s="462" t="n">
        <v>245</v>
      </c>
      <c r="I251" s="462" t="n">
        <v>0</v>
      </c>
      <c r="J251" s="462" t="n">
        <v>0</v>
      </c>
      <c r="K251" s="463" t="str">
        <f aca="false">IF(I251&gt;=1,"Screen","")</f>
        <v/>
      </c>
      <c r="L251" s="463" t="str">
        <f aca="false">IF(J251&gt;=1,"File","")</f>
        <v/>
      </c>
    </row>
    <row r="252" customFormat="false" ht="15.75" hidden="false" customHeight="false" outlineLevel="0" collapsed="false">
      <c r="B252" s="71" t="s">
        <v>1010</v>
      </c>
      <c r="C252" s="71" t="s">
        <v>969</v>
      </c>
      <c r="D252" s="467" t="s">
        <v>1196</v>
      </c>
      <c r="E252" s="72" t="s">
        <v>1197</v>
      </c>
      <c r="F252" s="72" t="s">
        <v>1630</v>
      </c>
      <c r="G252" s="72" t="s">
        <v>1631</v>
      </c>
      <c r="H252" s="462" t="n">
        <v>246</v>
      </c>
      <c r="I252" s="462" t="n">
        <v>1</v>
      </c>
      <c r="J252" s="462" t="n">
        <v>1</v>
      </c>
      <c r="K252" s="463" t="str">
        <f aca="false">IF(I252&gt;=1,"Screen","")</f>
        <v>Screen</v>
      </c>
      <c r="L252" s="463" t="str">
        <f aca="false">IF(J252&gt;=1,"File","")</f>
        <v>File</v>
      </c>
    </row>
    <row r="253" customFormat="false" ht="15.75" hidden="false" customHeight="false" outlineLevel="0" collapsed="false">
      <c r="B253" s="71" t="s">
        <v>1010</v>
      </c>
      <c r="C253" s="71" t="s">
        <v>969</v>
      </c>
      <c r="D253" s="467" t="s">
        <v>1196</v>
      </c>
      <c r="E253" s="72" t="s">
        <v>1197</v>
      </c>
      <c r="F253" s="72" t="s">
        <v>1630</v>
      </c>
      <c r="G253" s="72" t="s">
        <v>1632</v>
      </c>
      <c r="H253" s="462" t="n">
        <v>247</v>
      </c>
      <c r="I253" s="462" t="n">
        <v>0</v>
      </c>
      <c r="J253" s="462" t="n">
        <v>0</v>
      </c>
      <c r="K253" s="463" t="str">
        <f aca="false">IF(I253&gt;=1,"Screen","")</f>
        <v/>
      </c>
      <c r="L253" s="463" t="str">
        <f aca="false">IF(J253&gt;=1,"File","")</f>
        <v/>
      </c>
    </row>
    <row r="254" customFormat="false" ht="15.75" hidden="false" customHeight="false" outlineLevel="0" collapsed="false">
      <c r="B254" s="71" t="s">
        <v>1010</v>
      </c>
      <c r="C254" s="71" t="s">
        <v>969</v>
      </c>
      <c r="D254" s="467" t="s">
        <v>1196</v>
      </c>
      <c r="E254" s="72" t="s">
        <v>1197</v>
      </c>
      <c r="F254" s="72" t="s">
        <v>1630</v>
      </c>
      <c r="G254" s="72" t="s">
        <v>1633</v>
      </c>
      <c r="H254" s="462" t="n">
        <v>248</v>
      </c>
      <c r="I254" s="462" t="n">
        <v>0</v>
      </c>
      <c r="J254" s="462" t="n">
        <v>0</v>
      </c>
      <c r="K254" s="463" t="str">
        <f aca="false">IF(I254&gt;=1,"Screen","")</f>
        <v/>
      </c>
      <c r="L254" s="463" t="str">
        <f aca="false">IF(J254&gt;=1,"File","")</f>
        <v/>
      </c>
    </row>
    <row r="255" customFormat="false" ht="15.75" hidden="false" customHeight="false" outlineLevel="0" collapsed="false">
      <c r="B255" s="161" t="s">
        <v>1022</v>
      </c>
      <c r="C255" s="71" t="s">
        <v>969</v>
      </c>
      <c r="D255" s="467" t="s">
        <v>1196</v>
      </c>
      <c r="E255" s="72" t="s">
        <v>1634</v>
      </c>
      <c r="F255" s="72" t="s">
        <v>1635</v>
      </c>
      <c r="G255" s="72" t="s">
        <v>1636</v>
      </c>
      <c r="H255" s="462" t="n">
        <v>249</v>
      </c>
      <c r="I255" s="462" t="n">
        <v>0</v>
      </c>
      <c r="J255" s="462" t="n">
        <v>0</v>
      </c>
      <c r="K255" s="463" t="str">
        <f aca="false">IF(I255&gt;=1,"Screen","")</f>
        <v/>
      </c>
      <c r="L255" s="463" t="str">
        <f aca="false">IF(J255&gt;=1,"File","")</f>
        <v/>
      </c>
    </row>
    <row r="256" customFormat="false" ht="15.75" hidden="false" customHeight="false" outlineLevel="0" collapsed="false">
      <c r="B256" s="161" t="s">
        <v>1022</v>
      </c>
      <c r="C256" s="71" t="s">
        <v>969</v>
      </c>
      <c r="D256" s="467" t="s">
        <v>1196</v>
      </c>
      <c r="E256" s="72" t="s">
        <v>1637</v>
      </c>
      <c r="F256" s="72" t="s">
        <v>1635</v>
      </c>
      <c r="G256" s="72" t="s">
        <v>1638</v>
      </c>
      <c r="H256" s="462" t="n">
        <v>250</v>
      </c>
      <c r="I256" s="462" t="n">
        <v>0</v>
      </c>
      <c r="J256" s="462" t="n">
        <v>0</v>
      </c>
      <c r="K256" s="463" t="str">
        <f aca="false">IF(I256&gt;=1,"Screen","")</f>
        <v/>
      </c>
      <c r="L256" s="463" t="str">
        <f aca="false">IF(J256&gt;=1,"File","")</f>
        <v/>
      </c>
    </row>
    <row r="257" customFormat="false" ht="15.75" hidden="false" customHeight="false" outlineLevel="0" collapsed="false">
      <c r="B257" s="161" t="s">
        <v>1022</v>
      </c>
      <c r="C257" s="71" t="s">
        <v>969</v>
      </c>
      <c r="D257" s="467" t="s">
        <v>1196</v>
      </c>
      <c r="E257" s="72" t="s">
        <v>1639</v>
      </c>
      <c r="F257" s="72" t="s">
        <v>1635</v>
      </c>
      <c r="G257" s="72" t="s">
        <v>1640</v>
      </c>
      <c r="H257" s="462" t="n">
        <v>251</v>
      </c>
      <c r="I257" s="462" t="n">
        <v>0</v>
      </c>
      <c r="J257" s="462" t="n">
        <v>0</v>
      </c>
      <c r="K257" s="463" t="str">
        <f aca="false">IF(I257&gt;=1,"Screen","")</f>
        <v/>
      </c>
      <c r="L257" s="463" t="str">
        <f aca="false">IF(J257&gt;=1,"File","")</f>
        <v/>
      </c>
    </row>
    <row r="258" customFormat="false" ht="15.75" hidden="false" customHeight="false" outlineLevel="0" collapsed="false">
      <c r="B258" s="71" t="s">
        <v>1010</v>
      </c>
      <c r="C258" s="71" t="s">
        <v>969</v>
      </c>
      <c r="D258" s="466" t="s">
        <v>1054</v>
      </c>
      <c r="E258" s="72" t="s">
        <v>1641</v>
      </c>
      <c r="F258" s="72" t="s">
        <v>1641</v>
      </c>
      <c r="G258" s="72" t="s">
        <v>1642</v>
      </c>
      <c r="H258" s="462" t="n">
        <v>252</v>
      </c>
      <c r="I258" s="462" t="n">
        <v>0</v>
      </c>
      <c r="J258" s="462" t="n">
        <v>1</v>
      </c>
      <c r="K258" s="463" t="str">
        <f aca="false">IF(I258&gt;=1,"Screen","")</f>
        <v/>
      </c>
      <c r="L258" s="463" t="str">
        <f aca="false">IF(J258&gt;=1,"File","")</f>
        <v>File</v>
      </c>
    </row>
    <row r="259" customFormat="false" ht="15.75" hidden="false" customHeight="false" outlineLevel="0" collapsed="false">
      <c r="B259" s="71" t="s">
        <v>1010</v>
      </c>
      <c r="C259" s="71" t="s">
        <v>969</v>
      </c>
      <c r="D259" s="466" t="s">
        <v>1054</v>
      </c>
      <c r="E259" s="72" t="s">
        <v>1643</v>
      </c>
      <c r="F259" s="72" t="s">
        <v>1643</v>
      </c>
      <c r="G259" s="72" t="s">
        <v>1644</v>
      </c>
      <c r="H259" s="462" t="n">
        <v>253</v>
      </c>
      <c r="I259" s="462" t="n">
        <v>0</v>
      </c>
      <c r="J259" s="462" t="n">
        <v>0</v>
      </c>
      <c r="K259" s="463" t="str">
        <f aca="false">IF(I259&gt;=1,"Screen","")</f>
        <v/>
      </c>
      <c r="L259" s="463" t="str">
        <f aca="false">IF(J259&gt;=1,"File","")</f>
        <v/>
      </c>
    </row>
    <row r="260" customFormat="false" ht="15.75" hidden="false" customHeight="false" outlineLevel="0" collapsed="false">
      <c r="B260" s="71" t="s">
        <v>1010</v>
      </c>
      <c r="C260" s="71" t="s">
        <v>969</v>
      </c>
      <c r="D260" s="466" t="s">
        <v>1054</v>
      </c>
      <c r="E260" s="72" t="s">
        <v>1645</v>
      </c>
      <c r="F260" s="72" t="s">
        <v>1645</v>
      </c>
      <c r="G260" s="72" t="s">
        <v>1646</v>
      </c>
      <c r="H260" s="462" t="n">
        <v>254</v>
      </c>
      <c r="I260" s="462" t="n">
        <v>0</v>
      </c>
      <c r="J260" s="462" t="n">
        <v>0</v>
      </c>
      <c r="K260" s="463" t="str">
        <f aca="false">IF(I260&gt;=1,"Screen","")</f>
        <v/>
      </c>
      <c r="L260" s="463" t="str">
        <f aca="false">IF(J260&gt;=1,"File","")</f>
        <v/>
      </c>
    </row>
    <row r="261" customFormat="false" ht="15.75" hidden="false" customHeight="false" outlineLevel="0" collapsed="false">
      <c r="B261" s="71" t="s">
        <v>1010</v>
      </c>
      <c r="C261" s="71" t="s">
        <v>969</v>
      </c>
      <c r="D261" s="121" t="s">
        <v>1063</v>
      </c>
      <c r="E261" s="72" t="s">
        <v>1067</v>
      </c>
      <c r="F261" s="72" t="s">
        <v>1647</v>
      </c>
      <c r="G261" s="72" t="s">
        <v>1648</v>
      </c>
      <c r="H261" s="462" t="n">
        <v>255</v>
      </c>
      <c r="I261" s="462" t="n">
        <v>0</v>
      </c>
      <c r="J261" s="462" t="n">
        <v>1</v>
      </c>
      <c r="K261" s="463" t="str">
        <f aca="false">IF(I261&gt;=1,"Screen","")</f>
        <v/>
      </c>
      <c r="L261" s="463" t="str">
        <f aca="false">IF(J261&gt;=1,"File","")</f>
        <v>File</v>
      </c>
    </row>
    <row r="262" customFormat="false" ht="15.75" hidden="false" customHeight="false" outlineLevel="0" collapsed="false">
      <c r="B262" s="71" t="s">
        <v>1010</v>
      </c>
      <c r="C262" s="71" t="s">
        <v>969</v>
      </c>
      <c r="D262" s="121" t="s">
        <v>1063</v>
      </c>
      <c r="E262" s="72" t="s">
        <v>1067</v>
      </c>
      <c r="F262" s="72" t="s">
        <v>1649</v>
      </c>
      <c r="G262" s="72" t="s">
        <v>1650</v>
      </c>
      <c r="H262" s="462" t="n">
        <v>256</v>
      </c>
      <c r="I262" s="462" t="n">
        <v>0</v>
      </c>
      <c r="J262" s="462" t="n">
        <v>0</v>
      </c>
      <c r="K262" s="463" t="str">
        <f aca="false">IF(I262&gt;=1,"Screen","")</f>
        <v/>
      </c>
      <c r="L262" s="463" t="str">
        <f aca="false">IF(J262&gt;=1,"File","")</f>
        <v/>
      </c>
    </row>
    <row r="263" customFormat="false" ht="15.75" hidden="false" customHeight="false" outlineLevel="0" collapsed="false">
      <c r="B263" s="71" t="s">
        <v>1010</v>
      </c>
      <c r="C263" s="71" t="s">
        <v>969</v>
      </c>
      <c r="D263" s="121" t="s">
        <v>1063</v>
      </c>
      <c r="E263" s="72" t="s">
        <v>1067</v>
      </c>
      <c r="F263" s="72" t="s">
        <v>1651</v>
      </c>
      <c r="G263" s="72" t="s">
        <v>1652</v>
      </c>
      <c r="H263" s="462" t="n">
        <v>257</v>
      </c>
      <c r="I263" s="462" t="n">
        <v>0</v>
      </c>
      <c r="J263" s="462" t="n">
        <v>0</v>
      </c>
      <c r="K263" s="463" t="str">
        <f aca="false">IF(I263&gt;=1,"Screen","")</f>
        <v/>
      </c>
      <c r="L263" s="463" t="str">
        <f aca="false">IF(J263&gt;=1,"File","")</f>
        <v/>
      </c>
    </row>
    <row r="264" customFormat="false" ht="15.75" hidden="false" customHeight="false" outlineLevel="0" collapsed="false">
      <c r="B264" s="71" t="s">
        <v>1010</v>
      </c>
      <c r="C264" s="71" t="s">
        <v>969</v>
      </c>
      <c r="D264" s="121" t="s">
        <v>1063</v>
      </c>
      <c r="E264" s="72" t="s">
        <v>1070</v>
      </c>
      <c r="F264" s="72" t="s">
        <v>1653</v>
      </c>
      <c r="G264" s="72" t="s">
        <v>1654</v>
      </c>
      <c r="H264" s="462" t="n">
        <v>258</v>
      </c>
      <c r="I264" s="462" t="n">
        <v>0</v>
      </c>
      <c r="J264" s="462" t="n">
        <v>1</v>
      </c>
      <c r="K264" s="463" t="str">
        <f aca="false">IF(I264&gt;=1,"Screen","")</f>
        <v/>
      </c>
      <c r="L264" s="463" t="str">
        <f aca="false">IF(J264&gt;=1,"File","")</f>
        <v>File</v>
      </c>
    </row>
    <row r="265" customFormat="false" ht="15.75" hidden="false" customHeight="false" outlineLevel="0" collapsed="false">
      <c r="B265" s="71" t="s">
        <v>1010</v>
      </c>
      <c r="C265" s="71" t="s">
        <v>969</v>
      </c>
      <c r="D265" s="121" t="s">
        <v>1063</v>
      </c>
      <c r="E265" s="72" t="s">
        <v>1070</v>
      </c>
      <c r="F265" s="72" t="s">
        <v>1655</v>
      </c>
      <c r="G265" s="72" t="s">
        <v>1656</v>
      </c>
      <c r="H265" s="462" t="n">
        <v>259</v>
      </c>
      <c r="I265" s="462" t="n">
        <v>0</v>
      </c>
      <c r="J265" s="462" t="n">
        <v>0</v>
      </c>
      <c r="K265" s="463" t="str">
        <f aca="false">IF(I265&gt;=1,"Screen","")</f>
        <v/>
      </c>
      <c r="L265" s="463" t="str">
        <f aca="false">IF(J265&gt;=1,"File","")</f>
        <v/>
      </c>
    </row>
    <row r="266" customFormat="false" ht="15.75" hidden="false" customHeight="false" outlineLevel="0" collapsed="false">
      <c r="B266" s="71" t="s">
        <v>1010</v>
      </c>
      <c r="C266" s="71" t="s">
        <v>969</v>
      </c>
      <c r="D266" s="121" t="s">
        <v>1063</v>
      </c>
      <c r="E266" s="72" t="s">
        <v>1070</v>
      </c>
      <c r="F266" s="72" t="s">
        <v>1657</v>
      </c>
      <c r="G266" s="72" t="s">
        <v>1658</v>
      </c>
      <c r="H266" s="462" t="n">
        <v>260</v>
      </c>
      <c r="I266" s="462" t="n">
        <v>0</v>
      </c>
      <c r="J266" s="462" t="n">
        <v>0</v>
      </c>
      <c r="K266" s="463" t="str">
        <f aca="false">IF(I266&gt;=1,"Screen","")</f>
        <v/>
      </c>
      <c r="L266" s="463" t="str">
        <f aca="false">IF(J266&gt;=1,"File","")</f>
        <v/>
      </c>
    </row>
    <row r="267" customFormat="false" ht="15.75" hidden="false" customHeight="false" outlineLevel="0" collapsed="false">
      <c r="B267" s="161" t="s">
        <v>1022</v>
      </c>
      <c r="C267" s="71" t="s">
        <v>969</v>
      </c>
      <c r="D267" s="121" t="s">
        <v>1063</v>
      </c>
      <c r="E267" s="72" t="s">
        <v>1087</v>
      </c>
      <c r="F267" s="72" t="s">
        <v>1659</v>
      </c>
      <c r="G267" s="72" t="s">
        <v>1660</v>
      </c>
      <c r="H267" s="462" t="n">
        <v>261</v>
      </c>
      <c r="I267" s="462" t="n">
        <v>0</v>
      </c>
      <c r="J267" s="462" t="n">
        <v>1</v>
      </c>
      <c r="K267" s="463" t="str">
        <f aca="false">IF(I267&gt;=1,"Screen","")</f>
        <v/>
      </c>
      <c r="L267" s="463" t="str">
        <f aca="false">IF(J267&gt;=1,"File","")</f>
        <v>File</v>
      </c>
    </row>
    <row r="268" customFormat="false" ht="15.75" hidden="false" customHeight="false" outlineLevel="0" collapsed="false">
      <c r="B268" s="161" t="s">
        <v>1022</v>
      </c>
      <c r="C268" s="71" t="s">
        <v>969</v>
      </c>
      <c r="D268" s="121" t="s">
        <v>1063</v>
      </c>
      <c r="E268" s="72" t="s">
        <v>1087</v>
      </c>
      <c r="F268" s="72" t="s">
        <v>1661</v>
      </c>
      <c r="G268" s="72" t="s">
        <v>1662</v>
      </c>
      <c r="H268" s="462" t="n">
        <v>262</v>
      </c>
      <c r="I268" s="462" t="n">
        <v>0</v>
      </c>
      <c r="J268" s="462" t="n">
        <v>0</v>
      </c>
      <c r="K268" s="463" t="str">
        <f aca="false">IF(I268&gt;=1,"Screen","")</f>
        <v/>
      </c>
      <c r="L268" s="463" t="str">
        <f aca="false">IF(J268&gt;=1,"File","")</f>
        <v/>
      </c>
    </row>
    <row r="269" customFormat="false" ht="15.75" hidden="false" customHeight="false" outlineLevel="0" collapsed="false">
      <c r="B269" s="161" t="s">
        <v>1022</v>
      </c>
      <c r="C269" s="71" t="s">
        <v>969</v>
      </c>
      <c r="D269" s="121" t="s">
        <v>1063</v>
      </c>
      <c r="E269" s="72" t="s">
        <v>1087</v>
      </c>
      <c r="F269" s="72" t="s">
        <v>1663</v>
      </c>
      <c r="G269" s="72" t="s">
        <v>1664</v>
      </c>
      <c r="H269" s="462" t="n">
        <v>263</v>
      </c>
      <c r="I269" s="462" t="n">
        <v>0</v>
      </c>
      <c r="J269" s="462" t="n">
        <v>0</v>
      </c>
      <c r="K269" s="463" t="str">
        <f aca="false">IF(I269&gt;=1,"Screen","")</f>
        <v/>
      </c>
      <c r="L269" s="463" t="str">
        <f aca="false">IF(J269&gt;=1,"File","")</f>
        <v/>
      </c>
    </row>
    <row r="270" customFormat="false" ht="15.75" hidden="false" customHeight="false" outlineLevel="0" collapsed="false">
      <c r="B270" s="461" t="s">
        <v>968</v>
      </c>
      <c r="C270" s="71" t="s">
        <v>969</v>
      </c>
      <c r="D270" s="183" t="s">
        <v>970</v>
      </c>
      <c r="E270" s="72" t="s">
        <v>973</v>
      </c>
      <c r="F270" s="72" t="s">
        <v>1665</v>
      </c>
      <c r="G270" s="72" t="s">
        <v>1665</v>
      </c>
      <c r="H270" s="462" t="n">
        <v>264</v>
      </c>
      <c r="I270" s="462" t="n">
        <v>1</v>
      </c>
      <c r="J270" s="462" t="n">
        <v>1</v>
      </c>
      <c r="K270" s="463" t="str">
        <f aca="false">IF(I270&gt;=1,"Screen","")</f>
        <v>Screen</v>
      </c>
      <c r="L270" s="463" t="str">
        <f aca="false">IF(J270&gt;=1,"File","")</f>
        <v>File</v>
      </c>
    </row>
    <row r="271" customFormat="false" ht="15.75" hidden="false" customHeight="false" outlineLevel="0" collapsed="false">
      <c r="B271" s="461" t="s">
        <v>968</v>
      </c>
      <c r="C271" s="71" t="s">
        <v>969</v>
      </c>
      <c r="D271" s="183" t="s">
        <v>970</v>
      </c>
      <c r="E271" s="72" t="s">
        <v>973</v>
      </c>
      <c r="F271" s="72" t="s">
        <v>1666</v>
      </c>
      <c r="G271" s="72" t="s">
        <v>1666</v>
      </c>
      <c r="H271" s="462" t="n">
        <v>265</v>
      </c>
      <c r="I271" s="462" t="n">
        <v>0</v>
      </c>
      <c r="J271" s="462" t="n">
        <v>0</v>
      </c>
      <c r="K271" s="463" t="str">
        <f aca="false">IF(I271&gt;=1,"Screen","")</f>
        <v/>
      </c>
      <c r="L271" s="463" t="str">
        <f aca="false">IF(J271&gt;=1,"File","")</f>
        <v/>
      </c>
    </row>
    <row r="272" customFormat="false" ht="15.75" hidden="false" customHeight="false" outlineLevel="0" collapsed="false">
      <c r="B272" s="461" t="s">
        <v>968</v>
      </c>
      <c r="C272" s="71" t="s">
        <v>969</v>
      </c>
      <c r="D272" s="183" t="s">
        <v>970</v>
      </c>
      <c r="E272" s="72" t="s">
        <v>973</v>
      </c>
      <c r="F272" s="72" t="s">
        <v>1667</v>
      </c>
      <c r="G272" s="72" t="s">
        <v>1667</v>
      </c>
      <c r="H272" s="462" t="n">
        <v>266</v>
      </c>
      <c r="I272" s="462" t="n">
        <v>0</v>
      </c>
      <c r="J272" s="462" t="n">
        <v>0</v>
      </c>
      <c r="K272" s="463" t="str">
        <f aca="false">IF(I272&gt;=1,"Screen","")</f>
        <v/>
      </c>
      <c r="L272" s="463" t="str">
        <f aca="false">IF(J272&gt;=1,"File","")</f>
        <v/>
      </c>
    </row>
    <row r="273" customFormat="false" ht="15.75" hidden="false" customHeight="false" outlineLevel="0" collapsed="false">
      <c r="B273" s="71" t="s">
        <v>1010</v>
      </c>
      <c r="C273" s="71" t="s">
        <v>969</v>
      </c>
      <c r="D273" s="152" t="s">
        <v>1011</v>
      </c>
      <c r="E273" s="72" t="s">
        <v>1668</v>
      </c>
      <c r="F273" s="72" t="s">
        <v>1669</v>
      </c>
      <c r="G273" s="72" t="s">
        <v>1669</v>
      </c>
      <c r="H273" s="462" t="n">
        <v>267</v>
      </c>
      <c r="I273" s="462" t="n">
        <v>0</v>
      </c>
      <c r="J273" s="462" t="n">
        <v>1</v>
      </c>
      <c r="K273" s="463" t="str">
        <f aca="false">IF(I273&gt;=1,"Screen","")</f>
        <v/>
      </c>
      <c r="L273" s="463" t="str">
        <f aca="false">IF(J273&gt;=1,"File","")</f>
        <v>File</v>
      </c>
    </row>
    <row r="274" customFormat="false" ht="15.75" hidden="false" customHeight="false" outlineLevel="0" collapsed="false">
      <c r="B274" s="71" t="s">
        <v>1010</v>
      </c>
      <c r="C274" s="71" t="s">
        <v>969</v>
      </c>
      <c r="D274" s="152" t="s">
        <v>1011</v>
      </c>
      <c r="E274" s="72" t="s">
        <v>1668</v>
      </c>
      <c r="F274" s="72" t="s">
        <v>1670</v>
      </c>
      <c r="G274" s="72" t="s">
        <v>1670</v>
      </c>
      <c r="H274" s="462" t="n">
        <v>268</v>
      </c>
      <c r="I274" s="462" t="n">
        <v>0</v>
      </c>
      <c r="J274" s="462" t="n">
        <v>0</v>
      </c>
      <c r="K274" s="463" t="str">
        <f aca="false">IF(I274&gt;=1,"Screen","")</f>
        <v/>
      </c>
      <c r="L274" s="463" t="str">
        <f aca="false">IF(J274&gt;=1,"File","")</f>
        <v/>
      </c>
    </row>
    <row r="275" customFormat="false" ht="15.75" hidden="false" customHeight="false" outlineLevel="0" collapsed="false">
      <c r="B275" s="71" t="s">
        <v>1010</v>
      </c>
      <c r="C275" s="71" t="s">
        <v>969</v>
      </c>
      <c r="D275" s="152" t="s">
        <v>1011</v>
      </c>
      <c r="E275" s="72" t="s">
        <v>1668</v>
      </c>
      <c r="F275" s="72" t="s">
        <v>1671</v>
      </c>
      <c r="G275" s="72" t="s">
        <v>1671</v>
      </c>
      <c r="H275" s="462" t="n">
        <v>269</v>
      </c>
      <c r="I275" s="462" t="n">
        <v>0</v>
      </c>
      <c r="J275" s="462" t="n">
        <v>0</v>
      </c>
      <c r="K275" s="463" t="str">
        <f aca="false">IF(I275&gt;=1,"Screen","")</f>
        <v/>
      </c>
      <c r="L275" s="463" t="str">
        <f aca="false">IF(J275&gt;=1,"File","")</f>
        <v/>
      </c>
    </row>
    <row r="276" customFormat="false" ht="15.75" hidden="false" customHeight="false" outlineLevel="0" collapsed="false">
      <c r="B276" s="71" t="s">
        <v>1010</v>
      </c>
      <c r="C276" s="71" t="s">
        <v>969</v>
      </c>
      <c r="D276" s="139" t="s">
        <v>370</v>
      </c>
      <c r="E276" s="72" t="s">
        <v>1672</v>
      </c>
      <c r="F276" s="72" t="s">
        <v>1439</v>
      </c>
      <c r="G276" s="72" t="s">
        <v>1439</v>
      </c>
      <c r="H276" s="462" t="n">
        <v>270</v>
      </c>
      <c r="I276" s="462" t="n">
        <v>0</v>
      </c>
      <c r="J276" s="462" t="n">
        <v>0</v>
      </c>
      <c r="K276" s="463" t="str">
        <f aca="false">IF(I276&gt;=1,"Screen","")</f>
        <v/>
      </c>
      <c r="L276" s="463" t="str">
        <f aca="false">IF(J276&gt;=1,"File","")</f>
        <v/>
      </c>
    </row>
    <row r="277" customFormat="false" ht="15.75" hidden="false" customHeight="false" outlineLevel="0" collapsed="false">
      <c r="B277" s="71" t="s">
        <v>1010</v>
      </c>
      <c r="C277" s="71" t="s">
        <v>969</v>
      </c>
      <c r="D277" s="139" t="s">
        <v>370</v>
      </c>
      <c r="E277" s="72" t="s">
        <v>1673</v>
      </c>
      <c r="F277" s="72" t="s">
        <v>1441</v>
      </c>
      <c r="G277" s="72" t="s">
        <v>1441</v>
      </c>
      <c r="H277" s="462" t="n">
        <v>271</v>
      </c>
      <c r="I277" s="462" t="n">
        <v>0</v>
      </c>
      <c r="J277" s="462" t="n">
        <v>0</v>
      </c>
      <c r="K277" s="463" t="str">
        <f aca="false">IF(I277&gt;=1,"Screen","")</f>
        <v/>
      </c>
      <c r="L277" s="463" t="str">
        <f aca="false">IF(J277&gt;=1,"File","")</f>
        <v/>
      </c>
    </row>
    <row r="278" customFormat="false" ht="15.75" hidden="false" customHeight="false" outlineLevel="0" collapsed="false">
      <c r="B278" s="71" t="s">
        <v>1010</v>
      </c>
      <c r="C278" s="71" t="s">
        <v>969</v>
      </c>
      <c r="D278" s="139" t="s">
        <v>370</v>
      </c>
      <c r="E278" s="72" t="s">
        <v>1674</v>
      </c>
      <c r="F278" s="72" t="s">
        <v>1675</v>
      </c>
      <c r="G278" s="72" t="s">
        <v>1675</v>
      </c>
      <c r="H278" s="462" t="n">
        <v>272</v>
      </c>
      <c r="I278" s="462" t="n">
        <v>0</v>
      </c>
      <c r="J278" s="462" t="n">
        <v>0</v>
      </c>
      <c r="K278" s="463" t="str">
        <f aca="false">IF(I278&gt;=1,"Screen","")</f>
        <v/>
      </c>
      <c r="L278" s="463" t="str">
        <f aca="false">IF(J278&gt;=1,"File","")</f>
        <v/>
      </c>
    </row>
    <row r="279" customFormat="false" ht="15.75" hidden="false" customHeight="false" outlineLevel="0" collapsed="false">
      <c r="B279" s="461" t="s">
        <v>968</v>
      </c>
      <c r="C279" s="71" t="s">
        <v>969</v>
      </c>
      <c r="D279" s="183" t="s">
        <v>970</v>
      </c>
      <c r="E279" s="72" t="s">
        <v>1676</v>
      </c>
      <c r="F279" s="72" t="s">
        <v>1677</v>
      </c>
      <c r="G279" s="72" t="s">
        <v>1677</v>
      </c>
      <c r="H279" s="462" t="n">
        <v>273</v>
      </c>
      <c r="I279" s="462" t="n">
        <v>0</v>
      </c>
      <c r="J279" s="462" t="n">
        <v>0</v>
      </c>
      <c r="K279" s="463" t="str">
        <f aca="false">IF(I279&gt;=1,"Screen","")</f>
        <v/>
      </c>
      <c r="L279" s="463" t="str">
        <f aca="false">IF(J279&gt;=1,"File","")</f>
        <v/>
      </c>
    </row>
    <row r="280" customFormat="false" ht="15.75" hidden="false" customHeight="false" outlineLevel="0" collapsed="false">
      <c r="B280" s="461" t="s">
        <v>968</v>
      </c>
      <c r="C280" s="71" t="s">
        <v>969</v>
      </c>
      <c r="D280" s="183" t="s">
        <v>970</v>
      </c>
      <c r="E280" s="72" t="s">
        <v>1678</v>
      </c>
      <c r="F280" s="72" t="s">
        <v>1679</v>
      </c>
      <c r="G280" s="72" t="s">
        <v>1679</v>
      </c>
      <c r="H280" s="462" t="n">
        <v>274</v>
      </c>
      <c r="I280" s="462" t="n">
        <v>0</v>
      </c>
      <c r="J280" s="462" t="n">
        <v>0</v>
      </c>
      <c r="K280" s="463" t="str">
        <f aca="false">IF(I280&gt;=1,"Screen","")</f>
        <v/>
      </c>
      <c r="L280" s="463" t="str">
        <f aca="false">IF(J280&gt;=1,"File","")</f>
        <v/>
      </c>
    </row>
    <row r="281" customFormat="false" ht="15.75" hidden="false" customHeight="false" outlineLevel="0" collapsed="false">
      <c r="B281" s="461" t="s">
        <v>968</v>
      </c>
      <c r="C281" s="71" t="s">
        <v>969</v>
      </c>
      <c r="D281" s="183" t="s">
        <v>970</v>
      </c>
      <c r="E281" s="72" t="s">
        <v>1680</v>
      </c>
      <c r="F281" s="72" t="s">
        <v>1681</v>
      </c>
      <c r="G281" s="72" t="s">
        <v>1681</v>
      </c>
      <c r="H281" s="462" t="n">
        <v>275</v>
      </c>
      <c r="I281" s="462" t="n">
        <v>0</v>
      </c>
      <c r="J281" s="462" t="n">
        <v>0</v>
      </c>
      <c r="K281" s="463" t="str">
        <f aca="false">IF(I281&gt;=1,"Screen","")</f>
        <v/>
      </c>
      <c r="L281" s="463" t="str">
        <f aca="false">IF(J281&gt;=1,"File","")</f>
        <v/>
      </c>
    </row>
    <row r="282" customFormat="false" ht="15.75" hidden="false" customHeight="false" outlineLevel="0" collapsed="false">
      <c r="B282" s="71" t="s">
        <v>1010</v>
      </c>
      <c r="C282" s="71" t="s">
        <v>969</v>
      </c>
      <c r="D282" s="151" t="s">
        <v>358</v>
      </c>
      <c r="E282" s="72" t="s">
        <v>1286</v>
      </c>
      <c r="F282" s="72" t="s">
        <v>1682</v>
      </c>
      <c r="G282" s="72" t="s">
        <v>1683</v>
      </c>
      <c r="H282" s="462" t="n">
        <v>276</v>
      </c>
      <c r="I282" s="462" t="n">
        <v>0</v>
      </c>
      <c r="J282" s="462" t="n">
        <v>0</v>
      </c>
      <c r="K282" s="463" t="str">
        <f aca="false">IF(I282&gt;=1,"Screen","")</f>
        <v/>
      </c>
      <c r="L282" s="463" t="str">
        <f aca="false">IF(J282&gt;=1,"File","")</f>
        <v/>
      </c>
    </row>
    <row r="283" customFormat="false" ht="15.75" hidden="false" customHeight="false" outlineLevel="0" collapsed="false">
      <c r="B283" s="71" t="s">
        <v>1010</v>
      </c>
      <c r="C283" s="71" t="s">
        <v>969</v>
      </c>
      <c r="D283" s="151" t="s">
        <v>358</v>
      </c>
      <c r="E283" s="72" t="s">
        <v>1286</v>
      </c>
      <c r="F283" s="72" t="s">
        <v>1684</v>
      </c>
      <c r="G283" s="72" t="s">
        <v>1685</v>
      </c>
      <c r="H283" s="462" t="n">
        <v>277</v>
      </c>
      <c r="I283" s="462" t="n">
        <v>0</v>
      </c>
      <c r="J283" s="462" t="n">
        <v>0</v>
      </c>
      <c r="K283" s="463" t="str">
        <f aca="false">IF(I283&gt;=1,"Screen","")</f>
        <v/>
      </c>
      <c r="L283" s="463" t="str">
        <f aca="false">IF(J283&gt;=1,"File","")</f>
        <v/>
      </c>
    </row>
    <row r="284" customFormat="false" ht="15.75" hidden="false" customHeight="false" outlineLevel="0" collapsed="false">
      <c r="B284" s="71" t="s">
        <v>1010</v>
      </c>
      <c r="C284" s="71" t="s">
        <v>969</v>
      </c>
      <c r="D284" s="151" t="s">
        <v>358</v>
      </c>
      <c r="E284" s="72" t="s">
        <v>1286</v>
      </c>
      <c r="F284" s="72" t="s">
        <v>1686</v>
      </c>
      <c r="G284" s="72" t="s">
        <v>1687</v>
      </c>
      <c r="H284" s="462" t="n">
        <v>278</v>
      </c>
      <c r="I284" s="462" t="n">
        <v>0</v>
      </c>
      <c r="J284" s="462" t="n">
        <v>0</v>
      </c>
      <c r="K284" s="463" t="str">
        <f aca="false">IF(I284&gt;=1,"Screen","")</f>
        <v/>
      </c>
      <c r="L284" s="463" t="str">
        <f aca="false">IF(J284&gt;=1,"File","")</f>
        <v/>
      </c>
    </row>
    <row r="285" customFormat="false" ht="15.75" hidden="false" customHeight="false" outlineLevel="0" collapsed="false">
      <c r="B285" s="26" t="s">
        <v>1318</v>
      </c>
      <c r="C285" s="151" t="s">
        <v>1050</v>
      </c>
      <c r="D285" s="152" t="s">
        <v>1011</v>
      </c>
      <c r="E285" s="72" t="s">
        <v>1688</v>
      </c>
      <c r="F285" s="72" t="s">
        <v>1689</v>
      </c>
      <c r="G285" s="465" t="s">
        <v>1690</v>
      </c>
      <c r="H285" s="462" t="n">
        <v>279</v>
      </c>
      <c r="I285" s="462" t="n">
        <v>0</v>
      </c>
      <c r="J285" s="462" t="n">
        <v>0</v>
      </c>
      <c r="K285" s="463" t="str">
        <f aca="false">IF(I285&gt;=1,"Screen","")</f>
        <v/>
      </c>
      <c r="L285" s="463" t="str">
        <f aca="false">IF(J285&gt;=1,"File","")</f>
        <v/>
      </c>
    </row>
    <row r="286" customFormat="false" ht="15.75" hidden="false" customHeight="false" outlineLevel="0" collapsed="false">
      <c r="B286" s="26" t="s">
        <v>1318</v>
      </c>
      <c r="C286" s="151" t="s">
        <v>1050</v>
      </c>
      <c r="D286" s="152" t="s">
        <v>1011</v>
      </c>
      <c r="E286" s="72" t="s">
        <v>1691</v>
      </c>
      <c r="F286" s="72" t="s">
        <v>1692</v>
      </c>
      <c r="G286" s="465" t="s">
        <v>1693</v>
      </c>
      <c r="H286" s="462" t="n">
        <v>280</v>
      </c>
      <c r="I286" s="462" t="n">
        <v>0</v>
      </c>
      <c r="J286" s="462" t="n">
        <v>0</v>
      </c>
      <c r="K286" s="463" t="str">
        <f aca="false">IF(I286&gt;=1,"Screen","")</f>
        <v/>
      </c>
      <c r="L286" s="463" t="str">
        <f aca="false">IF(J286&gt;=1,"File","")</f>
        <v/>
      </c>
    </row>
    <row r="287" customFormat="false" ht="15.75" hidden="false" customHeight="false" outlineLevel="0" collapsed="false">
      <c r="B287" s="26" t="s">
        <v>1318</v>
      </c>
      <c r="C287" s="151" t="s">
        <v>1050</v>
      </c>
      <c r="D287" s="152" t="s">
        <v>1011</v>
      </c>
      <c r="E287" s="72" t="s">
        <v>1694</v>
      </c>
      <c r="F287" s="72" t="s">
        <v>1695</v>
      </c>
      <c r="G287" s="465" t="s">
        <v>1696</v>
      </c>
      <c r="H287" s="462" t="n">
        <v>281</v>
      </c>
      <c r="I287" s="462" t="n">
        <v>0</v>
      </c>
      <c r="J287" s="462" t="n">
        <v>0</v>
      </c>
      <c r="K287" s="463" t="str">
        <f aca="false">IF(I287&gt;=1,"Screen","")</f>
        <v/>
      </c>
      <c r="L287" s="463" t="str">
        <f aca="false">IF(J287&gt;=1,"File","")</f>
        <v/>
      </c>
    </row>
    <row r="288" customFormat="false" ht="15.75" hidden="false" customHeight="false" outlineLevel="0" collapsed="false">
      <c r="B288" s="26" t="s">
        <v>1318</v>
      </c>
      <c r="C288" s="151" t="s">
        <v>1050</v>
      </c>
      <c r="D288" s="152" t="s">
        <v>1011</v>
      </c>
      <c r="E288" s="72" t="s">
        <v>1697</v>
      </c>
      <c r="F288" s="72" t="s">
        <v>1698</v>
      </c>
      <c r="G288" s="465" t="s">
        <v>1699</v>
      </c>
      <c r="H288" s="462" t="n">
        <v>282</v>
      </c>
      <c r="I288" s="462" t="n">
        <v>0</v>
      </c>
      <c r="J288" s="462" t="n">
        <v>0</v>
      </c>
      <c r="K288" s="463" t="str">
        <f aca="false">IF(I288&gt;=1,"Screen","")</f>
        <v/>
      </c>
      <c r="L288" s="463" t="str">
        <f aca="false">IF(J288&gt;=1,"File","")</f>
        <v/>
      </c>
    </row>
    <row r="289" customFormat="false" ht="15.75" hidden="false" customHeight="false" outlineLevel="0" collapsed="false">
      <c r="B289" s="461" t="s">
        <v>968</v>
      </c>
      <c r="C289" s="71" t="s">
        <v>969</v>
      </c>
      <c r="D289" s="183" t="s">
        <v>970</v>
      </c>
      <c r="E289" s="72" t="s">
        <v>1700</v>
      </c>
      <c r="F289" s="72" t="s">
        <v>1701</v>
      </c>
      <c r="G289" s="72" t="s">
        <v>1701</v>
      </c>
      <c r="H289" s="462" t="n">
        <v>283</v>
      </c>
      <c r="I289" s="462" t="n">
        <v>0</v>
      </c>
      <c r="J289" s="462" t="n">
        <v>0</v>
      </c>
    </row>
    <row r="290" customFormat="false" ht="15.75" hidden="false" customHeight="false" outlineLevel="0" collapsed="false">
      <c r="B290" s="461" t="s">
        <v>968</v>
      </c>
      <c r="C290" s="71" t="s">
        <v>969</v>
      </c>
      <c r="D290" s="183" t="s">
        <v>970</v>
      </c>
      <c r="E290" s="72" t="s">
        <v>1700</v>
      </c>
      <c r="F290" s="72" t="s">
        <v>1702</v>
      </c>
      <c r="G290" s="72" t="s">
        <v>1702</v>
      </c>
      <c r="H290" s="462" t="n">
        <v>284</v>
      </c>
      <c r="I290" s="462" t="n">
        <v>0</v>
      </c>
      <c r="J290" s="462" t="n">
        <v>0</v>
      </c>
    </row>
    <row r="291" customFormat="false" ht="15.75" hidden="false" customHeight="false" outlineLevel="0" collapsed="false">
      <c r="B291" s="461" t="s">
        <v>968</v>
      </c>
      <c r="C291" s="71" t="s">
        <v>969</v>
      </c>
      <c r="D291" s="183" t="s">
        <v>970</v>
      </c>
      <c r="E291" s="72" t="s">
        <v>1700</v>
      </c>
      <c r="F291" s="72" t="s">
        <v>1703</v>
      </c>
      <c r="G291" s="72" t="s">
        <v>1703</v>
      </c>
      <c r="H291" s="462" t="n">
        <v>285</v>
      </c>
      <c r="I291" s="462" t="n">
        <v>0</v>
      </c>
      <c r="J291" s="462" t="n">
        <v>0</v>
      </c>
    </row>
    <row r="292" customFormat="false" ht="15.75" hidden="false" customHeight="false" outlineLevel="0" collapsed="false">
      <c r="B292" s="461" t="s">
        <v>968</v>
      </c>
      <c r="C292" s="71" t="s">
        <v>969</v>
      </c>
      <c r="D292" s="183" t="s">
        <v>970</v>
      </c>
      <c r="E292" s="72" t="s">
        <v>1704</v>
      </c>
      <c r="F292" s="72" t="s">
        <v>1705</v>
      </c>
      <c r="G292" s="72" t="s">
        <v>1705</v>
      </c>
      <c r="H292" s="462" t="n">
        <v>286</v>
      </c>
      <c r="I292" s="462" t="n">
        <v>0</v>
      </c>
      <c r="J292" s="462" t="n">
        <v>0</v>
      </c>
      <c r="K292" s="463" t="str">
        <f aca="false">IF(I292&gt;=1,"Screen","")</f>
        <v/>
      </c>
      <c r="L292" s="463" t="str">
        <f aca="false">IF(J292&gt;=1,"File","")</f>
        <v/>
      </c>
    </row>
    <row r="293" customFormat="false" ht="15.75" hidden="false" customHeight="false" outlineLevel="0" collapsed="false">
      <c r="B293" s="457" t="s">
        <v>1042</v>
      </c>
      <c r="C293" s="151" t="s">
        <v>1050</v>
      </c>
      <c r="D293" s="151" t="s">
        <v>358</v>
      </c>
      <c r="E293" s="72" t="s">
        <v>1706</v>
      </c>
      <c r="F293" s="72" t="s">
        <v>1707</v>
      </c>
      <c r="G293" s="72" t="s">
        <v>1707</v>
      </c>
      <c r="H293" s="462" t="n">
        <v>287</v>
      </c>
      <c r="I293" s="462" t="n">
        <v>0</v>
      </c>
      <c r="J293" s="462" t="n">
        <v>0</v>
      </c>
      <c r="K293" s="463" t="str">
        <f aca="false">IF(I293&gt;=1,"Screen","")</f>
        <v/>
      </c>
      <c r="L293" s="463" t="str">
        <f aca="false">IF(J293&gt;=1,"File","")</f>
        <v/>
      </c>
    </row>
    <row r="294" customFormat="false" ht="15.75" hidden="false" customHeight="false" outlineLevel="0" collapsed="false">
      <c r="B294" s="457" t="s">
        <v>1042</v>
      </c>
      <c r="C294" s="151" t="s">
        <v>1050</v>
      </c>
      <c r="D294" s="139" t="s">
        <v>370</v>
      </c>
      <c r="E294" s="72" t="s">
        <v>1708</v>
      </c>
      <c r="F294" s="72" t="s">
        <v>1709</v>
      </c>
      <c r="G294" s="72" t="s">
        <v>1709</v>
      </c>
      <c r="H294" s="462" t="n">
        <v>288</v>
      </c>
      <c r="I294" s="462" t="n">
        <v>0</v>
      </c>
      <c r="J294" s="462" t="n">
        <v>0</v>
      </c>
      <c r="K294" s="463" t="str">
        <f aca="false">IF(I294&gt;=1,"Screen","")</f>
        <v/>
      </c>
      <c r="L294" s="463" t="str">
        <f aca="false">IF(J294&gt;=1,"File","")</f>
        <v/>
      </c>
    </row>
    <row r="295" customFormat="false" ht="15.75" hidden="false" customHeight="false" outlineLevel="0" collapsed="false">
      <c r="B295" s="457" t="s">
        <v>1042</v>
      </c>
      <c r="C295" s="151" t="s">
        <v>1050</v>
      </c>
      <c r="D295" s="139" t="s">
        <v>370</v>
      </c>
      <c r="E295" s="72" t="s">
        <v>1710</v>
      </c>
      <c r="F295" s="72" t="s">
        <v>1711</v>
      </c>
      <c r="G295" s="72" t="s">
        <v>1711</v>
      </c>
      <c r="H295" s="462" t="n">
        <v>289</v>
      </c>
      <c r="I295" s="462" t="n">
        <v>0</v>
      </c>
      <c r="J295" s="462" t="n">
        <v>0</v>
      </c>
      <c r="K295" s="463" t="str">
        <f aca="false">IF(I295&gt;=1,"Screen","")</f>
        <v/>
      </c>
      <c r="L295" s="463" t="str">
        <f aca="false">IF(J295&gt;=1,"File","")</f>
        <v/>
      </c>
    </row>
    <row r="296" customFormat="false" ht="15.75" hidden="false" customHeight="false" outlineLevel="0" collapsed="false">
      <c r="B296" s="461" t="s">
        <v>968</v>
      </c>
      <c r="C296" s="71" t="s">
        <v>969</v>
      </c>
      <c r="D296" s="183" t="s">
        <v>970</v>
      </c>
      <c r="E296" s="72" t="s">
        <v>1712</v>
      </c>
      <c r="F296" s="72" t="s">
        <v>1713</v>
      </c>
      <c r="G296" s="72" t="s">
        <v>1713</v>
      </c>
      <c r="H296" s="462" t="n">
        <v>290</v>
      </c>
      <c r="I296" s="462" t="n">
        <v>0</v>
      </c>
      <c r="J296" s="462" t="n">
        <v>0</v>
      </c>
      <c r="K296" s="463" t="str">
        <f aca="false">IF(I296&gt;=1,"Screen","")</f>
        <v/>
      </c>
      <c r="L296" s="463" t="str">
        <f aca="false">IF(J296&gt;=1,"File","")</f>
        <v/>
      </c>
    </row>
    <row r="297" customFormat="false" ht="15.75" hidden="false" customHeight="false" outlineLevel="0" collapsed="false">
      <c r="B297" s="152" t="s">
        <v>1029</v>
      </c>
      <c r="C297" s="71" t="s">
        <v>969</v>
      </c>
      <c r="D297" s="121" t="s">
        <v>1063</v>
      </c>
      <c r="E297" s="72" t="s">
        <v>1714</v>
      </c>
      <c r="F297" s="72" t="s">
        <v>1715</v>
      </c>
      <c r="G297" s="72" t="s">
        <v>1716</v>
      </c>
      <c r="H297" s="462" t="n">
        <v>291</v>
      </c>
      <c r="I297" s="462" t="n">
        <v>0</v>
      </c>
      <c r="J297" s="462" t="n">
        <v>0</v>
      </c>
      <c r="K297" s="463" t="str">
        <f aca="false">IF(I297&gt;=1,"Screen","")</f>
        <v/>
      </c>
      <c r="L297" s="463" t="str">
        <f aca="false">IF(J297&gt;=1,"File","")</f>
        <v/>
      </c>
    </row>
    <row r="298" customFormat="false" ht="15.75" hidden="false" customHeight="false" outlineLevel="0" collapsed="false">
      <c r="B298" s="176" t="s">
        <v>1403</v>
      </c>
      <c r="C298" s="71" t="s">
        <v>969</v>
      </c>
      <c r="D298" s="468" t="s">
        <v>1320</v>
      </c>
      <c r="E298" s="72" t="s">
        <v>1717</v>
      </c>
      <c r="F298" s="72" t="s">
        <v>1717</v>
      </c>
      <c r="G298" s="72" t="s">
        <v>1718</v>
      </c>
      <c r="H298" s="462" t="n">
        <v>292</v>
      </c>
      <c r="I298" s="462" t="n">
        <v>0</v>
      </c>
      <c r="J298" s="462" t="n">
        <v>0</v>
      </c>
      <c r="K298" s="463" t="str">
        <f aca="false">IF(I298&gt;=1,"Screen","")</f>
        <v/>
      </c>
      <c r="L298" s="463" t="str">
        <f aca="false">IF(J298&gt;=1,"File","")</f>
        <v/>
      </c>
    </row>
    <row r="299" customFormat="false" ht="15.75" hidden="false" customHeight="false" outlineLevel="0" collapsed="false">
      <c r="B299" s="176" t="s">
        <v>1403</v>
      </c>
      <c r="C299" s="71" t="s">
        <v>969</v>
      </c>
      <c r="D299" s="468" t="s">
        <v>1320</v>
      </c>
      <c r="E299" s="72" t="s">
        <v>1719</v>
      </c>
      <c r="F299" s="72" t="s">
        <v>1719</v>
      </c>
      <c r="G299" s="72" t="s">
        <v>1720</v>
      </c>
      <c r="H299" s="462" t="n">
        <v>293</v>
      </c>
      <c r="I299" s="462" t="n">
        <v>0</v>
      </c>
      <c r="J299" s="462" t="n">
        <v>0</v>
      </c>
      <c r="K299" s="463" t="str">
        <f aca="false">IF(I299&gt;=1,"Screen","")</f>
        <v/>
      </c>
      <c r="L299" s="463" t="str">
        <f aca="false">IF(J299&gt;=1,"File","")</f>
        <v/>
      </c>
    </row>
    <row r="300" customFormat="false" ht="15.75" hidden="false" customHeight="false" outlineLevel="0" collapsed="false">
      <c r="B300" s="176" t="s">
        <v>1403</v>
      </c>
      <c r="C300" s="71" t="s">
        <v>969</v>
      </c>
      <c r="D300" s="468" t="s">
        <v>1320</v>
      </c>
      <c r="E300" s="72" t="s">
        <v>1721</v>
      </c>
      <c r="F300" s="72" t="s">
        <v>1721</v>
      </c>
      <c r="G300" s="72" t="s">
        <v>1722</v>
      </c>
      <c r="H300" s="462" t="n">
        <v>294</v>
      </c>
      <c r="I300" s="462" t="n">
        <v>0</v>
      </c>
      <c r="J300" s="462" t="n">
        <v>0</v>
      </c>
      <c r="K300" s="463" t="str">
        <f aca="false">IF(I300&gt;=1,"Screen","")</f>
        <v/>
      </c>
      <c r="L300" s="463" t="str">
        <f aca="false">IF(J300&gt;=1,"File","")</f>
        <v/>
      </c>
    </row>
    <row r="301" customFormat="false" ht="15.75" hidden="false" customHeight="false" outlineLevel="0" collapsed="false">
      <c r="B301" s="318" t="s">
        <v>1039</v>
      </c>
      <c r="C301" s="151" t="s">
        <v>1050</v>
      </c>
      <c r="D301" s="161" t="s">
        <v>1135</v>
      </c>
      <c r="E301" s="72" t="s">
        <v>1478</v>
      </c>
      <c r="F301" s="72" t="s">
        <v>1479</v>
      </c>
      <c r="G301" s="465" t="s">
        <v>1723</v>
      </c>
      <c r="H301" s="462" t="n">
        <v>295</v>
      </c>
      <c r="I301" s="462" t="n">
        <v>0</v>
      </c>
      <c r="J301" s="462" t="n">
        <v>0</v>
      </c>
      <c r="K301" s="463"/>
      <c r="L301" s="463"/>
    </row>
    <row r="302" customFormat="false" ht="15.75" hidden="false" customHeight="false" outlineLevel="0" collapsed="false">
      <c r="B302" s="318" t="s">
        <v>1039</v>
      </c>
      <c r="C302" s="151" t="s">
        <v>1050</v>
      </c>
      <c r="D302" s="161" t="s">
        <v>1135</v>
      </c>
      <c r="E302" s="72" t="s">
        <v>1478</v>
      </c>
      <c r="F302" s="72" t="s">
        <v>1479</v>
      </c>
      <c r="G302" s="465" t="s">
        <v>1724</v>
      </c>
      <c r="H302" s="462" t="n">
        <v>296</v>
      </c>
      <c r="I302" s="462" t="n">
        <v>0</v>
      </c>
      <c r="J302" s="462" t="n">
        <v>0</v>
      </c>
      <c r="K302" s="463"/>
      <c r="L302" s="463"/>
    </row>
    <row r="303" customFormat="false" ht="15.75" hidden="false" customHeight="false" outlineLevel="0" collapsed="false">
      <c r="B303" s="318" t="s">
        <v>1039</v>
      </c>
      <c r="C303" s="151" t="s">
        <v>1050</v>
      </c>
      <c r="D303" s="161" t="s">
        <v>1135</v>
      </c>
      <c r="E303" s="72" t="s">
        <v>1478</v>
      </c>
      <c r="F303" s="72" t="s">
        <v>1479</v>
      </c>
      <c r="G303" s="465" t="s">
        <v>1725</v>
      </c>
      <c r="H303" s="462" t="n">
        <v>297</v>
      </c>
      <c r="I303" s="462" t="n">
        <v>0</v>
      </c>
      <c r="J303" s="462" t="n">
        <v>0</v>
      </c>
      <c r="K303" s="463"/>
      <c r="L303" s="463"/>
    </row>
    <row r="304" customFormat="false" ht="15.75" hidden="false" customHeight="false" outlineLevel="0" collapsed="false">
      <c r="B304" s="318" t="s">
        <v>1039</v>
      </c>
      <c r="C304" s="151" t="s">
        <v>1050</v>
      </c>
      <c r="D304" s="161" t="s">
        <v>1135</v>
      </c>
      <c r="E304" s="72" t="s">
        <v>1726</v>
      </c>
      <c r="F304" s="72" t="s">
        <v>1727</v>
      </c>
      <c r="G304" s="465" t="s">
        <v>1728</v>
      </c>
      <c r="H304" s="462" t="n">
        <v>298</v>
      </c>
      <c r="I304" s="462" t="n">
        <v>0</v>
      </c>
      <c r="J304" s="462" t="n">
        <v>0</v>
      </c>
      <c r="K304" s="463"/>
      <c r="L304" s="463"/>
    </row>
    <row r="305" customFormat="false" ht="15.75" hidden="false" customHeight="false" outlineLevel="0" collapsed="false">
      <c r="B305" s="318" t="s">
        <v>1039</v>
      </c>
      <c r="C305" s="151" t="s">
        <v>1050</v>
      </c>
      <c r="D305" s="161" t="s">
        <v>1135</v>
      </c>
      <c r="E305" s="72" t="s">
        <v>1726</v>
      </c>
      <c r="F305" s="72" t="s">
        <v>1727</v>
      </c>
      <c r="G305" s="465" t="s">
        <v>1729</v>
      </c>
      <c r="H305" s="462" t="n">
        <v>299</v>
      </c>
      <c r="I305" s="462" t="n">
        <v>0</v>
      </c>
      <c r="J305" s="462" t="n">
        <v>0</v>
      </c>
      <c r="K305" s="463"/>
      <c r="L305" s="463"/>
    </row>
    <row r="306" customFormat="false" ht="15.75" hidden="false" customHeight="false" outlineLevel="0" collapsed="false">
      <c r="B306" s="318" t="s">
        <v>1039</v>
      </c>
      <c r="C306" s="151" t="s">
        <v>1050</v>
      </c>
      <c r="D306" s="161" t="s">
        <v>1135</v>
      </c>
      <c r="E306" s="72" t="s">
        <v>1726</v>
      </c>
      <c r="F306" s="72" t="s">
        <v>1727</v>
      </c>
      <c r="G306" s="465" t="s">
        <v>1730</v>
      </c>
      <c r="H306" s="462" t="n">
        <v>300</v>
      </c>
      <c r="I306" s="462" t="n">
        <v>0</v>
      </c>
      <c r="J306" s="462" t="n">
        <v>0</v>
      </c>
      <c r="K306" s="463"/>
      <c r="L306" s="463"/>
    </row>
    <row r="307" customFormat="false" ht="15.75" hidden="false" customHeight="false" outlineLevel="0" collapsed="false">
      <c r="B307" s="318" t="s">
        <v>1039</v>
      </c>
      <c r="C307" s="151" t="s">
        <v>1050</v>
      </c>
      <c r="D307" s="161" t="s">
        <v>1135</v>
      </c>
      <c r="E307" s="72" t="s">
        <v>1726</v>
      </c>
      <c r="F307" s="72" t="s">
        <v>1727</v>
      </c>
      <c r="G307" s="465" t="s">
        <v>1731</v>
      </c>
      <c r="H307" s="462" t="n">
        <v>301</v>
      </c>
      <c r="I307" s="462" t="n">
        <v>0</v>
      </c>
      <c r="J307" s="462" t="n">
        <v>0</v>
      </c>
      <c r="K307" s="463" t="str">
        <f aca="false">IF(I307&gt;=1,"Screen","")</f>
        <v/>
      </c>
      <c r="L307" s="463" t="str">
        <f aca="false">IF(J307&gt;=1,"File","")</f>
        <v/>
      </c>
    </row>
    <row r="308" customFormat="false" ht="15.75" hidden="false" customHeight="false" outlineLevel="0" collapsed="false">
      <c r="B308" s="179" t="s">
        <v>1732</v>
      </c>
      <c r="C308" s="179" t="s">
        <v>969</v>
      </c>
      <c r="D308" s="179" t="s">
        <v>1733</v>
      </c>
      <c r="E308" s="179" t="s">
        <v>1733</v>
      </c>
      <c r="F308" s="179" t="s">
        <v>1734</v>
      </c>
      <c r="G308" s="179" t="s">
        <v>1734</v>
      </c>
      <c r="H308" s="462" t="n">
        <v>302</v>
      </c>
      <c r="I308" s="462" t="n">
        <v>0</v>
      </c>
      <c r="J308" s="462" t="n">
        <v>0</v>
      </c>
      <c r="K308" s="463" t="str">
        <f aca="false">IF(I308&gt;=1,"Screen","")</f>
        <v/>
      </c>
      <c r="L308" s="463" t="str">
        <f aca="false">IF(J308&gt;=1,"File","")</f>
        <v/>
      </c>
    </row>
    <row r="309" customFormat="false" ht="15.75" hidden="false" customHeight="false" outlineLevel="0" collapsed="false">
      <c r="B309" s="179" t="s">
        <v>1732</v>
      </c>
      <c r="C309" s="179" t="s">
        <v>969</v>
      </c>
      <c r="D309" s="179" t="s">
        <v>1733</v>
      </c>
      <c r="E309" s="179" t="s">
        <v>1733</v>
      </c>
      <c r="F309" s="179" t="s">
        <v>1735</v>
      </c>
      <c r="G309" s="179" t="s">
        <v>1735</v>
      </c>
      <c r="H309" s="462" t="n">
        <v>303</v>
      </c>
      <c r="I309" s="462" t="n">
        <v>0</v>
      </c>
      <c r="J309" s="462" t="n">
        <v>0</v>
      </c>
      <c r="K309" s="463" t="str">
        <f aca="false">IF(I309&gt;=1,"Screen","")</f>
        <v/>
      </c>
      <c r="L309" s="463" t="str">
        <f aca="false">IF(J309&gt;=1,"File","")</f>
        <v/>
      </c>
    </row>
  </sheetData>
  <autoFilter ref="B5:J254">
    <sortState ref="B6:J254">
      <sortCondition ref="A6:A254"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15"/>
  <sheetViews>
    <sheetView showFormulas="false" showGridLines="true" showRowColHeaders="true" showZeros="true" rightToLeft="false" tabSelected="false" showOutlineSymbols="true" defaultGridColor="true" view="normal" topLeftCell="A159" colorId="64" zoomScale="92" zoomScaleNormal="92" zoomScalePageLayoutView="100" workbookViewId="0">
      <selection pane="topLeft" activeCell="C83" activeCellId="0" sqref="C83"/>
    </sheetView>
  </sheetViews>
  <sheetFormatPr defaultColWidth="10.5" defaultRowHeight="15.75" zeroHeight="false" outlineLevelRow="0" outlineLevelCol="0"/>
  <cols>
    <col collapsed="false" customWidth="true" hidden="false" outlineLevel="0" max="1" min="1" style="0" width="20.66"/>
    <col collapsed="false" customWidth="true" hidden="false" outlineLevel="0" max="2" min="2" style="0" width="13.66"/>
    <col collapsed="false" customWidth="true" hidden="false" outlineLevel="0" max="4" min="4" style="0" width="19.66"/>
    <col collapsed="false" customWidth="true" hidden="false" outlineLevel="0" max="6" min="5" style="0" width="15.67"/>
  </cols>
  <sheetData>
    <row r="1" customFormat="false" ht="15.75" hidden="false" customHeight="false" outlineLevel="0" collapsed="false">
      <c r="J1" s="473"/>
      <c r="K1" s="473"/>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c r="AO1" s="473"/>
      <c r="AP1" s="473"/>
      <c r="AQ1" s="473"/>
      <c r="AR1" s="473"/>
      <c r="AS1" s="473"/>
      <c r="AT1" s="473"/>
      <c r="AU1" s="473"/>
      <c r="AV1" s="473"/>
      <c r="AW1" s="473"/>
      <c r="AX1" s="473"/>
      <c r="AY1" s="473"/>
      <c r="AZ1" s="473"/>
      <c r="BA1" s="473"/>
      <c r="BB1" s="473"/>
      <c r="BC1" s="473"/>
      <c r="BD1" s="473"/>
      <c r="BE1" s="473"/>
      <c r="BF1" s="473"/>
      <c r="BG1" s="473"/>
      <c r="BH1" s="473"/>
      <c r="BI1" s="473"/>
      <c r="BJ1" s="473"/>
      <c r="BK1" s="473"/>
      <c r="BL1" s="473"/>
      <c r="BM1" s="473"/>
      <c r="BN1" s="473"/>
      <c r="BO1" s="473"/>
      <c r="BP1" s="473"/>
      <c r="BQ1" s="473"/>
      <c r="BR1" s="473"/>
      <c r="BS1" s="473"/>
      <c r="BT1" s="473"/>
      <c r="BU1" s="473"/>
      <c r="BV1" s="473"/>
      <c r="BW1" s="473"/>
      <c r="BX1" s="473"/>
      <c r="BY1" s="473"/>
      <c r="BZ1" s="473"/>
      <c r="CA1" s="473"/>
      <c r="CB1" s="473"/>
      <c r="CC1" s="473"/>
      <c r="CD1" s="473"/>
      <c r="CE1" s="473"/>
      <c r="CF1" s="473"/>
      <c r="CG1" s="473"/>
      <c r="CH1" s="473"/>
      <c r="CI1" s="473"/>
      <c r="CJ1" s="473"/>
      <c r="CK1" s="473"/>
      <c r="CL1" s="473"/>
      <c r="CM1" s="473"/>
      <c r="CN1" s="473"/>
      <c r="CO1" s="473"/>
      <c r="CP1" s="473"/>
      <c r="CQ1" s="473"/>
      <c r="CR1" s="473"/>
      <c r="CS1" s="473"/>
      <c r="CT1" s="473"/>
      <c r="CU1" s="473"/>
      <c r="CV1" s="473"/>
      <c r="CW1" s="473"/>
      <c r="CX1" s="473"/>
      <c r="CY1" s="473"/>
      <c r="CZ1" s="473"/>
      <c r="DA1" s="473"/>
      <c r="DB1" s="473"/>
    </row>
    <row r="2" customFormat="false" ht="15.75" hidden="false" customHeight="false" outlineLevel="0" collapsed="false">
      <c r="J2" s="474"/>
      <c r="K2" s="474"/>
      <c r="L2" s="474"/>
      <c r="M2" s="474"/>
      <c r="N2" s="474"/>
      <c r="O2" s="474"/>
      <c r="P2" s="474"/>
      <c r="Q2" s="474"/>
      <c r="R2" s="474"/>
      <c r="S2" s="474"/>
      <c r="T2" s="474"/>
      <c r="U2" s="474"/>
      <c r="V2" s="474"/>
      <c r="W2" s="474"/>
      <c r="X2" s="474"/>
      <c r="Y2" s="474"/>
      <c r="Z2" s="474"/>
      <c r="AA2" s="474"/>
      <c r="AB2" s="474"/>
      <c r="AC2" s="474"/>
      <c r="AD2" s="474"/>
      <c r="AE2" s="474"/>
      <c r="AF2" s="474"/>
      <c r="AG2" s="474"/>
      <c r="AH2" s="474"/>
      <c r="AI2" s="474"/>
      <c r="AJ2" s="474"/>
      <c r="AK2" s="474"/>
      <c r="AL2" s="474"/>
      <c r="AM2" s="474"/>
      <c r="AN2" s="474"/>
      <c r="AO2" s="474"/>
      <c r="AP2" s="474"/>
      <c r="AQ2" s="474"/>
      <c r="AR2" s="474"/>
      <c r="AS2" s="474"/>
      <c r="AT2" s="474"/>
      <c r="AU2" s="474"/>
      <c r="AV2" s="474"/>
      <c r="AW2" s="474"/>
      <c r="AX2" s="474"/>
      <c r="AY2" s="474"/>
      <c r="AZ2" s="474"/>
      <c r="BA2" s="474"/>
      <c r="BB2" s="474"/>
      <c r="BC2" s="474"/>
      <c r="BD2" s="474"/>
      <c r="BE2" s="474"/>
      <c r="BF2" s="474"/>
      <c r="BG2" s="474"/>
      <c r="BH2" s="474"/>
      <c r="BI2" s="474"/>
      <c r="BJ2" s="474"/>
      <c r="BK2" s="474"/>
      <c r="BL2" s="474"/>
      <c r="BM2" s="474"/>
      <c r="BN2" s="474"/>
      <c r="BO2" s="474"/>
      <c r="BP2" s="474"/>
      <c r="BQ2" s="474"/>
      <c r="BR2" s="474"/>
      <c r="BS2" s="474"/>
      <c r="BT2" s="474"/>
      <c r="BU2" s="474"/>
      <c r="BV2" s="474"/>
      <c r="BW2" s="474"/>
      <c r="BX2" s="474"/>
      <c r="BY2" s="474"/>
      <c r="BZ2" s="474"/>
      <c r="CA2" s="474"/>
      <c r="CB2" s="474"/>
      <c r="CC2" s="474"/>
      <c r="CD2" s="474"/>
      <c r="CE2" s="474"/>
      <c r="CF2" s="474"/>
      <c r="CG2" s="474"/>
      <c r="CH2" s="474"/>
      <c r="CI2" s="474"/>
      <c r="CJ2" s="474"/>
      <c r="CK2" s="474"/>
      <c r="CL2" s="474"/>
      <c r="CM2" s="474"/>
      <c r="CN2" s="474"/>
      <c r="CO2" s="474"/>
      <c r="CP2" s="474"/>
      <c r="CQ2" s="474"/>
      <c r="CR2" s="474"/>
      <c r="CS2" s="474"/>
      <c r="CT2" s="474"/>
      <c r="CU2" s="474"/>
      <c r="CV2" s="474"/>
      <c r="CW2" s="474"/>
      <c r="CX2" s="474"/>
      <c r="CY2" s="474"/>
      <c r="CZ2" s="474"/>
      <c r="DA2" s="474"/>
      <c r="DB2" s="474"/>
    </row>
    <row r="3" customFormat="false" ht="15.75" hidden="false" customHeight="false" outlineLevel="0" collapsed="false">
      <c r="N3" s="427"/>
      <c r="O3" s="427"/>
      <c r="P3" s="463"/>
      <c r="Q3" s="463"/>
      <c r="R3" s="463"/>
      <c r="S3" s="463"/>
      <c r="T3" s="475"/>
      <c r="Y3" s="426"/>
      <c r="Z3" s="426"/>
      <c r="AB3" s="463"/>
      <c r="AC3" s="427"/>
      <c r="AD3" s="427"/>
      <c r="AE3" s="427"/>
      <c r="AF3" s="463"/>
      <c r="AG3" s="463"/>
      <c r="AH3" s="463"/>
      <c r="AI3" s="476"/>
      <c r="AJ3" s="426"/>
      <c r="AM3" s="426"/>
      <c r="AN3" s="426"/>
      <c r="AO3" s="426"/>
      <c r="AP3" s="426"/>
      <c r="AQ3" s="178"/>
      <c r="AS3" s="463"/>
      <c r="AT3" s="463"/>
      <c r="AU3" s="463"/>
      <c r="AV3" s="463"/>
      <c r="AW3" s="463"/>
      <c r="AX3" s="463"/>
      <c r="AY3" s="463"/>
      <c r="AZ3" s="463"/>
      <c r="BE3" s="442"/>
      <c r="BF3" s="142"/>
      <c r="BG3" s="142"/>
      <c r="BH3" s="142"/>
      <c r="BI3" s="477"/>
      <c r="BJ3" s="477"/>
      <c r="BK3" s="477"/>
      <c r="BL3" s="442"/>
      <c r="BM3" s="442"/>
      <c r="BN3" s="442"/>
      <c r="BO3" s="442"/>
      <c r="BP3" s="463"/>
      <c r="BQ3" s="463"/>
      <c r="BR3" s="463"/>
      <c r="BS3" s="463"/>
      <c r="BT3" s="463"/>
      <c r="BU3" s="130"/>
      <c r="BV3" s="130"/>
      <c r="BW3" s="130"/>
      <c r="BY3" s="426"/>
      <c r="BZ3" s="181"/>
      <c r="CA3" s="181"/>
      <c r="CB3" s="181"/>
      <c r="CC3" s="181"/>
      <c r="CD3" s="440"/>
      <c r="CE3" s="440"/>
      <c r="CF3" s="440"/>
      <c r="CG3" s="440"/>
      <c r="CH3" s="440"/>
      <c r="CI3" s="440"/>
      <c r="CL3" s="439"/>
      <c r="CM3" s="439"/>
      <c r="CN3" s="439"/>
      <c r="CO3" s="426"/>
      <c r="CP3" s="142"/>
      <c r="CQ3" s="142"/>
      <c r="CS3" s="439"/>
      <c r="CT3" s="426"/>
      <c r="CU3" s="426"/>
      <c r="CV3" s="426"/>
      <c r="CW3" s="142"/>
      <c r="CX3" s="440"/>
      <c r="CY3" s="439"/>
      <c r="CZ3" s="439"/>
      <c r="DA3" s="439"/>
      <c r="DB3" s="426"/>
    </row>
    <row r="4" customFormat="false" ht="21" hidden="false" customHeight="false" outlineLevel="0" collapsed="false">
      <c r="A4" s="478" t="s">
        <v>942</v>
      </c>
      <c r="B4" s="478" t="s">
        <v>943</v>
      </c>
      <c r="C4" s="478" t="s">
        <v>944</v>
      </c>
      <c r="D4" s="478" t="s">
        <v>1736</v>
      </c>
      <c r="E4" s="479" t="s">
        <v>1737</v>
      </c>
      <c r="F4" s="479" t="s">
        <v>1738</v>
      </c>
      <c r="G4" s="480" t="s">
        <v>1739</v>
      </c>
      <c r="H4" s="26" t="s">
        <v>1740</v>
      </c>
      <c r="I4" s="26" t="s">
        <v>1741</v>
      </c>
      <c r="J4" s="26" t="s">
        <v>1742</v>
      </c>
      <c r="K4" s="26" t="s">
        <v>1743</v>
      </c>
    </row>
    <row r="5" customFormat="false" ht="15.75" hidden="false" customHeight="false" outlineLevel="0" collapsed="false">
      <c r="A5" s="406" t="s">
        <v>672</v>
      </c>
      <c r="B5" s="411" t="n">
        <v>1</v>
      </c>
      <c r="C5" s="411" t="n">
        <v>1</v>
      </c>
      <c r="D5" s="481"/>
      <c r="E5" s="482"/>
      <c r="F5" s="482"/>
      <c r="G5" s="72" t="n">
        <v>2</v>
      </c>
      <c r="M5" s="0" t="n">
        <v>2</v>
      </c>
      <c r="N5" s="0" t="n">
        <v>0.0001</v>
      </c>
      <c r="O5" s="0" t="n">
        <v>0.95</v>
      </c>
      <c r="P5" s="0" t="n">
        <v>0</v>
      </c>
      <c r="Q5" s="0" t="n">
        <v>0</v>
      </c>
      <c r="R5" s="0" t="n">
        <v>0</v>
      </c>
      <c r="S5" s="0" t="n">
        <v>0</v>
      </c>
      <c r="T5" s="0" t="n">
        <v>0</v>
      </c>
      <c r="U5" s="0" t="n">
        <v>0</v>
      </c>
      <c r="V5" s="0" t="n">
        <v>0</v>
      </c>
      <c r="W5" s="0" t="n">
        <v>1</v>
      </c>
      <c r="X5" s="0" t="n">
        <v>99.9</v>
      </c>
      <c r="Y5" s="0" t="n">
        <v>0</v>
      </c>
      <c r="Z5" s="0" t="n">
        <v>0.01</v>
      </c>
      <c r="AA5" s="0" t="n">
        <v>60</v>
      </c>
      <c r="AB5" s="0" t="n">
        <v>24</v>
      </c>
      <c r="AC5" s="0" t="n">
        <v>0</v>
      </c>
      <c r="AD5" s="0" t="n">
        <v>1</v>
      </c>
      <c r="AE5" s="0" t="n">
        <v>1</v>
      </c>
      <c r="AF5" s="0" t="n">
        <v>1</v>
      </c>
      <c r="AG5" s="0" t="n">
        <v>1</v>
      </c>
      <c r="AH5" s="0" t="n">
        <v>1</v>
      </c>
      <c r="AI5" s="0" t="n">
        <v>1</v>
      </c>
      <c r="AJ5" s="0" t="n">
        <v>0</v>
      </c>
      <c r="AK5" s="0" t="n">
        <v>15</v>
      </c>
      <c r="AL5" s="0" t="n">
        <v>0.415</v>
      </c>
      <c r="AM5" s="0" t="n">
        <v>-1.5</v>
      </c>
      <c r="AN5" s="0" t="n">
        <v>-1.9</v>
      </c>
      <c r="AO5" s="0" t="n">
        <v>-2.6</v>
      </c>
      <c r="AP5" s="0" t="n">
        <v>182</v>
      </c>
      <c r="AQ5" s="0" t="n">
        <v>45</v>
      </c>
      <c r="AR5" s="0" t="n">
        <v>15.4</v>
      </c>
      <c r="AS5" s="0" t="n">
        <v>27.6</v>
      </c>
      <c r="AT5" s="0" t="n">
        <v>32.5753627884175</v>
      </c>
      <c r="AU5" s="0" t="n">
        <v>95</v>
      </c>
      <c r="AV5" s="0" t="n">
        <v>1532.49532904704</v>
      </c>
      <c r="AW5" s="0" t="n">
        <v>1</v>
      </c>
      <c r="AX5" s="0" t="n">
        <v>0</v>
      </c>
      <c r="AY5" s="0" t="n">
        <v>3</v>
      </c>
      <c r="AZ5" s="0" t="n">
        <v>3</v>
      </c>
      <c r="BA5" s="0" t="n">
        <v>15</v>
      </c>
      <c r="BB5" s="0" t="n">
        <v>0.28</v>
      </c>
      <c r="BC5" s="0" t="n">
        <v>0.1</v>
      </c>
      <c r="BD5" s="0" t="n">
        <v>0.0005</v>
      </c>
      <c r="BE5" s="0" t="n">
        <v>2</v>
      </c>
      <c r="BF5" s="0" t="n">
        <v>5</v>
      </c>
      <c r="BG5" s="0" t="n">
        <v>0.5</v>
      </c>
      <c r="BH5" s="0" t="n">
        <v>0</v>
      </c>
      <c r="BI5" s="0" t="n">
        <v>0</v>
      </c>
      <c r="BJ5" s="0" t="n">
        <v>0.7</v>
      </c>
      <c r="BK5" s="0" t="n">
        <v>45</v>
      </c>
      <c r="BL5" s="0" t="n">
        <v>1</v>
      </c>
      <c r="BM5" s="0" t="n">
        <v>20</v>
      </c>
      <c r="BN5" s="0" t="n">
        <v>2</v>
      </c>
      <c r="BO5" s="0" t="n">
        <v>1</v>
      </c>
      <c r="BP5" s="0" t="n">
        <v>0</v>
      </c>
      <c r="BQ5" s="0" t="n">
        <v>0.99</v>
      </c>
      <c r="BR5" s="0" t="n">
        <v>10</v>
      </c>
      <c r="BS5" s="0" t="n">
        <v>0</v>
      </c>
      <c r="BT5" s="0" t="n">
        <v>192</v>
      </c>
      <c r="BU5" s="0" t="n">
        <v>0</v>
      </c>
      <c r="BV5" s="0" t="n">
        <v>90</v>
      </c>
      <c r="BW5" s="0" t="n">
        <v>1</v>
      </c>
      <c r="BX5" s="0" t="n">
        <v>0.5</v>
      </c>
      <c r="BY5" s="0" t="n">
        <v>50</v>
      </c>
      <c r="BZ5" s="0" t="n">
        <v>45</v>
      </c>
      <c r="CA5" s="0" t="n">
        <v>1</v>
      </c>
      <c r="CB5" s="0" t="n">
        <v>10.5</v>
      </c>
      <c r="CC5" s="0" t="n">
        <v>0</v>
      </c>
      <c r="CD5" s="0" t="n">
        <v>123</v>
      </c>
      <c r="CE5" s="0" t="n">
        <v>140</v>
      </c>
      <c r="CF5" s="0" t="n">
        <v>285</v>
      </c>
      <c r="CG5" s="0" t="n">
        <v>325</v>
      </c>
      <c r="CH5" s="0" t="n">
        <v>0</v>
      </c>
      <c r="CI5" s="0" t="n">
        <v>-0.5</v>
      </c>
      <c r="CJ5" s="0" t="n">
        <v>200</v>
      </c>
      <c r="CK5" s="0" t="n">
        <v>100</v>
      </c>
      <c r="CL5" s="0" t="n">
        <v>0.25</v>
      </c>
      <c r="CM5" s="0" t="n">
        <v>45.849</v>
      </c>
      <c r="CN5" s="0" t="n">
        <v>110</v>
      </c>
      <c r="CO5" s="0" t="n">
        <v>180</v>
      </c>
      <c r="CP5" s="0" t="n">
        <v>3</v>
      </c>
      <c r="CQ5" s="0" t="n">
        <v>-0.37</v>
      </c>
      <c r="CR5" s="0" t="n">
        <v>0.12</v>
      </c>
      <c r="CS5" s="0" t="n">
        <v>41.14</v>
      </c>
      <c r="CT5" s="0" t="n">
        <v>27350</v>
      </c>
      <c r="CU5" s="0" t="n">
        <v>-1.815</v>
      </c>
      <c r="CV5" s="0" t="n">
        <v>6</v>
      </c>
      <c r="CW5" s="0" t="n">
        <v>2.5</v>
      </c>
      <c r="CX5" s="0" t="n">
        <v>0.003</v>
      </c>
      <c r="CY5" s="0" t="n">
        <v>0.4</v>
      </c>
      <c r="CZ5" s="0" t="n">
        <v>0.2</v>
      </c>
      <c r="DA5" s="0" t="n">
        <v>700</v>
      </c>
      <c r="DB5" s="0" t="n">
        <v>10</v>
      </c>
      <c r="DC5" s="0" t="n">
        <v>0.0859</v>
      </c>
      <c r="DD5" s="0" t="n">
        <v>0.4</v>
      </c>
      <c r="DE5" s="0" t="n">
        <v>0.2</v>
      </c>
      <c r="DF5" s="0" t="n">
        <v>0.331</v>
      </c>
      <c r="DG5" s="0" t="n">
        <v>1114.08199643494</v>
      </c>
      <c r="DH5" s="0" t="n">
        <v>0.001</v>
      </c>
      <c r="DI5" s="0" t="n">
        <v>0.4</v>
      </c>
      <c r="DJ5" s="0" t="n">
        <v>0.2</v>
      </c>
      <c r="DK5" s="0" t="n">
        <v>2</v>
      </c>
      <c r="DL5" s="0" t="n">
        <v>2.42645949867703</v>
      </c>
      <c r="DM5" s="0" t="n">
        <v>4.85291899735406</v>
      </c>
      <c r="DN5" s="0" t="n">
        <v>6.38543718641238</v>
      </c>
      <c r="DO5" s="0" t="n">
        <v>12.7708743728248</v>
      </c>
      <c r="DP5" s="0" t="n">
        <v>1.9764194848501</v>
      </c>
      <c r="DQ5" s="0" t="n">
        <v>3.95283896970021</v>
      </c>
      <c r="DR5" s="0" t="n">
        <v>5.78388843755151</v>
      </c>
      <c r="DS5" s="0" t="n">
        <v>2.69118242837465</v>
      </c>
      <c r="DT5" s="0" t="n">
        <v>18.0430647018655</v>
      </c>
      <c r="DU5" s="0" t="n">
        <v>3.5</v>
      </c>
      <c r="DV5" s="0" t="n">
        <v>3835.78981721065</v>
      </c>
      <c r="DW5" s="0" t="n">
        <v>0.00147131610545796</v>
      </c>
      <c r="DX5" s="0" t="n">
        <v>82.5632358040811</v>
      </c>
      <c r="DY5" s="0" t="n">
        <v>394.41898107183</v>
      </c>
      <c r="DZ5" s="0" t="n">
        <v>3570.78030765636</v>
      </c>
      <c r="EA5" s="0" t="n">
        <v>200</v>
      </c>
      <c r="EB5" s="0" t="n">
        <v>20</v>
      </c>
      <c r="EC5" s="0" t="n">
        <v>0.006</v>
      </c>
      <c r="ED5" s="0" t="n">
        <v>7</v>
      </c>
      <c r="EE5" s="0" t="n">
        <v>25</v>
      </c>
      <c r="EF5" s="0" t="n">
        <v>17</v>
      </c>
      <c r="EG5" s="0" t="n">
        <v>3</v>
      </c>
      <c r="EH5" s="0" t="n">
        <v>37.5</v>
      </c>
      <c r="EI5" s="0" t="n">
        <v>1.2</v>
      </c>
      <c r="EJ5" s="0" t="n">
        <v>4.8</v>
      </c>
      <c r="EK5" s="0" t="n">
        <v>3</v>
      </c>
      <c r="EL5" s="0" t="n">
        <v>3</v>
      </c>
      <c r="EM5" s="0" t="n">
        <v>1</v>
      </c>
      <c r="EN5" s="0" t="n">
        <v>30</v>
      </c>
      <c r="EO5" s="0" t="n">
        <v>0</v>
      </c>
      <c r="EP5" s="0" t="n">
        <v>0.9</v>
      </c>
      <c r="EQ5" s="0" t="n">
        <v>0.1</v>
      </c>
      <c r="ER5" s="0" t="n">
        <v>0.1</v>
      </c>
      <c r="ES5" s="0" t="n">
        <v>0.1</v>
      </c>
      <c r="ET5" s="0" t="n">
        <v>0.1</v>
      </c>
      <c r="EU5" s="0" t="n">
        <v>1.1195</v>
      </c>
      <c r="EV5" s="0" t="n">
        <v>1.3228756555323</v>
      </c>
      <c r="EW5" s="0" t="n">
        <v>2.5</v>
      </c>
      <c r="EX5" s="0" t="n">
        <v>0.4</v>
      </c>
      <c r="EY5" s="0" t="n">
        <v>0.1</v>
      </c>
      <c r="EZ5" s="0" t="n">
        <v>0</v>
      </c>
      <c r="FA5" s="0" t="n">
        <v>10</v>
      </c>
      <c r="FB5" s="0" t="n">
        <v>10</v>
      </c>
      <c r="FC5" s="0" t="n">
        <v>10</v>
      </c>
      <c r="FD5" s="0" t="n">
        <v>10</v>
      </c>
      <c r="FE5" s="0" t="n">
        <v>-2.1</v>
      </c>
      <c r="FF5" s="0" t="n">
        <v>-1</v>
      </c>
      <c r="FG5" s="0" t="n">
        <v>-1</v>
      </c>
      <c r="FH5" s="0" t="n">
        <v>-1</v>
      </c>
      <c r="FI5" s="0" t="n">
        <v>5</v>
      </c>
      <c r="FJ5" s="0" t="n">
        <v>5000</v>
      </c>
      <c r="FK5" s="0" t="n">
        <v>50000</v>
      </c>
      <c r="FL5" s="0" t="n">
        <v>25000</v>
      </c>
      <c r="FM5" s="0" t="n">
        <v>1.8</v>
      </c>
      <c r="FN5" s="0" t="n">
        <v>1</v>
      </c>
      <c r="FO5" s="0" t="n">
        <v>1</v>
      </c>
      <c r="FP5" s="0" t="n">
        <v>1.4</v>
      </c>
      <c r="FQ5" s="0" t="n">
        <v>-3.4</v>
      </c>
      <c r="FR5" s="0" t="n">
        <v>-3.4</v>
      </c>
      <c r="FS5" s="0" t="n">
        <v>-3.4</v>
      </c>
      <c r="FT5" s="0" t="n">
        <v>-3.4</v>
      </c>
      <c r="FU5" s="0" t="n">
        <v>60</v>
      </c>
      <c r="FV5" s="0" t="n">
        <v>60</v>
      </c>
      <c r="FW5" s="0" t="n">
        <v>60</v>
      </c>
      <c r="FX5" s="0" t="n">
        <v>60</v>
      </c>
      <c r="FY5" s="0" t="n">
        <v>0</v>
      </c>
      <c r="FZ5" s="0" t="n">
        <v>0</v>
      </c>
      <c r="GA5" s="0" t="n">
        <v>2</v>
      </c>
      <c r="GB5" s="0" t="n">
        <v>0.005</v>
      </c>
      <c r="GC5" s="0" t="n">
        <v>0.02</v>
      </c>
      <c r="GD5" s="0" t="n">
        <v>10</v>
      </c>
      <c r="GE5" s="0" t="n">
        <v>-2.1</v>
      </c>
      <c r="GF5" s="0" t="n">
        <v>-3.4</v>
      </c>
      <c r="GG5" s="0" t="n">
        <v>60</v>
      </c>
      <c r="GH5" s="0" t="n">
        <v>1</v>
      </c>
      <c r="GI5" s="0" t="n">
        <v>1</v>
      </c>
      <c r="GJ5" s="0" t="n">
        <v>1</v>
      </c>
      <c r="GK5" s="0" t="n">
        <v>0.05</v>
      </c>
      <c r="GL5" s="0" t="n">
        <v>0.001</v>
      </c>
      <c r="GM5" s="0" t="n">
        <v>0.01</v>
      </c>
      <c r="GN5" s="0" t="n">
        <v>0.002</v>
      </c>
      <c r="GO5" s="0" t="n">
        <v>0.5</v>
      </c>
      <c r="GP5" s="0" t="n">
        <v>1E-006</v>
      </c>
      <c r="GQ5" s="0" t="n">
        <v>0.5</v>
      </c>
      <c r="GR5" s="0" t="n">
        <v>2</v>
      </c>
      <c r="GS5" s="0" t="n">
        <v>-1</v>
      </c>
      <c r="GT5" s="0" t="n">
        <v>0</v>
      </c>
      <c r="GU5" s="0" t="n">
        <v>0</v>
      </c>
      <c r="GV5" s="0" t="n">
        <v>0</v>
      </c>
      <c r="GW5" s="0" t="n">
        <v>0</v>
      </c>
      <c r="GX5" s="0" t="n">
        <v>0</v>
      </c>
      <c r="GY5" s="0" t="n">
        <v>0</v>
      </c>
      <c r="GZ5" s="0" t="n">
        <v>0</v>
      </c>
      <c r="HA5" s="0" t="n">
        <v>0</v>
      </c>
      <c r="HB5" s="0" t="n">
        <v>-5</v>
      </c>
      <c r="HC5" s="0" t="n">
        <v>12</v>
      </c>
      <c r="HD5" s="0" t="n">
        <v>2</v>
      </c>
      <c r="HE5" s="0" t="n">
        <v>-1.275</v>
      </c>
      <c r="HF5" s="0" t="n">
        <v>181.8</v>
      </c>
      <c r="HG5" s="0" t="n">
        <v>0.169</v>
      </c>
      <c r="HH5" s="0" t="n">
        <v>0</v>
      </c>
      <c r="HI5" s="0" t="n">
        <v>0</v>
      </c>
      <c r="HJ5" s="0" t="n">
        <v>100</v>
      </c>
      <c r="HK5" s="0" t="n">
        <v>0.25</v>
      </c>
      <c r="HL5" s="0" t="n">
        <v>1.75</v>
      </c>
      <c r="HM5" s="0" t="n">
        <v>5</v>
      </c>
      <c r="HN5" s="0" t="n">
        <v>0.2</v>
      </c>
      <c r="HO5" s="0" t="n">
        <v>1.8</v>
      </c>
    </row>
    <row r="6" customFormat="false" ht="15.75" hidden="false" customHeight="false" outlineLevel="0" collapsed="false">
      <c r="A6" s="406" t="s">
        <v>673</v>
      </c>
      <c r="B6" s="412" t="n">
        <v>2</v>
      </c>
      <c r="C6" s="412" t="n">
        <v>2</v>
      </c>
      <c r="D6" s="481"/>
      <c r="E6" s="482"/>
      <c r="F6" s="482"/>
      <c r="G6" s="72" t="n">
        <v>0.0001</v>
      </c>
    </row>
    <row r="7" customFormat="false" ht="15.75" hidden="false" customHeight="false" outlineLevel="0" collapsed="false">
      <c r="A7" s="406" t="s">
        <v>674</v>
      </c>
      <c r="B7" s="412" t="n">
        <v>3</v>
      </c>
      <c r="C7" s="412" t="n">
        <v>3</v>
      </c>
      <c r="D7" s="481"/>
      <c r="E7" s="482"/>
      <c r="F7" s="482"/>
      <c r="G7" s="72" t="n">
        <v>0.95</v>
      </c>
    </row>
    <row r="8" customFormat="false" ht="15.75" hidden="false" customHeight="false" outlineLevel="0" collapsed="false">
      <c r="A8" s="406" t="s">
        <v>675</v>
      </c>
      <c r="B8" s="412" t="n">
        <v>4</v>
      </c>
      <c r="C8" s="412" t="n">
        <v>4</v>
      </c>
      <c r="D8" s="481"/>
      <c r="E8" s="482"/>
      <c r="F8" s="482"/>
      <c r="G8" s="72" t="n">
        <v>0</v>
      </c>
    </row>
    <row r="9" customFormat="false" ht="15.75" hidden="false" customHeight="false" outlineLevel="0" collapsed="false">
      <c r="A9" s="406" t="s">
        <v>676</v>
      </c>
      <c r="B9" s="412" t="n">
        <v>5</v>
      </c>
      <c r="C9" s="412" t="n">
        <v>5</v>
      </c>
      <c r="D9" s="481"/>
      <c r="E9" s="482"/>
      <c r="F9" s="482"/>
      <c r="G9" s="72" t="n">
        <v>0</v>
      </c>
    </row>
    <row r="10" customFormat="false" ht="15.75" hidden="false" customHeight="false" outlineLevel="0" collapsed="false">
      <c r="A10" s="406" t="s">
        <v>678</v>
      </c>
      <c r="B10" s="413" t="n">
        <v>205</v>
      </c>
      <c r="C10" s="412" t="n">
        <v>6</v>
      </c>
      <c r="D10" s="481"/>
      <c r="E10" s="482"/>
      <c r="F10" s="482"/>
      <c r="G10" s="72" t="n">
        <v>0</v>
      </c>
    </row>
    <row r="11" customFormat="false" ht="15.75" hidden="false" customHeight="false" outlineLevel="0" collapsed="false">
      <c r="A11" s="406" t="s">
        <v>679</v>
      </c>
      <c r="B11" s="412" t="n">
        <v>6</v>
      </c>
      <c r="C11" s="412" t="n">
        <v>7</v>
      </c>
      <c r="D11" s="481"/>
      <c r="E11" s="482"/>
      <c r="F11" s="482"/>
      <c r="G11" s="72" t="n">
        <v>0</v>
      </c>
    </row>
    <row r="12" customFormat="false" ht="15.75" hidden="false" customHeight="false" outlineLevel="0" collapsed="false">
      <c r="A12" s="407" t="s">
        <v>824</v>
      </c>
      <c r="B12" s="412" t="n">
        <v>7</v>
      </c>
      <c r="C12" s="412" t="n">
        <v>8</v>
      </c>
      <c r="D12" s="483"/>
      <c r="E12" s="484"/>
      <c r="F12" s="484"/>
      <c r="G12" s="72" t="n">
        <v>0</v>
      </c>
    </row>
    <row r="13" customFormat="false" ht="15.75" hidden="false" customHeight="false" outlineLevel="0" collapsed="false">
      <c r="A13" s="407" t="s">
        <v>858</v>
      </c>
      <c r="B13" s="412" t="n">
        <v>14</v>
      </c>
      <c r="C13" s="412" t="n">
        <v>9</v>
      </c>
      <c r="D13" s="483"/>
      <c r="E13" s="484"/>
      <c r="F13" s="484"/>
      <c r="G13" s="72" t="n">
        <v>0</v>
      </c>
    </row>
    <row r="14" customFormat="false" ht="15.75" hidden="false" customHeight="false" outlineLevel="0" collapsed="false">
      <c r="A14" s="406" t="s">
        <v>684</v>
      </c>
      <c r="B14" s="412" t="n">
        <v>15</v>
      </c>
      <c r="C14" s="412" t="n">
        <v>10</v>
      </c>
      <c r="D14" s="481"/>
      <c r="E14" s="485"/>
      <c r="F14" s="485"/>
      <c r="G14" s="72" t="n">
        <v>0</v>
      </c>
    </row>
    <row r="15" customFormat="false" ht="15.75" hidden="false" customHeight="false" outlineLevel="0" collapsed="false">
      <c r="A15" s="406" t="s">
        <v>686</v>
      </c>
      <c r="B15" s="412" t="n">
        <v>16</v>
      </c>
      <c r="C15" s="412" t="n">
        <v>11</v>
      </c>
      <c r="D15" s="481"/>
      <c r="E15" s="484"/>
      <c r="F15" s="484"/>
      <c r="G15" s="72" t="n">
        <v>1</v>
      </c>
    </row>
    <row r="16" customFormat="false" ht="15.75" hidden="false" customHeight="false" outlineLevel="0" collapsed="false">
      <c r="A16" s="406" t="s">
        <v>687</v>
      </c>
      <c r="B16" s="412" t="n">
        <v>195</v>
      </c>
      <c r="C16" s="412" t="n">
        <v>12</v>
      </c>
      <c r="D16" s="481"/>
      <c r="E16" s="484"/>
      <c r="F16" s="484"/>
      <c r="G16" s="72" t="n">
        <v>99.9</v>
      </c>
    </row>
    <row r="17" customFormat="false" ht="15.75" hidden="false" customHeight="false" outlineLevel="0" collapsed="false">
      <c r="A17" s="406" t="s">
        <v>685</v>
      </c>
      <c r="B17" s="412" t="n">
        <v>10</v>
      </c>
      <c r="C17" s="412" t="n">
        <v>13</v>
      </c>
      <c r="D17" s="481"/>
      <c r="E17" s="484"/>
      <c r="F17" s="484"/>
      <c r="G17" s="72" t="n">
        <v>0</v>
      </c>
    </row>
    <row r="18" customFormat="false" ht="15.75" hidden="false" customHeight="false" outlineLevel="0" collapsed="false">
      <c r="A18" s="406" t="s">
        <v>680</v>
      </c>
      <c r="B18" s="412" t="n">
        <v>13</v>
      </c>
      <c r="C18" s="412" t="n">
        <v>14</v>
      </c>
      <c r="D18" s="481"/>
      <c r="E18" s="485"/>
      <c r="F18" s="485"/>
      <c r="G18" s="72" t="n">
        <v>0.01</v>
      </c>
    </row>
    <row r="19" customFormat="false" ht="15.75" hidden="false" customHeight="false" outlineLevel="0" collapsed="false">
      <c r="A19" s="406" t="s">
        <v>681</v>
      </c>
      <c r="B19" s="412" t="n">
        <v>11</v>
      </c>
      <c r="C19" s="412" t="n">
        <v>15</v>
      </c>
      <c r="D19" s="481"/>
      <c r="E19" s="485"/>
      <c r="F19" s="485"/>
      <c r="G19" s="72" t="n">
        <v>60</v>
      </c>
    </row>
    <row r="20" customFormat="false" ht="15.75" hidden="false" customHeight="false" outlineLevel="0" collapsed="false">
      <c r="A20" s="406" t="s">
        <v>682</v>
      </c>
      <c r="B20" s="412" t="n">
        <v>12</v>
      </c>
      <c r="C20" s="412" t="n">
        <v>16</v>
      </c>
      <c r="D20" s="481"/>
      <c r="E20" s="485"/>
      <c r="F20" s="485"/>
      <c r="G20" s="72" t="n">
        <v>24</v>
      </c>
    </row>
    <row r="21" customFormat="false" ht="15.75" hidden="false" customHeight="false" outlineLevel="0" collapsed="false">
      <c r="A21" s="407" t="s">
        <v>694</v>
      </c>
      <c r="B21" s="412" t="n">
        <v>18</v>
      </c>
      <c r="C21" s="412" t="n">
        <v>17</v>
      </c>
      <c r="D21" s="481"/>
      <c r="E21" s="484"/>
      <c r="F21" s="484"/>
      <c r="G21" s="72" t="n">
        <v>0</v>
      </c>
    </row>
    <row r="22" customFormat="false" ht="15.75" hidden="false" customHeight="false" outlineLevel="0" collapsed="false">
      <c r="A22" s="406" t="s">
        <v>688</v>
      </c>
      <c r="B22" s="412" t="n">
        <v>19</v>
      </c>
      <c r="C22" s="412" t="n">
        <v>18</v>
      </c>
      <c r="D22" s="481"/>
      <c r="E22" s="484"/>
      <c r="F22" s="484"/>
      <c r="G22" s="72" t="n">
        <v>1</v>
      </c>
    </row>
    <row r="23" customFormat="false" ht="15.75" hidden="false" customHeight="false" outlineLevel="0" collapsed="false">
      <c r="A23" s="406" t="s">
        <v>689</v>
      </c>
      <c r="B23" s="412" t="n">
        <v>20</v>
      </c>
      <c r="C23" s="412" t="n">
        <v>19</v>
      </c>
      <c r="D23" s="481"/>
      <c r="E23" s="484"/>
      <c r="F23" s="484"/>
      <c r="G23" s="72" t="n">
        <v>1</v>
      </c>
    </row>
    <row r="24" customFormat="false" ht="15.75" hidden="false" customHeight="false" outlineLevel="0" collapsed="false">
      <c r="A24" s="406" t="s">
        <v>690</v>
      </c>
      <c r="B24" s="412" t="n">
        <v>21</v>
      </c>
      <c r="C24" s="412" t="n">
        <v>20</v>
      </c>
      <c r="D24" s="481"/>
      <c r="E24" s="484"/>
      <c r="F24" s="484"/>
      <c r="G24" s="72" t="n">
        <v>1</v>
      </c>
    </row>
    <row r="25" customFormat="false" ht="15.75" hidden="false" customHeight="false" outlineLevel="0" collapsed="false">
      <c r="A25" s="406" t="s">
        <v>691</v>
      </c>
      <c r="B25" s="412" t="n">
        <v>23</v>
      </c>
      <c r="C25" s="412" t="n">
        <v>21</v>
      </c>
      <c r="D25" s="481"/>
      <c r="E25" s="484"/>
      <c r="F25" s="484"/>
      <c r="G25" s="72" t="n">
        <v>1</v>
      </c>
    </row>
    <row r="26" customFormat="false" ht="15.75" hidden="false" customHeight="false" outlineLevel="0" collapsed="false">
      <c r="A26" s="407" t="s">
        <v>830</v>
      </c>
      <c r="B26" s="412" t="n">
        <v>63</v>
      </c>
      <c r="C26" s="412" t="n">
        <v>22</v>
      </c>
      <c r="D26" s="483"/>
      <c r="E26" s="484"/>
      <c r="F26" s="484"/>
      <c r="G26" s="72" t="n">
        <v>1</v>
      </c>
    </row>
    <row r="27" customFormat="false" ht="15.75" hidden="false" customHeight="false" outlineLevel="0" collapsed="false">
      <c r="A27" s="406" t="s">
        <v>692</v>
      </c>
      <c r="B27" s="412" t="n">
        <v>17</v>
      </c>
      <c r="C27" s="412" t="n">
        <v>23</v>
      </c>
      <c r="D27" s="481"/>
      <c r="E27" s="484"/>
      <c r="F27" s="484"/>
      <c r="G27" s="72" t="n">
        <v>1</v>
      </c>
    </row>
    <row r="28" customFormat="false" ht="15.75" hidden="false" customHeight="false" outlineLevel="0" collapsed="false">
      <c r="A28" s="407" t="s">
        <v>739</v>
      </c>
      <c r="B28" s="412" t="n">
        <v>30</v>
      </c>
      <c r="C28" s="412" t="n">
        <v>24</v>
      </c>
      <c r="D28" s="483"/>
      <c r="E28" s="484"/>
      <c r="F28" s="484"/>
      <c r="G28" s="72" t="n">
        <v>0</v>
      </c>
    </row>
    <row r="29" customFormat="false" ht="15.75" hidden="false" customHeight="false" outlineLevel="0" collapsed="false">
      <c r="A29" s="407" t="s">
        <v>815</v>
      </c>
      <c r="B29" s="412" t="n">
        <v>31</v>
      </c>
      <c r="C29" s="412" t="n">
        <v>25</v>
      </c>
      <c r="D29" s="483"/>
      <c r="E29" s="484"/>
      <c r="F29" s="484"/>
      <c r="G29" s="72" t="n">
        <v>15</v>
      </c>
    </row>
    <row r="30" customFormat="false" ht="15.75" hidden="false" customHeight="false" outlineLevel="0" collapsed="false">
      <c r="A30" s="407" t="s">
        <v>816</v>
      </c>
      <c r="B30" s="413" t="n">
        <v>32</v>
      </c>
      <c r="C30" s="413" t="n">
        <v>26</v>
      </c>
      <c r="D30" s="486"/>
      <c r="E30" s="484"/>
      <c r="F30" s="484"/>
      <c r="G30" s="72" t="n">
        <v>0.415</v>
      </c>
    </row>
    <row r="31" customFormat="false" ht="15.75" hidden="false" customHeight="false" outlineLevel="0" collapsed="false">
      <c r="A31" s="407" t="s">
        <v>817</v>
      </c>
      <c r="B31" s="413" t="n">
        <v>33</v>
      </c>
      <c r="C31" s="413" t="n">
        <v>27</v>
      </c>
      <c r="D31" s="486"/>
      <c r="E31" s="484"/>
      <c r="F31" s="484"/>
      <c r="G31" s="72" t="n">
        <v>-1.5</v>
      </c>
      <c r="J31" s="463" t="n">
        <f aca="false">(H31-G31)/G31*100</f>
        <v>-100</v>
      </c>
      <c r="K31" s="463" t="n">
        <f aca="false">(I31-G31)/G31*100</f>
        <v>-100</v>
      </c>
    </row>
    <row r="32" customFormat="false" ht="15.75" hidden="false" customHeight="false" outlineLevel="0" collapsed="false">
      <c r="A32" s="407" t="s">
        <v>947</v>
      </c>
      <c r="B32" s="413" t="n">
        <v>34</v>
      </c>
      <c r="C32" s="413" t="n">
        <v>28</v>
      </c>
      <c r="D32" s="484" t="n">
        <v>10</v>
      </c>
      <c r="E32" s="484" t="n">
        <f aca="false">J32</f>
        <v>-100</v>
      </c>
      <c r="F32" s="484" t="n">
        <f aca="false">K32</f>
        <v>-100</v>
      </c>
      <c r="G32" s="72" t="n">
        <v>-1.9</v>
      </c>
      <c r="J32" s="463" t="n">
        <f aca="false">(H32-G32)/G32*100</f>
        <v>-100</v>
      </c>
      <c r="K32" s="463" t="n">
        <f aca="false">(I32-G32)/G32*100</f>
        <v>-100</v>
      </c>
    </row>
    <row r="33" customFormat="false" ht="15.75" hidden="false" customHeight="false" outlineLevel="0" collapsed="false">
      <c r="A33" s="407" t="s">
        <v>948</v>
      </c>
      <c r="B33" s="413" t="n">
        <v>35</v>
      </c>
      <c r="C33" s="413" t="n">
        <v>29</v>
      </c>
      <c r="D33" s="484" t="n">
        <v>10</v>
      </c>
      <c r="E33" s="484" t="n">
        <f aca="false">J33</f>
        <v>-100</v>
      </c>
      <c r="F33" s="484" t="n">
        <f aca="false">K33</f>
        <v>-100</v>
      </c>
      <c r="G33" s="72" t="n">
        <v>-2.6</v>
      </c>
      <c r="J33" s="463" t="n">
        <f aca="false">(H33-G33)/G33*100</f>
        <v>-100</v>
      </c>
      <c r="K33" s="463" t="n">
        <f aca="false">(I33-G33)/G33*100</f>
        <v>-100</v>
      </c>
    </row>
    <row r="34" customFormat="false" ht="15.75" hidden="false" customHeight="false" outlineLevel="0" collapsed="false">
      <c r="A34" s="407" t="s">
        <v>1744</v>
      </c>
      <c r="B34" s="413" t="n">
        <v>36</v>
      </c>
      <c r="C34" s="412" t="n">
        <v>30</v>
      </c>
      <c r="D34" s="481"/>
      <c r="E34" s="484"/>
      <c r="F34" s="484"/>
      <c r="G34" s="72" t="n">
        <v>182</v>
      </c>
    </row>
    <row r="35" customFormat="false" ht="15.75" hidden="false" customHeight="false" outlineLevel="0" collapsed="false">
      <c r="A35" s="407" t="s">
        <v>696</v>
      </c>
      <c r="B35" s="413" t="n">
        <v>37</v>
      </c>
      <c r="C35" s="412" t="n">
        <v>31</v>
      </c>
      <c r="D35" s="481"/>
      <c r="E35" s="484"/>
      <c r="F35" s="484"/>
      <c r="G35" s="72" t="n">
        <v>45</v>
      </c>
    </row>
    <row r="36" customFormat="false" ht="15.75" hidden="false" customHeight="false" outlineLevel="0" collapsed="false">
      <c r="A36" s="407" t="s">
        <v>697</v>
      </c>
      <c r="B36" s="412" t="n">
        <v>199</v>
      </c>
      <c r="C36" s="413" t="n">
        <v>32</v>
      </c>
      <c r="D36" s="481"/>
      <c r="E36" s="484"/>
      <c r="F36" s="484"/>
      <c r="G36" s="72" t="n">
        <v>15.4</v>
      </c>
    </row>
    <row r="37" customFormat="false" ht="15.75" hidden="false" customHeight="false" outlineLevel="0" collapsed="false">
      <c r="A37" s="407" t="s">
        <v>698</v>
      </c>
      <c r="B37" s="412" t="n">
        <v>200</v>
      </c>
      <c r="C37" s="413" t="n">
        <v>33</v>
      </c>
      <c r="D37" s="481"/>
      <c r="E37" s="484"/>
      <c r="F37" s="484"/>
      <c r="G37" s="72" t="n">
        <v>27.6</v>
      </c>
    </row>
    <row r="38" customFormat="false" ht="15.75" hidden="false" customHeight="false" outlineLevel="0" collapsed="false">
      <c r="A38" s="407" t="s">
        <v>699</v>
      </c>
      <c r="B38" s="412" t="n">
        <v>38</v>
      </c>
      <c r="C38" s="413" t="n">
        <v>34</v>
      </c>
      <c r="D38" s="481"/>
      <c r="E38" s="484"/>
      <c r="F38" s="484"/>
      <c r="G38" s="72" t="n">
        <v>32.5753627884175</v>
      </c>
    </row>
    <row r="39" customFormat="false" ht="15.75" hidden="false" customHeight="false" outlineLevel="0" collapsed="false">
      <c r="A39" s="407" t="s">
        <v>700</v>
      </c>
      <c r="B39" s="412" t="n">
        <v>39</v>
      </c>
      <c r="C39" s="413" t="n">
        <v>35</v>
      </c>
      <c r="D39" s="481"/>
      <c r="E39" s="484"/>
      <c r="F39" s="484"/>
      <c r="G39" s="72" t="n">
        <v>95</v>
      </c>
    </row>
    <row r="40" customFormat="false" ht="15.75" hidden="false" customHeight="false" outlineLevel="0" collapsed="false">
      <c r="A40" s="407" t="s">
        <v>701</v>
      </c>
      <c r="B40" s="412" t="n">
        <v>40</v>
      </c>
      <c r="C40" s="413" t="n">
        <v>36</v>
      </c>
      <c r="D40" s="481"/>
      <c r="E40" s="484"/>
      <c r="F40" s="484"/>
      <c r="G40" s="72" t="n">
        <v>1532.49532904704</v>
      </c>
    </row>
    <row r="41" customFormat="false" ht="15.75" hidden="false" customHeight="false" outlineLevel="0" collapsed="false">
      <c r="A41" s="407" t="s">
        <v>702</v>
      </c>
      <c r="B41" s="412" t="n">
        <v>41</v>
      </c>
      <c r="C41" s="413" t="n">
        <v>37</v>
      </c>
      <c r="D41" s="481"/>
      <c r="E41" s="484"/>
      <c r="F41" s="484"/>
      <c r="G41" s="72" t="n">
        <v>1</v>
      </c>
    </row>
    <row r="42" customFormat="false" ht="15.75" hidden="false" customHeight="false" outlineLevel="0" collapsed="false">
      <c r="A42" s="407" t="s">
        <v>705</v>
      </c>
      <c r="B42" s="412" t="n">
        <v>194</v>
      </c>
      <c r="C42" s="412" t="n">
        <v>38</v>
      </c>
      <c r="D42" s="481"/>
      <c r="E42" s="484"/>
      <c r="F42" s="484"/>
      <c r="G42" s="72" t="n">
        <v>0</v>
      </c>
    </row>
    <row r="43" customFormat="false" ht="15.75" hidden="false" customHeight="false" outlineLevel="0" collapsed="false">
      <c r="A43" s="407" t="s">
        <v>706</v>
      </c>
      <c r="B43" s="413" t="n">
        <v>42</v>
      </c>
      <c r="C43" s="412" t="n">
        <v>39</v>
      </c>
      <c r="D43" s="481"/>
      <c r="E43" s="484"/>
      <c r="F43" s="484"/>
      <c r="G43" s="72" t="n">
        <v>3</v>
      </c>
    </row>
    <row r="44" customFormat="false" ht="15.75" hidden="false" customHeight="false" outlineLevel="0" collapsed="false">
      <c r="A44" s="407" t="s">
        <v>707</v>
      </c>
      <c r="B44" s="413" t="n">
        <v>43</v>
      </c>
      <c r="C44" s="412" t="n">
        <v>40</v>
      </c>
      <c r="D44" s="481"/>
      <c r="E44" s="484"/>
      <c r="F44" s="484"/>
      <c r="G44" s="72" t="n">
        <v>3</v>
      </c>
    </row>
    <row r="45" customFormat="false" ht="15.75" hidden="false" customHeight="false" outlineLevel="0" collapsed="false">
      <c r="A45" s="407" t="s">
        <v>708</v>
      </c>
      <c r="B45" s="413" t="n">
        <v>44</v>
      </c>
      <c r="C45" s="412" t="n">
        <v>41</v>
      </c>
      <c r="D45" s="483"/>
      <c r="E45" s="484"/>
      <c r="F45" s="484"/>
      <c r="G45" s="72" t="n">
        <v>15</v>
      </c>
    </row>
    <row r="46" customFormat="false" ht="15.75" hidden="false" customHeight="false" outlineLevel="0" collapsed="false">
      <c r="A46" s="407" t="s">
        <v>1745</v>
      </c>
      <c r="B46" s="413" t="n">
        <v>45</v>
      </c>
      <c r="C46" s="413" t="n">
        <v>42</v>
      </c>
      <c r="D46" s="486"/>
      <c r="E46" s="484"/>
      <c r="F46" s="484"/>
      <c r="G46" s="72" t="n">
        <v>0.28</v>
      </c>
    </row>
    <row r="47" customFormat="false" ht="15.75" hidden="false" customHeight="false" outlineLevel="0" collapsed="false">
      <c r="A47" s="407" t="s">
        <v>1746</v>
      </c>
      <c r="B47" s="413" t="n">
        <v>46</v>
      </c>
      <c r="C47" s="413" t="n">
        <v>43</v>
      </c>
      <c r="D47" s="486"/>
      <c r="E47" s="484"/>
      <c r="F47" s="484"/>
      <c r="G47" s="72" t="n">
        <v>0.1</v>
      </c>
    </row>
    <row r="48" customFormat="false" ht="15.75" hidden="false" customHeight="false" outlineLevel="0" collapsed="false">
      <c r="A48" s="407" t="s">
        <v>1747</v>
      </c>
      <c r="B48" s="413" t="n">
        <v>47</v>
      </c>
      <c r="C48" s="413" t="n">
        <v>44</v>
      </c>
      <c r="D48" s="486"/>
      <c r="E48" s="484"/>
      <c r="F48" s="484"/>
      <c r="G48" s="72" t="n">
        <v>0.0005</v>
      </c>
    </row>
    <row r="49" customFormat="false" ht="15.75" hidden="false" customHeight="false" outlineLevel="0" collapsed="false">
      <c r="A49" s="407" t="s">
        <v>1748</v>
      </c>
      <c r="B49" s="412" t="n">
        <v>48</v>
      </c>
      <c r="C49" s="413" t="n">
        <v>45</v>
      </c>
      <c r="D49" s="486"/>
      <c r="E49" s="484"/>
      <c r="F49" s="484"/>
      <c r="G49" s="72" t="n">
        <v>2</v>
      </c>
    </row>
    <row r="50" customFormat="false" ht="15.75" hidden="false" customHeight="false" outlineLevel="0" collapsed="false">
      <c r="A50" s="407" t="s">
        <v>1749</v>
      </c>
      <c r="B50" s="412" t="n">
        <v>196</v>
      </c>
      <c r="C50" s="413" t="n">
        <v>46</v>
      </c>
      <c r="D50" s="486"/>
      <c r="E50" s="484"/>
      <c r="F50" s="484"/>
      <c r="G50" s="72" t="n">
        <v>5</v>
      </c>
    </row>
    <row r="51" customFormat="false" ht="15.75" hidden="false" customHeight="false" outlineLevel="0" collapsed="false">
      <c r="A51" s="407" t="s">
        <v>729</v>
      </c>
      <c r="B51" s="412" t="n">
        <v>197</v>
      </c>
      <c r="C51" s="413" t="n">
        <v>47</v>
      </c>
      <c r="D51" s="487"/>
      <c r="E51" s="484"/>
      <c r="F51" s="484"/>
      <c r="G51" s="72" t="n">
        <v>0.5</v>
      </c>
    </row>
    <row r="52" customFormat="false" ht="15.75" hidden="false" customHeight="false" outlineLevel="0" collapsed="false">
      <c r="A52" s="407" t="s">
        <v>730</v>
      </c>
      <c r="B52" s="413" t="n">
        <v>139</v>
      </c>
      <c r="C52" s="412" t="n">
        <v>48</v>
      </c>
      <c r="D52" s="488"/>
      <c r="E52" s="484"/>
      <c r="F52" s="484"/>
      <c r="G52" s="72" t="n">
        <v>0</v>
      </c>
    </row>
    <row r="53" customFormat="false" ht="15.75" hidden="false" customHeight="false" outlineLevel="0" collapsed="false">
      <c r="A53" s="407" t="s">
        <v>811</v>
      </c>
      <c r="B53" s="413" t="n">
        <v>140</v>
      </c>
      <c r="C53" s="412" t="n">
        <v>49</v>
      </c>
      <c r="D53" s="488"/>
      <c r="E53" s="484"/>
      <c r="F53" s="484"/>
      <c r="G53" s="72" t="n">
        <v>0</v>
      </c>
    </row>
    <row r="54" customFormat="false" ht="15.75" hidden="false" customHeight="false" outlineLevel="0" collapsed="false">
      <c r="A54" s="407" t="s">
        <v>812</v>
      </c>
      <c r="B54" s="412" t="n">
        <v>141</v>
      </c>
      <c r="C54" s="412" t="n">
        <v>50</v>
      </c>
      <c r="D54" s="488"/>
      <c r="E54" s="484"/>
      <c r="F54" s="484"/>
      <c r="G54" s="72" t="n">
        <v>0.7</v>
      </c>
    </row>
    <row r="55" customFormat="false" ht="15.75" hidden="false" customHeight="false" outlineLevel="0" collapsed="false">
      <c r="A55" s="407" t="s">
        <v>813</v>
      </c>
      <c r="B55" s="412" t="n">
        <v>142</v>
      </c>
      <c r="C55" s="413" t="n">
        <v>51</v>
      </c>
      <c r="D55" s="487"/>
      <c r="E55" s="484"/>
      <c r="F55" s="484"/>
      <c r="G55" s="72" t="n">
        <v>45</v>
      </c>
    </row>
    <row r="56" customFormat="false" ht="15.75" hidden="false" customHeight="false" outlineLevel="0" collapsed="false">
      <c r="A56" s="407" t="s">
        <v>745</v>
      </c>
      <c r="B56" s="412" t="n">
        <v>143</v>
      </c>
      <c r="C56" s="412" t="n">
        <v>52</v>
      </c>
      <c r="D56" s="488"/>
      <c r="E56" s="484"/>
      <c r="F56" s="484"/>
      <c r="G56" s="72" t="n">
        <v>1</v>
      </c>
    </row>
    <row r="57" customFormat="false" ht="15.75" hidden="false" customHeight="false" outlineLevel="0" collapsed="false">
      <c r="A57" s="407" t="s">
        <v>746</v>
      </c>
      <c r="B57" s="412" t="n">
        <v>144</v>
      </c>
      <c r="C57" s="412" t="n">
        <v>53</v>
      </c>
      <c r="D57" s="488"/>
      <c r="E57" s="484"/>
      <c r="F57" s="484"/>
      <c r="G57" s="72" t="n">
        <v>20</v>
      </c>
    </row>
    <row r="58" customFormat="false" ht="15.75" hidden="false" customHeight="false" outlineLevel="0" collapsed="false">
      <c r="A58" s="407" t="s">
        <v>747</v>
      </c>
      <c r="B58" s="412" t="n">
        <v>24</v>
      </c>
      <c r="C58" s="412" t="n">
        <v>54</v>
      </c>
      <c r="D58" s="488"/>
      <c r="E58" s="484"/>
      <c r="F58" s="484"/>
      <c r="G58" s="72" t="n">
        <v>2</v>
      </c>
    </row>
    <row r="59" customFormat="false" ht="15.75" hidden="false" customHeight="false" outlineLevel="0" collapsed="false">
      <c r="A59" s="407" t="s">
        <v>748</v>
      </c>
      <c r="B59" s="412" t="n">
        <v>52</v>
      </c>
      <c r="C59" s="412" t="n">
        <v>55</v>
      </c>
      <c r="D59" s="488"/>
      <c r="E59" s="484"/>
      <c r="F59" s="484"/>
      <c r="G59" s="72" t="n">
        <v>1</v>
      </c>
    </row>
    <row r="60" customFormat="false" ht="15.75" hidden="false" customHeight="false" outlineLevel="0" collapsed="false">
      <c r="A60" s="407" t="s">
        <v>749</v>
      </c>
      <c r="B60" s="412" t="n">
        <v>53</v>
      </c>
      <c r="C60" s="412" t="n">
        <v>56</v>
      </c>
      <c r="D60" s="488"/>
      <c r="E60" s="484"/>
      <c r="F60" s="484"/>
      <c r="G60" s="72" t="n">
        <v>0</v>
      </c>
    </row>
    <row r="61" customFormat="false" ht="15.75" hidden="false" customHeight="false" outlineLevel="0" collapsed="false">
      <c r="A61" s="407" t="s">
        <v>750</v>
      </c>
      <c r="B61" s="412" t="n">
        <v>54</v>
      </c>
      <c r="C61" s="412" t="n">
        <v>57</v>
      </c>
      <c r="D61" s="488"/>
      <c r="E61" s="484"/>
      <c r="F61" s="484"/>
      <c r="G61" s="72" t="n">
        <v>0.99</v>
      </c>
    </row>
    <row r="62" customFormat="false" ht="15.75" hidden="false" customHeight="false" outlineLevel="0" collapsed="false">
      <c r="A62" s="407" t="s">
        <v>751</v>
      </c>
      <c r="B62" s="412" t="n">
        <v>55</v>
      </c>
      <c r="C62" s="412" t="n">
        <v>58</v>
      </c>
      <c r="D62" s="488"/>
      <c r="E62" s="484"/>
      <c r="F62" s="484"/>
      <c r="G62" s="72" t="n">
        <v>10</v>
      </c>
    </row>
    <row r="63" customFormat="false" ht="15.75" hidden="false" customHeight="false" outlineLevel="0" collapsed="false">
      <c r="A63" s="407" t="s">
        <v>752</v>
      </c>
      <c r="B63" s="412" t="n">
        <v>56</v>
      </c>
      <c r="C63" s="412" t="n">
        <v>59</v>
      </c>
      <c r="D63" s="488"/>
      <c r="E63" s="484"/>
      <c r="F63" s="484"/>
      <c r="G63" s="72" t="n">
        <v>0</v>
      </c>
    </row>
    <row r="64" customFormat="false" ht="15.75" hidden="false" customHeight="false" outlineLevel="0" collapsed="false">
      <c r="A64" s="407" t="s">
        <v>753</v>
      </c>
      <c r="B64" s="412" t="n">
        <v>57</v>
      </c>
      <c r="C64" s="412" t="n">
        <v>60</v>
      </c>
      <c r="D64" s="488"/>
      <c r="E64" s="484"/>
      <c r="F64" s="484"/>
      <c r="G64" s="72" t="n">
        <v>192</v>
      </c>
    </row>
    <row r="65" customFormat="false" ht="15.75" hidden="false" customHeight="false" outlineLevel="0" collapsed="false">
      <c r="A65" s="407" t="s">
        <v>754</v>
      </c>
      <c r="B65" s="412" t="n">
        <v>58</v>
      </c>
      <c r="C65" s="412" t="n">
        <v>61</v>
      </c>
      <c r="D65" s="488"/>
      <c r="E65" s="484"/>
      <c r="F65" s="484"/>
      <c r="G65" s="72" t="n">
        <v>0</v>
      </c>
    </row>
    <row r="66" customFormat="false" ht="15.75" hidden="false" customHeight="false" outlineLevel="0" collapsed="false">
      <c r="A66" s="407" t="s">
        <v>755</v>
      </c>
      <c r="B66" s="412" t="n">
        <v>59</v>
      </c>
      <c r="C66" s="412" t="n">
        <v>62</v>
      </c>
      <c r="D66" s="488"/>
      <c r="E66" s="484"/>
      <c r="F66" s="484"/>
      <c r="G66" s="72" t="n">
        <v>90</v>
      </c>
    </row>
    <row r="67" customFormat="false" ht="15.75" hidden="false" customHeight="false" outlineLevel="0" collapsed="false">
      <c r="A67" s="406" t="s">
        <v>693</v>
      </c>
      <c r="B67" s="412" t="n">
        <v>60</v>
      </c>
      <c r="C67" s="412" t="n">
        <v>63</v>
      </c>
      <c r="D67" s="489"/>
      <c r="E67" s="484"/>
      <c r="F67" s="484"/>
      <c r="G67" s="72" t="n">
        <v>1</v>
      </c>
    </row>
    <row r="68" customFormat="false" ht="15.75" hidden="false" customHeight="false" outlineLevel="0" collapsed="false">
      <c r="A68" s="407" t="s">
        <v>849</v>
      </c>
      <c r="B68" s="412" t="n">
        <v>61</v>
      </c>
      <c r="C68" s="413" t="n">
        <v>64</v>
      </c>
      <c r="D68" s="487"/>
      <c r="E68" s="484"/>
      <c r="F68" s="484"/>
      <c r="G68" s="72" t="n">
        <v>0.5</v>
      </c>
    </row>
    <row r="69" customFormat="false" ht="15.75" hidden="false" customHeight="false" outlineLevel="0" collapsed="false">
      <c r="A69" s="407" t="s">
        <v>794</v>
      </c>
      <c r="B69" s="412" t="n">
        <v>62</v>
      </c>
      <c r="C69" s="413" t="n">
        <v>65</v>
      </c>
      <c r="D69" s="490" t="n">
        <v>10</v>
      </c>
      <c r="E69" s="484" t="n">
        <f aca="false">J69</f>
        <v>-50</v>
      </c>
      <c r="F69" s="484" t="n">
        <f aca="false">K69</f>
        <v>100</v>
      </c>
      <c r="G69" s="72" t="n">
        <v>50</v>
      </c>
      <c r="H69" s="0" t="n">
        <v>25</v>
      </c>
      <c r="I69" s="0" t="n">
        <v>100</v>
      </c>
      <c r="J69" s="463" t="n">
        <f aca="false">(H69-G69)/G69*100</f>
        <v>-50</v>
      </c>
      <c r="K69" s="463" t="n">
        <f aca="false">(I69-G69)/G69*100</f>
        <v>100</v>
      </c>
    </row>
    <row r="70" customFormat="false" ht="15.75" hidden="false" customHeight="false" outlineLevel="0" collapsed="false">
      <c r="A70" s="407" t="s">
        <v>946</v>
      </c>
      <c r="B70" s="412" t="n">
        <v>103</v>
      </c>
      <c r="C70" s="412" t="n">
        <v>66</v>
      </c>
      <c r="D70" s="488"/>
      <c r="E70" s="484"/>
      <c r="F70" s="484"/>
      <c r="G70" s="72" t="n">
        <v>45</v>
      </c>
    </row>
    <row r="71" customFormat="false" ht="15.75" hidden="false" customHeight="false" outlineLevel="0" collapsed="false">
      <c r="A71" s="407" t="s">
        <v>798</v>
      </c>
      <c r="B71" s="491" t="n">
        <v>206</v>
      </c>
      <c r="C71" s="412" t="n">
        <v>67</v>
      </c>
      <c r="D71" s="488"/>
      <c r="E71" s="484"/>
      <c r="F71" s="484"/>
      <c r="G71" s="72" t="n">
        <v>1</v>
      </c>
    </row>
    <row r="72" customFormat="false" ht="15.75" hidden="false" customHeight="false" outlineLevel="0" collapsed="false">
      <c r="A72" s="407" t="s">
        <v>799</v>
      </c>
      <c r="B72" s="491" t="n">
        <v>211</v>
      </c>
      <c r="C72" s="413" t="n">
        <v>68</v>
      </c>
      <c r="D72" s="490" t="n">
        <v>10</v>
      </c>
      <c r="E72" s="484" t="n">
        <f aca="false">J72</f>
        <v>-80.952380952381</v>
      </c>
      <c r="F72" s="484" t="n">
        <f aca="false">K72</f>
        <v>90.4761904761905</v>
      </c>
      <c r="G72" s="72" t="n">
        <v>10.5</v>
      </c>
      <c r="H72" s="0" t="n">
        <v>2</v>
      </c>
      <c r="I72" s="0" t="n">
        <v>20</v>
      </c>
      <c r="J72" s="463" t="n">
        <f aca="false">(H72-G72)/G72*100</f>
        <v>-80.952380952381</v>
      </c>
      <c r="K72" s="463" t="n">
        <f aca="false">(I72-G72)/G72*100</f>
        <v>90.4761904761905</v>
      </c>
    </row>
    <row r="73" customFormat="false" ht="15.75" hidden="false" customHeight="false" outlineLevel="0" collapsed="false">
      <c r="A73" s="407" t="s">
        <v>800</v>
      </c>
      <c r="B73" s="491" t="n">
        <v>210</v>
      </c>
      <c r="C73" s="412" t="n">
        <v>69</v>
      </c>
      <c r="D73" s="488"/>
      <c r="E73" s="484"/>
      <c r="F73" s="484"/>
      <c r="G73" s="72" t="n">
        <v>0</v>
      </c>
    </row>
    <row r="74" customFormat="false" ht="15.75" hidden="false" customHeight="false" outlineLevel="0" collapsed="false">
      <c r="A74" s="407" t="s">
        <v>1750</v>
      </c>
      <c r="B74" s="491" t="n">
        <v>207</v>
      </c>
      <c r="C74" s="412" t="n">
        <v>70</v>
      </c>
      <c r="D74" s="488"/>
      <c r="E74" s="484"/>
      <c r="F74" s="484"/>
      <c r="G74" s="72" t="n">
        <v>123</v>
      </c>
    </row>
    <row r="75" customFormat="false" ht="15.75" hidden="false" customHeight="false" outlineLevel="0" collapsed="false">
      <c r="A75" s="407" t="s">
        <v>1751</v>
      </c>
      <c r="B75" s="491" t="n">
        <v>208</v>
      </c>
      <c r="C75" s="412" t="n">
        <v>71</v>
      </c>
      <c r="D75" s="488"/>
      <c r="E75" s="484"/>
      <c r="F75" s="484"/>
      <c r="G75" s="72" t="n">
        <v>140</v>
      </c>
    </row>
    <row r="76" customFormat="false" ht="15.75" hidden="false" customHeight="false" outlineLevel="0" collapsed="false">
      <c r="A76" s="407" t="s">
        <v>1752</v>
      </c>
      <c r="B76" s="491" t="n">
        <v>209</v>
      </c>
      <c r="C76" s="412" t="n">
        <v>72</v>
      </c>
      <c r="D76" s="488"/>
      <c r="E76" s="484"/>
      <c r="F76" s="484"/>
      <c r="G76" s="72" t="n">
        <v>285</v>
      </c>
    </row>
    <row r="77" customFormat="false" ht="15.75" hidden="false" customHeight="false" outlineLevel="0" collapsed="false">
      <c r="A77" s="407" t="s">
        <v>1753</v>
      </c>
      <c r="B77" s="412" t="n">
        <v>88</v>
      </c>
      <c r="C77" s="412" t="n">
        <v>73</v>
      </c>
      <c r="D77" s="488"/>
      <c r="E77" s="484"/>
      <c r="F77" s="484"/>
      <c r="G77" s="72" t="n">
        <v>325</v>
      </c>
    </row>
    <row r="78" customFormat="false" ht="15.75" hidden="false" customHeight="false" outlineLevel="0" collapsed="false">
      <c r="A78" s="407" t="s">
        <v>805</v>
      </c>
      <c r="B78" s="417" t="n">
        <v>89</v>
      </c>
      <c r="C78" s="412" t="n">
        <v>74</v>
      </c>
      <c r="D78" s="488"/>
      <c r="E78" s="484"/>
      <c r="F78" s="484"/>
      <c r="G78" s="72" t="n">
        <v>0</v>
      </c>
    </row>
    <row r="79" customFormat="false" ht="15.75" hidden="false" customHeight="false" outlineLevel="0" collapsed="false">
      <c r="A79" s="407" t="s">
        <v>806</v>
      </c>
      <c r="B79" s="417" t="n">
        <v>91</v>
      </c>
      <c r="C79" s="413" t="n">
        <v>75</v>
      </c>
      <c r="D79" s="487"/>
      <c r="E79" s="484"/>
      <c r="F79" s="484"/>
      <c r="G79" s="72" t="n">
        <v>-0.5</v>
      </c>
    </row>
    <row r="80" customFormat="false" ht="15.75" hidden="false" customHeight="false" outlineLevel="0" collapsed="false">
      <c r="A80" s="407" t="s">
        <v>807</v>
      </c>
      <c r="B80" s="417" t="n">
        <v>92</v>
      </c>
      <c r="C80" s="413" t="n">
        <v>76</v>
      </c>
      <c r="D80" s="487"/>
      <c r="E80" s="484"/>
      <c r="F80" s="484"/>
      <c r="G80" s="72" t="n">
        <v>200</v>
      </c>
    </row>
    <row r="81" customFormat="false" ht="15.75" hidden="false" customHeight="false" outlineLevel="0" collapsed="false">
      <c r="A81" s="407" t="s">
        <v>808</v>
      </c>
      <c r="B81" s="417" t="n">
        <v>90</v>
      </c>
      <c r="C81" s="413" t="n">
        <v>77</v>
      </c>
      <c r="D81" s="490" t="n">
        <v>10</v>
      </c>
      <c r="E81" s="484" t="n">
        <f aca="false">J81</f>
        <v>-50</v>
      </c>
      <c r="F81" s="484" t="n">
        <f aca="false">K81</f>
        <v>100</v>
      </c>
      <c r="G81" s="72" t="n">
        <v>100</v>
      </c>
      <c r="H81" s="0" t="n">
        <v>50</v>
      </c>
      <c r="I81" s="0" t="n">
        <v>200</v>
      </c>
      <c r="J81" s="463" t="n">
        <f aca="false">(H81-G81)/G81*100</f>
        <v>-50</v>
      </c>
      <c r="K81" s="463" t="n">
        <f aca="false">(I81-G81)/G81*100</f>
        <v>100</v>
      </c>
    </row>
    <row r="82" customFormat="false" ht="15.75" hidden="false" customHeight="false" outlineLevel="0" collapsed="false">
      <c r="A82" s="407" t="s">
        <v>809</v>
      </c>
      <c r="B82" s="418" t="n">
        <v>110</v>
      </c>
      <c r="C82" s="413" t="n">
        <v>78</v>
      </c>
      <c r="D82" s="490" t="n">
        <v>10</v>
      </c>
      <c r="E82" s="484" t="n">
        <f aca="false">J82</f>
        <v>-60</v>
      </c>
      <c r="F82" s="484" t="n">
        <f aca="false">K82</f>
        <v>100</v>
      </c>
      <c r="G82" s="72" t="n">
        <v>0.25</v>
      </c>
      <c r="H82" s="0" t="n">
        <v>0.1</v>
      </c>
      <c r="I82" s="0" t="n">
        <v>0.5</v>
      </c>
      <c r="J82" s="463" t="n">
        <f aca="false">(H82-G82)/G82*100</f>
        <v>-60</v>
      </c>
      <c r="K82" s="463" t="n">
        <f aca="false">(I82-G82)/G82*100</f>
        <v>100</v>
      </c>
    </row>
    <row r="83" customFormat="false" ht="15.75" hidden="false" customHeight="false" outlineLevel="0" collapsed="false">
      <c r="A83" s="407" t="s">
        <v>810</v>
      </c>
      <c r="B83" s="418" t="n">
        <v>104</v>
      </c>
      <c r="C83" s="413" t="n">
        <v>79</v>
      </c>
      <c r="D83" s="490" t="n">
        <v>10</v>
      </c>
      <c r="E83" s="484" t="n">
        <f aca="false">J83</f>
        <v>-56.3785469693995</v>
      </c>
      <c r="F83" s="484" t="n">
        <f aca="false">K83</f>
        <v>336.214530306004</v>
      </c>
      <c r="G83" s="72" t="n">
        <v>45.849</v>
      </c>
      <c r="H83" s="0" t="n">
        <v>20</v>
      </c>
      <c r="I83" s="0" t="n">
        <v>200</v>
      </c>
      <c r="J83" s="463" t="n">
        <f aca="false">(H83-G83)/G83*100</f>
        <v>-56.3785469693995</v>
      </c>
      <c r="K83" s="463" t="n">
        <f aca="false">(I83-G83)/G83*100</f>
        <v>336.214530306004</v>
      </c>
    </row>
    <row r="84" customFormat="false" ht="15.75" hidden="false" customHeight="false" outlineLevel="0" collapsed="false">
      <c r="A84" s="407" t="s">
        <v>841</v>
      </c>
      <c r="B84" s="418" t="n">
        <v>105</v>
      </c>
      <c r="C84" s="413" t="n">
        <v>80</v>
      </c>
      <c r="D84" s="487"/>
      <c r="E84" s="484"/>
      <c r="F84" s="484"/>
      <c r="G84" s="72" t="n">
        <v>110</v>
      </c>
    </row>
    <row r="85" customFormat="false" ht="15.75" hidden="false" customHeight="false" outlineLevel="0" collapsed="false">
      <c r="A85" s="407" t="s">
        <v>842</v>
      </c>
      <c r="B85" s="412" t="n">
        <v>93</v>
      </c>
      <c r="C85" s="413" t="n">
        <v>81</v>
      </c>
      <c r="D85" s="487"/>
      <c r="E85" s="484"/>
      <c r="F85" s="484"/>
      <c r="G85" s="72" t="n">
        <v>180</v>
      </c>
    </row>
    <row r="86" customFormat="false" ht="15.75" hidden="false" customHeight="false" outlineLevel="0" collapsed="false">
      <c r="A86" s="407" t="s">
        <v>843</v>
      </c>
      <c r="B86" s="417" t="n">
        <v>94</v>
      </c>
      <c r="C86" s="412" t="n">
        <v>82</v>
      </c>
      <c r="D86" s="488"/>
      <c r="E86" s="484"/>
      <c r="F86" s="484"/>
      <c r="G86" s="72" t="n">
        <v>3</v>
      </c>
    </row>
    <row r="87" customFormat="false" ht="15.75" hidden="false" customHeight="false" outlineLevel="0" collapsed="false">
      <c r="A87" s="407" t="s">
        <v>844</v>
      </c>
      <c r="B87" s="417" t="n">
        <v>95</v>
      </c>
      <c r="C87" s="413" t="n">
        <v>83</v>
      </c>
      <c r="D87" s="487"/>
      <c r="E87" s="484"/>
      <c r="F87" s="484"/>
      <c r="G87" s="72" t="n">
        <v>-0.37</v>
      </c>
    </row>
    <row r="88" customFormat="false" ht="15.75" hidden="false" customHeight="false" outlineLevel="0" collapsed="false">
      <c r="A88" s="407" t="s">
        <v>845</v>
      </c>
      <c r="B88" s="417" t="n">
        <v>96</v>
      </c>
      <c r="C88" s="413" t="n">
        <v>84</v>
      </c>
      <c r="D88" s="487"/>
      <c r="E88" s="484"/>
      <c r="F88" s="484"/>
      <c r="G88" s="72" t="n">
        <v>0.12</v>
      </c>
    </row>
    <row r="89" customFormat="false" ht="15.75" hidden="false" customHeight="false" outlineLevel="0" collapsed="false">
      <c r="A89" s="407" t="s">
        <v>846</v>
      </c>
      <c r="B89" s="417" t="n">
        <v>97</v>
      </c>
      <c r="C89" s="413" t="n">
        <v>85</v>
      </c>
      <c r="D89" s="487"/>
      <c r="E89" s="484"/>
      <c r="F89" s="484"/>
      <c r="G89" s="72" t="n">
        <v>41.14</v>
      </c>
    </row>
    <row r="90" customFormat="false" ht="15.75" hidden="false" customHeight="false" outlineLevel="0" collapsed="false">
      <c r="A90" s="407" t="s">
        <v>847</v>
      </c>
      <c r="B90" s="417" t="n">
        <v>98</v>
      </c>
      <c r="C90" s="413" t="n">
        <v>86</v>
      </c>
      <c r="D90" s="487"/>
      <c r="E90" s="484"/>
      <c r="F90" s="484"/>
      <c r="G90" s="72" t="n">
        <v>27350</v>
      </c>
    </row>
    <row r="91" customFormat="false" ht="15.75" hidden="false" customHeight="false" outlineLevel="0" collapsed="false">
      <c r="A91" s="407" t="s">
        <v>848</v>
      </c>
      <c r="B91" s="418" t="n">
        <v>111</v>
      </c>
      <c r="C91" s="413" t="n">
        <v>87</v>
      </c>
      <c r="D91" s="487"/>
      <c r="E91" s="484"/>
      <c r="F91" s="484"/>
      <c r="G91" s="72" t="n">
        <v>-1.815</v>
      </c>
    </row>
    <row r="92" customFormat="false" ht="15.75" hidden="false" customHeight="false" outlineLevel="0" collapsed="false">
      <c r="A92" s="407" t="s">
        <v>767</v>
      </c>
      <c r="B92" s="418" t="n">
        <v>106</v>
      </c>
      <c r="C92" s="412" t="n">
        <v>88</v>
      </c>
      <c r="D92" s="488"/>
      <c r="E92" s="484"/>
      <c r="F92" s="484"/>
      <c r="G92" s="72" t="n">
        <v>6</v>
      </c>
    </row>
    <row r="93" customFormat="false" ht="15.75" hidden="false" customHeight="false" outlineLevel="0" collapsed="false">
      <c r="A93" s="407" t="s">
        <v>768</v>
      </c>
      <c r="B93" s="418" t="n">
        <v>107</v>
      </c>
      <c r="C93" s="417" t="n">
        <v>89</v>
      </c>
      <c r="D93" s="492"/>
      <c r="E93" s="484"/>
      <c r="F93" s="484"/>
      <c r="G93" s="72" t="n">
        <v>2.5</v>
      </c>
      <c r="H93" s="0" t="n">
        <f aca="false">G93</f>
        <v>2.5</v>
      </c>
      <c r="I93" s="0" t="n">
        <f aca="false">H93</f>
        <v>2.5</v>
      </c>
      <c r="J93" s="463" t="n">
        <f aca="false">(H93-G93)/G93*100</f>
        <v>0</v>
      </c>
      <c r="K93" s="463" t="n">
        <f aca="false">(I93-G93)/G93*100</f>
        <v>0</v>
      </c>
    </row>
    <row r="94" customFormat="false" ht="15.75" hidden="false" customHeight="false" outlineLevel="0" collapsed="false">
      <c r="A94" s="407" t="s">
        <v>771</v>
      </c>
      <c r="B94" s="415" t="n">
        <v>99</v>
      </c>
      <c r="C94" s="417" t="n">
        <v>90</v>
      </c>
      <c r="D94" s="492"/>
      <c r="E94" s="484"/>
      <c r="F94" s="484"/>
      <c r="G94" s="72" t="n">
        <v>0.003</v>
      </c>
      <c r="H94" s="0" t="n">
        <f aca="false">G94</f>
        <v>0.003</v>
      </c>
      <c r="I94" s="0" t="n">
        <f aca="false">H94</f>
        <v>0.003</v>
      </c>
      <c r="J94" s="463" t="n">
        <f aca="false">(H94-G94)/G94*100</f>
        <v>0</v>
      </c>
      <c r="K94" s="463" t="n">
        <f aca="false">(I94-G94)/G94*100</f>
        <v>0</v>
      </c>
    </row>
    <row r="95" customFormat="false" ht="15.75" hidden="false" customHeight="false" outlineLevel="0" collapsed="false">
      <c r="A95" s="407" t="s">
        <v>769</v>
      </c>
      <c r="B95" s="412" t="n">
        <v>100</v>
      </c>
      <c r="C95" s="417" t="n">
        <v>91</v>
      </c>
      <c r="D95" s="492"/>
      <c r="E95" s="484"/>
      <c r="F95" s="484"/>
      <c r="G95" s="72" t="n">
        <v>0.4</v>
      </c>
      <c r="H95" s="0" t="n">
        <f aca="false">G95</f>
        <v>0.4</v>
      </c>
      <c r="I95" s="0" t="n">
        <f aca="false">H95</f>
        <v>0.4</v>
      </c>
      <c r="J95" s="463" t="n">
        <f aca="false">(H95-G95)/G95*100</f>
        <v>0</v>
      </c>
      <c r="K95" s="463" t="n">
        <f aca="false">(I95-G95)/G95*100</f>
        <v>0</v>
      </c>
    </row>
    <row r="96" customFormat="false" ht="15.75" hidden="false" customHeight="false" outlineLevel="0" collapsed="false">
      <c r="A96" s="407" t="s">
        <v>770</v>
      </c>
      <c r="B96" s="415" t="n">
        <v>112</v>
      </c>
      <c r="C96" s="417" t="n">
        <v>92</v>
      </c>
      <c r="D96" s="493"/>
      <c r="E96" s="484"/>
      <c r="F96" s="484"/>
      <c r="G96" s="72" t="n">
        <v>0.2</v>
      </c>
      <c r="H96" s="0" t="n">
        <f aca="false">G96</f>
        <v>0.2</v>
      </c>
      <c r="I96" s="0" t="n">
        <f aca="false">H96</f>
        <v>0.2</v>
      </c>
      <c r="J96" s="463" t="n">
        <f aca="false">(H96-G96)/G96*100</f>
        <v>0</v>
      </c>
      <c r="K96" s="463" t="n">
        <f aca="false">(I96-G96)/G96*100</f>
        <v>0</v>
      </c>
    </row>
    <row r="97" customFormat="false" ht="15.75" hidden="false" customHeight="false" outlineLevel="0" collapsed="false">
      <c r="A97" s="407" t="s">
        <v>775</v>
      </c>
      <c r="B97" s="415" t="n">
        <v>113</v>
      </c>
      <c r="C97" s="412" t="n">
        <v>93</v>
      </c>
      <c r="D97" s="494"/>
      <c r="E97" s="484"/>
      <c r="F97" s="484"/>
      <c r="G97" s="72" t="n">
        <v>700</v>
      </c>
      <c r="J97" s="463"/>
      <c r="K97" s="463"/>
    </row>
    <row r="98" customFormat="false" ht="15.75" hidden="false" customHeight="false" outlineLevel="0" collapsed="false">
      <c r="A98" s="407" t="s">
        <v>776</v>
      </c>
      <c r="B98" s="415" t="n">
        <v>114</v>
      </c>
      <c r="C98" s="417" t="n">
        <v>94</v>
      </c>
      <c r="D98" s="493"/>
      <c r="E98" s="484"/>
      <c r="F98" s="484"/>
      <c r="G98" s="72" t="n">
        <v>10</v>
      </c>
      <c r="H98" s="0" t="n">
        <f aca="false">G98</f>
        <v>10</v>
      </c>
      <c r="I98" s="0" t="n">
        <f aca="false">H98</f>
        <v>10</v>
      </c>
      <c r="J98" s="463" t="n">
        <f aca="false">(H98-G98)/G98*100</f>
        <v>0</v>
      </c>
      <c r="K98" s="463" t="n">
        <f aca="false">(I98-G98)/G98*100</f>
        <v>0</v>
      </c>
    </row>
    <row r="99" customFormat="false" ht="15.75" hidden="false" customHeight="false" outlineLevel="0" collapsed="false">
      <c r="A99" s="407" t="s">
        <v>777</v>
      </c>
      <c r="B99" s="415" t="n">
        <v>115</v>
      </c>
      <c r="C99" s="417" t="n">
        <v>95</v>
      </c>
      <c r="D99" s="493"/>
      <c r="E99" s="484"/>
      <c r="F99" s="484"/>
      <c r="G99" s="72" t="n">
        <v>0.0859</v>
      </c>
      <c r="H99" s="0" t="n">
        <f aca="false">G99</f>
        <v>0.0859</v>
      </c>
      <c r="I99" s="0" t="n">
        <f aca="false">H99</f>
        <v>0.0859</v>
      </c>
      <c r="J99" s="463" t="n">
        <f aca="false">(H99-G99)/G99*100</f>
        <v>0</v>
      </c>
      <c r="K99" s="463" t="n">
        <f aca="false">(I99-G99)/G99*100</f>
        <v>0</v>
      </c>
    </row>
    <row r="100" customFormat="false" ht="15.75" hidden="false" customHeight="false" outlineLevel="0" collapsed="false">
      <c r="A100" s="407" t="s">
        <v>778</v>
      </c>
      <c r="B100" s="415" t="n">
        <v>108</v>
      </c>
      <c r="C100" s="417" t="n">
        <v>96</v>
      </c>
      <c r="D100" s="493"/>
      <c r="E100" s="484"/>
      <c r="F100" s="484"/>
      <c r="G100" s="72" t="n">
        <v>0.4</v>
      </c>
      <c r="H100" s="0" t="n">
        <f aca="false">G100</f>
        <v>0.4</v>
      </c>
      <c r="I100" s="0" t="n">
        <f aca="false">H100</f>
        <v>0.4</v>
      </c>
      <c r="J100" s="463" t="n">
        <f aca="false">(H100-G100)/G100*100</f>
        <v>0</v>
      </c>
      <c r="K100" s="463" t="n">
        <f aca="false">(I100-G100)/G100*100</f>
        <v>0</v>
      </c>
    </row>
    <row r="101" customFormat="false" ht="15.75" hidden="false" customHeight="false" outlineLevel="0" collapsed="false">
      <c r="A101" s="407" t="s">
        <v>779</v>
      </c>
      <c r="B101" s="415" t="n">
        <v>109</v>
      </c>
      <c r="C101" s="417" t="n">
        <v>97</v>
      </c>
      <c r="D101" s="493"/>
      <c r="E101" s="484"/>
      <c r="F101" s="484"/>
      <c r="G101" s="72" t="n">
        <v>0.2</v>
      </c>
      <c r="H101" s="0" t="n">
        <f aca="false">G101</f>
        <v>0.2</v>
      </c>
      <c r="I101" s="0" t="n">
        <f aca="false">H101</f>
        <v>0.2</v>
      </c>
      <c r="J101" s="463" t="n">
        <f aca="false">(H101-G101)/G101*100</f>
        <v>0</v>
      </c>
      <c r="K101" s="463" t="n">
        <f aca="false">(I101-G101)/G101*100</f>
        <v>0</v>
      </c>
    </row>
    <row r="102" customFormat="false" ht="15.75" hidden="false" customHeight="false" outlineLevel="0" collapsed="false">
      <c r="A102" s="407" t="s">
        <v>780</v>
      </c>
      <c r="B102" s="412" t="n">
        <v>101</v>
      </c>
      <c r="C102" s="417" t="n">
        <v>98</v>
      </c>
      <c r="D102" s="493"/>
      <c r="E102" s="484"/>
      <c r="F102" s="484"/>
      <c r="G102" s="72" t="n">
        <v>0.331</v>
      </c>
    </row>
    <row r="103" customFormat="false" ht="15.75" hidden="false" customHeight="false" outlineLevel="0" collapsed="false">
      <c r="A103" s="407" t="s">
        <v>784</v>
      </c>
      <c r="B103" s="412" t="n">
        <v>102</v>
      </c>
      <c r="C103" s="415" t="n">
        <v>99</v>
      </c>
      <c r="D103" s="495" t="n">
        <v>10</v>
      </c>
      <c r="E103" s="484" t="n">
        <f aca="false">J103</f>
        <v>-100</v>
      </c>
      <c r="F103" s="484" t="n">
        <f aca="false">K103</f>
        <v>-100</v>
      </c>
      <c r="G103" s="72" t="n">
        <v>1114.08199643494</v>
      </c>
      <c r="J103" s="463" t="n">
        <f aca="false">(H103-G103)/G103*100</f>
        <v>-100</v>
      </c>
      <c r="K103" s="463" t="n">
        <f aca="false">(I103-G103)/G103*100</f>
        <v>-100</v>
      </c>
    </row>
    <row r="104" customFormat="false" ht="15.75" hidden="false" customHeight="false" outlineLevel="0" collapsed="false">
      <c r="A104" s="407" t="s">
        <v>785</v>
      </c>
      <c r="B104" s="413" t="n">
        <v>65</v>
      </c>
      <c r="C104" s="412" t="n">
        <v>100</v>
      </c>
      <c r="D104" s="496"/>
      <c r="E104" s="484"/>
      <c r="F104" s="484"/>
      <c r="G104" s="72" t="n">
        <v>0.001</v>
      </c>
    </row>
    <row r="105" customFormat="false" ht="15.75" hidden="false" customHeight="false" outlineLevel="0" collapsed="false">
      <c r="A105" s="407" t="s">
        <v>792</v>
      </c>
      <c r="B105" s="412" t="n">
        <v>66</v>
      </c>
      <c r="C105" s="412" t="n">
        <v>101</v>
      </c>
      <c r="D105" s="496"/>
      <c r="E105" s="484"/>
      <c r="F105" s="484"/>
      <c r="G105" s="72" t="n">
        <v>0.4</v>
      </c>
    </row>
    <row r="106" customFormat="false" ht="15.75" hidden="false" customHeight="false" outlineLevel="0" collapsed="false">
      <c r="A106" s="407" t="s">
        <v>793</v>
      </c>
      <c r="B106" s="412" t="n">
        <v>67</v>
      </c>
      <c r="C106" s="412" t="n">
        <v>102</v>
      </c>
      <c r="D106" s="496"/>
      <c r="E106" s="484"/>
      <c r="F106" s="484"/>
      <c r="G106" s="72" t="n">
        <v>0.2</v>
      </c>
    </row>
    <row r="107" customFormat="false" ht="15.75" hidden="false" customHeight="false" outlineLevel="0" collapsed="false">
      <c r="A107" s="407" t="s">
        <v>756</v>
      </c>
      <c r="B107" s="413" t="n">
        <v>68</v>
      </c>
      <c r="C107" s="412" t="n">
        <v>103</v>
      </c>
      <c r="D107" s="496"/>
      <c r="E107" s="484"/>
      <c r="F107" s="484"/>
      <c r="G107" s="72" t="n">
        <v>2</v>
      </c>
    </row>
    <row r="108" customFormat="false" ht="15.75" hidden="false" customHeight="false" outlineLevel="0" collapsed="false">
      <c r="A108" s="407" t="s">
        <v>773</v>
      </c>
      <c r="B108" s="412" t="n">
        <v>69</v>
      </c>
      <c r="C108" s="418" t="n">
        <v>104</v>
      </c>
      <c r="D108" s="494"/>
      <c r="E108" s="484"/>
      <c r="F108" s="484"/>
      <c r="G108" s="72" t="n">
        <v>2.42645949867703</v>
      </c>
    </row>
    <row r="109" customFormat="false" ht="15.75" hidden="false" customHeight="false" outlineLevel="0" collapsed="false">
      <c r="A109" s="407" t="s">
        <v>774</v>
      </c>
      <c r="B109" s="412" t="n">
        <v>70</v>
      </c>
      <c r="C109" s="418" t="n">
        <v>105</v>
      </c>
      <c r="D109" s="494"/>
      <c r="E109" s="484"/>
      <c r="F109" s="484"/>
      <c r="G109" s="72" t="n">
        <v>4.85291899735406</v>
      </c>
    </row>
    <row r="110" customFormat="false" ht="15.75" hidden="false" customHeight="false" outlineLevel="0" collapsed="false">
      <c r="A110" s="407" t="s">
        <v>782</v>
      </c>
      <c r="B110" s="412" t="n">
        <v>71</v>
      </c>
      <c r="C110" s="418" t="n">
        <v>106</v>
      </c>
      <c r="D110" s="494"/>
      <c r="E110" s="484"/>
      <c r="F110" s="484"/>
      <c r="G110" s="72" t="n">
        <v>6.38543718641238</v>
      </c>
      <c r="P110" s="497"/>
      <c r="Q110" s="497"/>
      <c r="R110" s="497"/>
      <c r="S110" s="497"/>
      <c r="T110" s="497"/>
      <c r="U110" s="497"/>
      <c r="V110" s="497"/>
      <c r="W110" s="497"/>
      <c r="X110" s="497"/>
      <c r="Y110" s="497"/>
      <c r="Z110" s="497"/>
      <c r="AA110" s="497"/>
      <c r="AB110" s="497"/>
      <c r="AC110" s="497"/>
      <c r="AD110" s="497"/>
      <c r="AE110" s="497"/>
      <c r="AF110" s="497"/>
      <c r="AG110" s="497"/>
      <c r="AH110" s="497"/>
      <c r="AI110" s="497"/>
      <c r="AJ110" s="497"/>
      <c r="AK110" s="497"/>
      <c r="AL110" s="497"/>
      <c r="AM110" s="497"/>
      <c r="AN110" s="497"/>
      <c r="AO110" s="497"/>
      <c r="AP110" s="497"/>
      <c r="AQ110" s="497"/>
      <c r="AR110" s="497"/>
      <c r="AS110" s="497"/>
      <c r="AT110" s="497"/>
      <c r="AU110" s="497"/>
      <c r="AV110" s="497"/>
      <c r="AW110" s="497"/>
      <c r="AX110" s="497"/>
      <c r="AY110" s="497"/>
      <c r="AZ110" s="497"/>
      <c r="BA110" s="497"/>
      <c r="BB110" s="497"/>
      <c r="BC110" s="497"/>
      <c r="BD110" s="497"/>
      <c r="BE110" s="497"/>
      <c r="BF110" s="497"/>
      <c r="BG110" s="497"/>
      <c r="BH110" s="497"/>
      <c r="BI110" s="497"/>
      <c r="BJ110" s="497"/>
      <c r="BK110" s="497"/>
      <c r="BL110" s="497"/>
      <c r="BM110" s="497"/>
      <c r="BN110" s="497"/>
      <c r="BO110" s="497"/>
      <c r="BP110" s="497"/>
      <c r="BQ110" s="497"/>
      <c r="BR110" s="497"/>
      <c r="BS110" s="497"/>
      <c r="BT110" s="497"/>
      <c r="BU110" s="497"/>
      <c r="BV110" s="497"/>
      <c r="BW110" s="497"/>
      <c r="BX110" s="497"/>
      <c r="BY110" s="497"/>
      <c r="BZ110" s="497"/>
      <c r="CA110" s="497"/>
      <c r="CB110" s="497"/>
      <c r="CC110" s="497"/>
      <c r="CD110" s="497"/>
      <c r="CE110" s="497"/>
      <c r="CF110" s="497"/>
      <c r="CG110" s="497"/>
      <c r="CH110" s="497"/>
      <c r="CI110" s="497"/>
      <c r="CJ110" s="497"/>
      <c r="CK110" s="497"/>
      <c r="CL110" s="497"/>
      <c r="CM110" s="497"/>
      <c r="CN110" s="497"/>
      <c r="CO110" s="497"/>
      <c r="CP110" s="497"/>
      <c r="CQ110" s="497"/>
      <c r="CR110" s="497"/>
      <c r="CS110" s="497"/>
      <c r="CT110" s="497"/>
      <c r="CU110" s="497"/>
      <c r="CV110" s="497"/>
      <c r="CW110" s="497"/>
      <c r="CX110" s="497"/>
      <c r="CY110" s="497"/>
      <c r="CZ110" s="497"/>
      <c r="DA110" s="497"/>
      <c r="DB110" s="497"/>
      <c r="DC110" s="497"/>
      <c r="DD110" s="497"/>
      <c r="DE110" s="497"/>
      <c r="DF110" s="497"/>
      <c r="DG110" s="497"/>
      <c r="DH110" s="497"/>
      <c r="DI110" s="497"/>
      <c r="DJ110" s="497"/>
      <c r="DK110" s="497"/>
      <c r="DL110" s="497"/>
    </row>
    <row r="111" customFormat="false" ht="15.75" hidden="false" customHeight="false" outlineLevel="0" collapsed="false">
      <c r="A111" s="407" t="s">
        <v>783</v>
      </c>
      <c r="B111" s="412" t="n">
        <v>72</v>
      </c>
      <c r="C111" s="418" t="n">
        <v>107</v>
      </c>
      <c r="D111" s="494"/>
      <c r="E111" s="484"/>
      <c r="F111" s="484"/>
      <c r="G111" s="72" t="n">
        <v>12.7708743728248</v>
      </c>
      <c r="P111" s="497"/>
      <c r="Q111" s="497"/>
      <c r="R111" s="497"/>
      <c r="S111" s="497"/>
      <c r="T111" s="497"/>
      <c r="U111" s="497"/>
      <c r="V111" s="497"/>
      <c r="W111" s="497"/>
      <c r="X111" s="497"/>
      <c r="Y111" s="497"/>
      <c r="Z111" s="497"/>
      <c r="AA111" s="497"/>
      <c r="AB111" s="497"/>
      <c r="AC111" s="497"/>
      <c r="AD111" s="497"/>
      <c r="AE111" s="497"/>
      <c r="AF111" s="497"/>
      <c r="AG111" s="497"/>
      <c r="AH111" s="497"/>
      <c r="AI111" s="497"/>
      <c r="AJ111" s="497"/>
      <c r="AK111" s="497"/>
      <c r="AL111" s="497"/>
      <c r="AM111" s="497"/>
      <c r="AN111" s="497"/>
      <c r="AO111" s="497"/>
      <c r="AP111" s="497"/>
      <c r="AQ111" s="497"/>
      <c r="AR111" s="497"/>
      <c r="AS111" s="497"/>
      <c r="AT111" s="497"/>
      <c r="AU111" s="497"/>
      <c r="AV111" s="497"/>
      <c r="AW111" s="497"/>
      <c r="AX111" s="497"/>
      <c r="AY111" s="497"/>
      <c r="AZ111" s="497"/>
      <c r="BA111" s="497"/>
      <c r="BB111" s="497"/>
      <c r="BC111" s="497"/>
      <c r="BD111" s="497"/>
      <c r="BE111" s="497"/>
      <c r="BF111" s="497"/>
      <c r="BG111" s="497"/>
      <c r="BH111" s="497"/>
      <c r="BI111" s="497"/>
      <c r="BJ111" s="497"/>
      <c r="BK111" s="497"/>
      <c r="BL111" s="497"/>
      <c r="BM111" s="497"/>
      <c r="BN111" s="497"/>
      <c r="BO111" s="497"/>
      <c r="BP111" s="497"/>
      <c r="BQ111" s="497"/>
      <c r="BR111" s="497"/>
      <c r="BS111" s="497"/>
      <c r="BT111" s="497"/>
      <c r="BU111" s="497"/>
      <c r="BV111" s="497"/>
      <c r="BW111" s="497"/>
      <c r="BX111" s="497"/>
      <c r="BY111" s="497"/>
      <c r="BZ111" s="497"/>
      <c r="CA111" s="497"/>
      <c r="CB111" s="497"/>
      <c r="CC111" s="497"/>
      <c r="CD111" s="497"/>
      <c r="CE111" s="497"/>
      <c r="CF111" s="497"/>
      <c r="CG111" s="497"/>
      <c r="CH111" s="497"/>
      <c r="CI111" s="497"/>
      <c r="CJ111" s="497"/>
      <c r="CK111" s="497"/>
      <c r="CL111" s="497"/>
      <c r="CM111" s="497"/>
      <c r="CN111" s="497"/>
      <c r="CO111" s="497"/>
      <c r="CP111" s="497"/>
      <c r="CQ111" s="497"/>
      <c r="CR111" s="497"/>
      <c r="CS111" s="497"/>
      <c r="CT111" s="497"/>
      <c r="CU111" s="497"/>
      <c r="CV111" s="497"/>
      <c r="CW111" s="497"/>
      <c r="CX111" s="497"/>
      <c r="CY111" s="497"/>
      <c r="CZ111" s="497"/>
      <c r="DA111" s="497"/>
      <c r="DB111" s="497"/>
      <c r="DC111" s="497"/>
      <c r="DD111" s="497"/>
      <c r="DE111" s="497"/>
      <c r="DF111" s="497"/>
      <c r="DG111" s="497"/>
      <c r="DH111" s="497"/>
      <c r="DI111" s="497"/>
      <c r="DJ111" s="497"/>
      <c r="DK111" s="497"/>
      <c r="DL111" s="497"/>
    </row>
    <row r="112" customFormat="false" ht="15.75" hidden="false" customHeight="false" outlineLevel="0" collapsed="false">
      <c r="A112" s="407" t="s">
        <v>790</v>
      </c>
      <c r="B112" s="412" t="n">
        <v>73</v>
      </c>
      <c r="C112" s="415" t="n">
        <v>108</v>
      </c>
      <c r="D112" s="495" t="n">
        <v>10</v>
      </c>
      <c r="E112" s="484" t="n">
        <f aca="false">J112</f>
        <v>-100</v>
      </c>
      <c r="F112" s="484" t="n">
        <f aca="false">K112</f>
        <v>-100</v>
      </c>
      <c r="G112" s="72" t="n">
        <v>1.9764194848501</v>
      </c>
      <c r="J112" s="463" t="n">
        <f aca="false">(H112-G112)/G112*100</f>
        <v>-100</v>
      </c>
      <c r="K112" s="463" t="n">
        <f aca="false">(I112-G112)/G112*100</f>
        <v>-100</v>
      </c>
      <c r="P112" s="497"/>
      <c r="Q112" s="497"/>
      <c r="R112" s="497"/>
      <c r="S112" s="497"/>
      <c r="T112" s="497"/>
      <c r="U112" s="497"/>
      <c r="V112" s="497"/>
      <c r="W112" s="497"/>
      <c r="X112" s="497"/>
      <c r="Y112" s="497"/>
      <c r="Z112" s="497"/>
      <c r="AA112" s="497"/>
      <c r="AB112" s="497"/>
      <c r="AC112" s="497"/>
      <c r="AD112" s="497"/>
      <c r="AE112" s="497"/>
      <c r="AF112" s="497"/>
      <c r="AG112" s="497"/>
      <c r="AH112" s="497"/>
      <c r="AI112" s="497"/>
      <c r="AJ112" s="497"/>
      <c r="AK112" s="497"/>
      <c r="AL112" s="497"/>
      <c r="AM112" s="497"/>
      <c r="AN112" s="497"/>
      <c r="AO112" s="497"/>
      <c r="AP112" s="497"/>
      <c r="AQ112" s="497"/>
      <c r="AR112" s="497"/>
      <c r="AS112" s="497"/>
      <c r="AT112" s="497"/>
      <c r="AU112" s="497"/>
      <c r="AV112" s="497"/>
      <c r="AW112" s="497"/>
      <c r="AX112" s="497"/>
      <c r="AY112" s="497"/>
      <c r="AZ112" s="497"/>
      <c r="BA112" s="497"/>
      <c r="BB112" s="497"/>
      <c r="BC112" s="497"/>
      <c r="BD112" s="497"/>
      <c r="BE112" s="497"/>
      <c r="BF112" s="497"/>
      <c r="BG112" s="497"/>
      <c r="BH112" s="497"/>
      <c r="BI112" s="497"/>
      <c r="BJ112" s="497"/>
      <c r="BK112" s="497"/>
      <c r="BL112" s="497"/>
      <c r="BM112" s="497"/>
      <c r="BN112" s="497"/>
      <c r="BO112" s="497"/>
      <c r="BP112" s="497"/>
      <c r="BQ112" s="497"/>
      <c r="BR112" s="497"/>
      <c r="BS112" s="497"/>
      <c r="BT112" s="497"/>
      <c r="BU112" s="497"/>
      <c r="BV112" s="497"/>
      <c r="BW112" s="497"/>
      <c r="BX112" s="497"/>
      <c r="BY112" s="497"/>
      <c r="BZ112" s="497"/>
      <c r="CA112" s="497"/>
      <c r="CB112" s="497"/>
      <c r="CC112" s="497"/>
      <c r="CD112" s="497"/>
      <c r="CE112" s="497"/>
      <c r="CF112" s="497"/>
      <c r="CG112" s="497"/>
      <c r="CH112" s="497"/>
      <c r="CI112" s="497"/>
      <c r="CJ112" s="497"/>
      <c r="CK112" s="497"/>
      <c r="CL112" s="497"/>
      <c r="CM112" s="497"/>
      <c r="CN112" s="497"/>
      <c r="CO112" s="497"/>
      <c r="CP112" s="497"/>
      <c r="CQ112" s="497"/>
      <c r="CR112" s="497"/>
      <c r="CS112" s="497"/>
      <c r="CT112" s="497"/>
      <c r="CU112" s="497"/>
      <c r="CV112" s="497"/>
      <c r="CW112" s="497"/>
      <c r="CX112" s="497"/>
      <c r="CY112" s="497"/>
      <c r="CZ112" s="497"/>
      <c r="DA112" s="497"/>
      <c r="DB112" s="497"/>
      <c r="DC112" s="497"/>
      <c r="DD112" s="497"/>
      <c r="DE112" s="497"/>
      <c r="DF112" s="497"/>
      <c r="DG112" s="497"/>
      <c r="DH112" s="497"/>
      <c r="DI112" s="497"/>
      <c r="DJ112" s="497"/>
      <c r="DK112" s="497"/>
      <c r="DL112" s="497"/>
    </row>
    <row r="113" customFormat="false" ht="15.75" hidden="false" customHeight="false" outlineLevel="0" collapsed="false">
      <c r="A113" s="407" t="s">
        <v>791</v>
      </c>
      <c r="B113" s="412" t="n">
        <v>74</v>
      </c>
      <c r="C113" s="415" t="n">
        <v>109</v>
      </c>
      <c r="D113" s="495" t="n">
        <v>10</v>
      </c>
      <c r="E113" s="484" t="n">
        <f aca="false">J113</f>
        <v>-100</v>
      </c>
      <c r="F113" s="484" t="n">
        <f aca="false">K113</f>
        <v>-100</v>
      </c>
      <c r="G113" s="72" t="n">
        <v>3.95283896970021</v>
      </c>
      <c r="J113" s="463" t="n">
        <f aca="false">(H113-G113)/G113*100</f>
        <v>-100</v>
      </c>
      <c r="K113" s="463" t="n">
        <f aca="false">(I113-G113)/G113*100</f>
        <v>-100</v>
      </c>
    </row>
    <row r="114" customFormat="false" ht="15.75" hidden="false" customHeight="false" outlineLevel="0" collapsed="false">
      <c r="A114" s="407" t="s">
        <v>772</v>
      </c>
      <c r="B114" s="413" t="n">
        <v>75</v>
      </c>
      <c r="C114" s="418" t="n">
        <v>110</v>
      </c>
      <c r="D114" s="494"/>
      <c r="E114" s="484"/>
      <c r="F114" s="484"/>
      <c r="G114" s="72" t="n">
        <v>5.78388843755151</v>
      </c>
    </row>
    <row r="115" customFormat="false" ht="15.75" hidden="false" customHeight="false" outlineLevel="0" collapsed="false">
      <c r="A115" s="407" t="s">
        <v>781</v>
      </c>
      <c r="B115" s="413" t="n">
        <v>76</v>
      </c>
      <c r="C115" s="418" t="n">
        <v>111</v>
      </c>
      <c r="D115" s="494"/>
      <c r="E115" s="484"/>
      <c r="F115" s="484"/>
      <c r="G115" s="72" t="n">
        <v>2.69118242837465</v>
      </c>
    </row>
    <row r="116" customFormat="false" ht="15.75" hidden="false" customHeight="false" outlineLevel="0" collapsed="false">
      <c r="A116" s="407" t="s">
        <v>786</v>
      </c>
      <c r="B116" s="413" t="n">
        <v>77</v>
      </c>
      <c r="C116" s="498" t="n">
        <v>112</v>
      </c>
      <c r="D116" s="484" t="n">
        <v>10</v>
      </c>
      <c r="E116" s="484" t="n">
        <f aca="false">J116</f>
        <v>-100</v>
      </c>
      <c r="F116" s="484" t="n">
        <f aca="false">K116</f>
        <v>-100</v>
      </c>
      <c r="G116" s="72" t="n">
        <v>18.0430647018655</v>
      </c>
      <c r="J116" s="463" t="n">
        <f aca="false">(H116-G116)/G116*100</f>
        <v>-100</v>
      </c>
      <c r="K116" s="463" t="n">
        <f aca="false">(I116-G116)/G116*100</f>
        <v>-100</v>
      </c>
    </row>
    <row r="117" customFormat="false" ht="15.75" hidden="false" customHeight="false" outlineLevel="0" collapsed="false">
      <c r="A117" s="407" t="s">
        <v>787</v>
      </c>
      <c r="B117" s="413" t="n">
        <v>78</v>
      </c>
      <c r="C117" s="415" t="n">
        <v>113</v>
      </c>
      <c r="D117" s="495" t="n">
        <v>10</v>
      </c>
      <c r="E117" s="484" t="n">
        <f aca="false">J117</f>
        <v>-100</v>
      </c>
      <c r="F117" s="484" t="n">
        <f aca="false">K117</f>
        <v>-100</v>
      </c>
      <c r="G117" s="72" t="n">
        <v>3.5</v>
      </c>
      <c r="J117" s="463" t="n">
        <f aca="false">(H117-G117)/G117*100</f>
        <v>-100</v>
      </c>
      <c r="K117" s="463" t="n">
        <f aca="false">(I117-G117)/G117*100</f>
        <v>-100</v>
      </c>
    </row>
    <row r="118" customFormat="false" ht="15.75" hidden="false" customHeight="false" outlineLevel="0" collapsed="false">
      <c r="A118" s="407" t="s">
        <v>788</v>
      </c>
      <c r="B118" s="413" t="n">
        <v>79</v>
      </c>
      <c r="C118" s="415" t="n">
        <v>114</v>
      </c>
      <c r="D118" s="495" t="n">
        <v>10</v>
      </c>
      <c r="E118" s="484" t="n">
        <f aca="false">J118</f>
        <v>-100</v>
      </c>
      <c r="F118" s="484" t="n">
        <f aca="false">K118</f>
        <v>-100</v>
      </c>
      <c r="G118" s="72" t="n">
        <v>3835.78981721065</v>
      </c>
      <c r="J118" s="463" t="n">
        <f aca="false">(H118-G118)/G118*100</f>
        <v>-100</v>
      </c>
      <c r="K118" s="463" t="n">
        <f aca="false">(I118-G118)/G118*100</f>
        <v>-100</v>
      </c>
    </row>
    <row r="119" customFormat="false" ht="15.75" hidden="false" customHeight="false" outlineLevel="0" collapsed="false">
      <c r="A119" s="407" t="s">
        <v>789</v>
      </c>
      <c r="B119" s="412" t="n">
        <v>49</v>
      </c>
      <c r="C119" s="415" t="n">
        <v>115</v>
      </c>
      <c r="D119" s="495" t="n">
        <v>10</v>
      </c>
      <c r="E119" s="484" t="n">
        <f aca="false">J119</f>
        <v>-100</v>
      </c>
      <c r="F119" s="484" t="n">
        <f aca="false">K119</f>
        <v>-100</v>
      </c>
      <c r="G119" s="72" t="n">
        <v>0.00147131610545796</v>
      </c>
      <c r="J119" s="463" t="n">
        <f aca="false">(H119-G119)/G119*100</f>
        <v>-100</v>
      </c>
      <c r="K119" s="463" t="n">
        <f aca="false">(I119-G119)/G119*100</f>
        <v>-100</v>
      </c>
      <c r="P119" s="497"/>
      <c r="Q119" s="497"/>
      <c r="R119" s="497"/>
      <c r="S119" s="497"/>
      <c r="T119" s="497"/>
      <c r="U119" s="497"/>
      <c r="V119" s="497"/>
      <c r="W119" s="497"/>
      <c r="X119" s="497"/>
      <c r="Y119" s="497"/>
      <c r="Z119" s="497"/>
      <c r="AA119" s="497"/>
      <c r="AB119" s="497"/>
      <c r="AC119" s="497"/>
      <c r="AD119" s="497"/>
      <c r="AE119" s="497"/>
      <c r="AF119" s="497"/>
      <c r="AG119" s="497"/>
      <c r="AH119" s="497"/>
      <c r="AI119" s="497"/>
      <c r="AJ119" s="497"/>
      <c r="AK119" s="497"/>
      <c r="AL119" s="497"/>
      <c r="AM119" s="497"/>
      <c r="AN119" s="497"/>
      <c r="AO119" s="497"/>
      <c r="AP119" s="497"/>
      <c r="AQ119" s="497"/>
      <c r="AR119" s="497"/>
      <c r="AS119" s="497"/>
      <c r="AT119" s="497"/>
      <c r="AU119" s="497"/>
      <c r="AV119" s="497"/>
      <c r="AW119" s="497"/>
      <c r="AX119" s="497"/>
      <c r="AY119" s="497"/>
      <c r="AZ119" s="497"/>
      <c r="BA119" s="497"/>
      <c r="BB119" s="497"/>
      <c r="BC119" s="497"/>
      <c r="BD119" s="497"/>
      <c r="BE119" s="497"/>
      <c r="BF119" s="497"/>
      <c r="BG119" s="497"/>
      <c r="BH119" s="497"/>
      <c r="BI119" s="497"/>
      <c r="BJ119" s="497"/>
      <c r="BK119" s="497"/>
      <c r="BL119" s="497"/>
      <c r="BM119" s="497"/>
      <c r="BN119" s="497"/>
      <c r="BO119" s="497"/>
      <c r="BP119" s="497"/>
      <c r="BQ119" s="497"/>
      <c r="BR119" s="497"/>
      <c r="BS119" s="497"/>
      <c r="BT119" s="497"/>
      <c r="BU119" s="497"/>
      <c r="BV119" s="497"/>
      <c r="BW119" s="497"/>
      <c r="BX119" s="497"/>
      <c r="BY119" s="497"/>
      <c r="BZ119" s="497"/>
      <c r="CA119" s="497"/>
      <c r="CB119" s="497"/>
      <c r="CC119" s="497"/>
      <c r="CD119" s="497"/>
      <c r="CE119" s="497"/>
      <c r="CF119" s="497"/>
      <c r="CG119" s="497"/>
      <c r="CH119" s="497"/>
      <c r="CI119" s="497"/>
      <c r="CJ119" s="497"/>
      <c r="CK119" s="497"/>
      <c r="CL119" s="497"/>
      <c r="CM119" s="497"/>
      <c r="CN119" s="497"/>
      <c r="CO119" s="497"/>
      <c r="CP119" s="497"/>
      <c r="CQ119" s="497"/>
      <c r="CR119" s="497"/>
      <c r="CS119" s="497"/>
      <c r="CT119" s="497"/>
      <c r="CU119" s="497"/>
      <c r="CV119" s="497"/>
      <c r="CW119" s="497"/>
      <c r="CX119" s="497"/>
      <c r="CY119" s="497"/>
      <c r="CZ119" s="497"/>
      <c r="DA119" s="497"/>
      <c r="DB119" s="497"/>
      <c r="DC119" s="497"/>
      <c r="DD119" s="497"/>
      <c r="DE119" s="497"/>
      <c r="DF119" s="497"/>
      <c r="DG119" s="497"/>
      <c r="DH119" s="497"/>
      <c r="DI119" s="497"/>
      <c r="DJ119" s="497"/>
      <c r="DK119" s="497"/>
      <c r="DL119" s="497"/>
    </row>
    <row r="120" customFormat="false" ht="15.75" hidden="false" customHeight="false" outlineLevel="0" collapsed="false">
      <c r="A120" s="407" t="s">
        <v>866</v>
      </c>
      <c r="B120" s="412" t="n">
        <v>50</v>
      </c>
      <c r="C120" s="418" t="n">
        <v>116</v>
      </c>
      <c r="D120" s="494"/>
      <c r="E120" s="484"/>
      <c r="F120" s="484"/>
      <c r="G120" s="72" t="n">
        <v>82.5632358040811</v>
      </c>
    </row>
    <row r="121" customFormat="false" ht="15.75" hidden="false" customHeight="false" outlineLevel="0" collapsed="false">
      <c r="A121" s="407" t="s">
        <v>867</v>
      </c>
      <c r="B121" s="413" t="n">
        <v>51</v>
      </c>
      <c r="C121" s="418" t="n">
        <v>117</v>
      </c>
      <c r="D121" s="494"/>
      <c r="E121" s="484"/>
      <c r="F121" s="484"/>
      <c r="G121" s="72" t="n">
        <v>394.41898107183</v>
      </c>
    </row>
    <row r="122" customFormat="false" ht="15.75" hidden="false" customHeight="false" outlineLevel="0" collapsed="false">
      <c r="A122" s="407" t="s">
        <v>868</v>
      </c>
      <c r="B122" s="499" t="n">
        <v>204</v>
      </c>
      <c r="C122" s="418" t="n">
        <v>118</v>
      </c>
      <c r="D122" s="494"/>
      <c r="E122" s="484"/>
      <c r="F122" s="484"/>
      <c r="G122" s="72" t="n">
        <v>3570.78030765636</v>
      </c>
      <c r="P122" s="497"/>
      <c r="Q122" s="497"/>
      <c r="R122" s="497"/>
      <c r="S122" s="497"/>
      <c r="T122" s="497"/>
      <c r="U122" s="497"/>
      <c r="V122" s="497"/>
      <c r="W122" s="497"/>
      <c r="X122" s="497"/>
      <c r="Y122" s="497"/>
      <c r="Z122" s="497"/>
      <c r="AA122" s="497"/>
      <c r="AB122" s="497"/>
      <c r="AC122" s="497"/>
      <c r="AD122" s="497"/>
      <c r="AE122" s="497"/>
      <c r="AF122" s="497"/>
      <c r="AG122" s="497"/>
      <c r="AH122" s="497"/>
      <c r="AI122" s="497"/>
      <c r="AJ122" s="497"/>
      <c r="AK122" s="497"/>
      <c r="AL122" s="497"/>
      <c r="AM122" s="497"/>
      <c r="AN122" s="497"/>
      <c r="AO122" s="497"/>
      <c r="AP122" s="497"/>
      <c r="AQ122" s="497"/>
      <c r="AR122" s="497"/>
      <c r="AS122" s="497"/>
      <c r="AT122" s="497"/>
      <c r="AU122" s="497"/>
      <c r="AV122" s="497"/>
      <c r="AW122" s="497"/>
      <c r="AX122" s="497"/>
      <c r="AY122" s="497"/>
      <c r="AZ122" s="497"/>
      <c r="BA122" s="497"/>
      <c r="BB122" s="497"/>
      <c r="BC122" s="497"/>
      <c r="BD122" s="497"/>
      <c r="BE122" s="497"/>
      <c r="BF122" s="497"/>
      <c r="BG122" s="497"/>
      <c r="BH122" s="497"/>
      <c r="BI122" s="497"/>
      <c r="BJ122" s="497"/>
      <c r="BK122" s="497"/>
      <c r="BL122" s="497"/>
      <c r="BM122" s="497"/>
      <c r="BN122" s="497"/>
      <c r="BO122" s="497"/>
      <c r="BP122" s="497"/>
      <c r="BQ122" s="497"/>
      <c r="BR122" s="497"/>
      <c r="BS122" s="497"/>
      <c r="BT122" s="497"/>
      <c r="BU122" s="497"/>
      <c r="BV122" s="497"/>
      <c r="BW122" s="497"/>
      <c r="BX122" s="497"/>
      <c r="BY122" s="497"/>
      <c r="BZ122" s="497"/>
      <c r="CA122" s="497"/>
      <c r="CB122" s="497"/>
      <c r="CC122" s="497"/>
      <c r="CD122" s="497"/>
      <c r="CE122" s="497"/>
      <c r="CF122" s="497"/>
      <c r="CG122" s="497"/>
      <c r="CH122" s="497"/>
      <c r="CI122" s="497"/>
      <c r="CJ122" s="497"/>
      <c r="CK122" s="497"/>
      <c r="CL122" s="497"/>
      <c r="CM122" s="497"/>
      <c r="CN122" s="497"/>
      <c r="CO122" s="497"/>
      <c r="CP122" s="497"/>
      <c r="CQ122" s="497"/>
      <c r="CR122" s="497"/>
      <c r="CS122" s="497"/>
      <c r="CT122" s="497"/>
      <c r="CU122" s="497"/>
      <c r="CV122" s="497"/>
      <c r="CW122" s="497"/>
      <c r="CX122" s="497"/>
      <c r="CY122" s="497"/>
      <c r="CZ122" s="497"/>
      <c r="DA122" s="497"/>
      <c r="DB122" s="497"/>
      <c r="DC122" s="497"/>
      <c r="DD122" s="497"/>
      <c r="DE122" s="497"/>
      <c r="DF122" s="497"/>
      <c r="DG122" s="497"/>
      <c r="DH122" s="497"/>
      <c r="DI122" s="497"/>
      <c r="DJ122" s="497"/>
      <c r="DK122" s="497"/>
      <c r="DL122" s="497"/>
    </row>
    <row r="123" customFormat="false" ht="15.75" hidden="false" customHeight="false" outlineLevel="0" collapsed="false">
      <c r="A123" s="407" t="s">
        <v>949</v>
      </c>
      <c r="B123" s="412" t="n">
        <v>25</v>
      </c>
      <c r="C123" s="413" t="n">
        <v>119</v>
      </c>
      <c r="D123" s="495" t="n">
        <v>10</v>
      </c>
      <c r="E123" s="484" t="n">
        <f aca="false">J123</f>
        <v>-100</v>
      </c>
      <c r="F123" s="484" t="n">
        <f aca="false">K123</f>
        <v>-100</v>
      </c>
      <c r="G123" s="72" t="n">
        <v>200</v>
      </c>
      <c r="J123" s="463" t="n">
        <f aca="false">(H123-G123)/G123*100</f>
        <v>-100</v>
      </c>
      <c r="K123" s="463" t="n">
        <f aca="false">(I123-G123)/G123*100</f>
        <v>-100</v>
      </c>
      <c r="P123" s="497"/>
      <c r="Q123" s="497"/>
      <c r="R123" s="497"/>
      <c r="S123" s="497"/>
      <c r="T123" s="497"/>
      <c r="U123" s="497"/>
      <c r="V123" s="497"/>
      <c r="W123" s="497"/>
      <c r="X123" s="497"/>
      <c r="Y123" s="497"/>
      <c r="Z123" s="497"/>
      <c r="AA123" s="497"/>
      <c r="AB123" s="497"/>
      <c r="AC123" s="497"/>
      <c r="AD123" s="497"/>
      <c r="AE123" s="497"/>
      <c r="AF123" s="497"/>
      <c r="AG123" s="497"/>
      <c r="AH123" s="497"/>
      <c r="AI123" s="497"/>
      <c r="AJ123" s="497"/>
      <c r="AK123" s="497"/>
      <c r="AL123" s="497"/>
      <c r="AM123" s="497"/>
      <c r="AN123" s="497"/>
      <c r="AO123" s="497"/>
      <c r="AP123" s="497"/>
      <c r="AQ123" s="497"/>
      <c r="AR123" s="497"/>
      <c r="AS123" s="497"/>
      <c r="AT123" s="497"/>
      <c r="AU123" s="497"/>
      <c r="AV123" s="497"/>
      <c r="AW123" s="497"/>
      <c r="AX123" s="497"/>
      <c r="AY123" s="497"/>
      <c r="AZ123" s="497"/>
      <c r="BA123" s="497"/>
      <c r="BB123" s="497"/>
      <c r="BC123" s="497"/>
      <c r="BD123" s="497"/>
      <c r="BE123" s="497"/>
      <c r="BF123" s="497"/>
      <c r="BG123" s="497"/>
      <c r="BH123" s="497"/>
      <c r="BI123" s="497"/>
      <c r="BJ123" s="497"/>
      <c r="BK123" s="497"/>
      <c r="BL123" s="497"/>
      <c r="BM123" s="497"/>
      <c r="BN123" s="497"/>
      <c r="BO123" s="497"/>
      <c r="BP123" s="497"/>
      <c r="BQ123" s="497"/>
      <c r="BR123" s="497"/>
      <c r="BS123" s="497"/>
      <c r="BT123" s="497"/>
      <c r="BU123" s="497"/>
      <c r="BV123" s="497"/>
      <c r="BW123" s="497"/>
      <c r="BX123" s="497"/>
      <c r="BY123" s="497"/>
      <c r="BZ123" s="497"/>
      <c r="CA123" s="497"/>
      <c r="CB123" s="497"/>
      <c r="CC123" s="497"/>
      <c r="CD123" s="497"/>
      <c r="CE123" s="497"/>
      <c r="CF123" s="497"/>
      <c r="CG123" s="497"/>
      <c r="CH123" s="497"/>
      <c r="CI123" s="497"/>
      <c r="CJ123" s="497"/>
      <c r="CK123" s="497"/>
      <c r="CL123" s="497"/>
      <c r="CM123" s="497"/>
      <c r="CN123" s="497"/>
      <c r="CO123" s="497"/>
      <c r="CP123" s="497"/>
      <c r="CQ123" s="497"/>
      <c r="CR123" s="497"/>
      <c r="CS123" s="497"/>
      <c r="CT123" s="497"/>
      <c r="CU123" s="497"/>
      <c r="CV123" s="497"/>
      <c r="CW123" s="497"/>
      <c r="CX123" s="497"/>
      <c r="CY123" s="497"/>
      <c r="CZ123" s="497"/>
      <c r="DA123" s="497"/>
      <c r="DB123" s="497"/>
      <c r="DC123" s="497"/>
      <c r="DD123" s="497"/>
      <c r="DE123" s="497"/>
      <c r="DF123" s="497"/>
      <c r="DG123" s="497"/>
      <c r="DH123" s="497"/>
      <c r="DI123" s="497"/>
      <c r="DJ123" s="497"/>
      <c r="DK123" s="497"/>
      <c r="DL123" s="497"/>
    </row>
    <row r="124" customFormat="false" ht="15.75" hidden="false" customHeight="false" outlineLevel="0" collapsed="false">
      <c r="A124" s="407" t="s">
        <v>823</v>
      </c>
      <c r="B124" s="413" t="n">
        <v>26</v>
      </c>
      <c r="C124" s="413" t="n">
        <v>120</v>
      </c>
      <c r="D124" s="495" t="n">
        <v>10</v>
      </c>
      <c r="E124" s="484" t="n">
        <f aca="false">J124</f>
        <v>-100</v>
      </c>
      <c r="F124" s="484" t="n">
        <f aca="false">K124</f>
        <v>-100</v>
      </c>
      <c r="G124" s="72" t="n">
        <v>20</v>
      </c>
      <c r="J124" s="463" t="n">
        <f aca="false">(H124-G124)/G124*100</f>
        <v>-100</v>
      </c>
      <c r="K124" s="463" t="n">
        <f aca="false">(I124-G124)/G124*100</f>
        <v>-100</v>
      </c>
    </row>
    <row r="125" customFormat="false" ht="15.75" hidden="false" customHeight="false" outlineLevel="0" collapsed="false">
      <c r="A125" s="407" t="s">
        <v>825</v>
      </c>
      <c r="B125" s="413" t="n">
        <v>27</v>
      </c>
      <c r="C125" s="413" t="n">
        <v>121</v>
      </c>
      <c r="D125" s="500"/>
      <c r="E125" s="484"/>
      <c r="F125" s="484"/>
      <c r="G125" s="72" t="n">
        <v>0.006</v>
      </c>
    </row>
    <row r="126" customFormat="false" ht="15.75" hidden="false" customHeight="false" outlineLevel="0" collapsed="false">
      <c r="A126" s="407" t="s">
        <v>826</v>
      </c>
      <c r="B126" s="413" t="n">
        <v>28</v>
      </c>
      <c r="C126" s="412" t="n">
        <v>122</v>
      </c>
      <c r="D126" s="496"/>
      <c r="E126" s="484"/>
      <c r="F126" s="484"/>
      <c r="G126" s="72" t="n">
        <v>7</v>
      </c>
    </row>
    <row r="127" customFormat="false" ht="15.75" hidden="false" customHeight="false" outlineLevel="0" collapsed="false">
      <c r="A127" s="407" t="s">
        <v>828</v>
      </c>
      <c r="B127" s="413" t="n">
        <v>29</v>
      </c>
      <c r="C127" s="413" t="n">
        <v>123</v>
      </c>
      <c r="D127" s="500"/>
      <c r="E127" s="484"/>
      <c r="F127" s="484"/>
      <c r="G127" s="72" t="n">
        <v>25</v>
      </c>
    </row>
    <row r="128" customFormat="false" ht="15.75" hidden="false" customHeight="false" outlineLevel="0" collapsed="false">
      <c r="A128" s="407" t="s">
        <v>829</v>
      </c>
      <c r="B128" s="413" t="n">
        <v>119</v>
      </c>
      <c r="C128" s="413" t="n">
        <v>124</v>
      </c>
      <c r="D128" s="500"/>
      <c r="E128" s="484"/>
      <c r="F128" s="484"/>
      <c r="G128" s="72" t="n">
        <v>17</v>
      </c>
    </row>
    <row r="129" customFormat="false" ht="15.75" hidden="false" customHeight="false" outlineLevel="0" collapsed="false">
      <c r="A129" s="407" t="s">
        <v>831</v>
      </c>
      <c r="B129" s="413" t="n">
        <v>120</v>
      </c>
      <c r="C129" s="413" t="n">
        <v>125</v>
      </c>
      <c r="D129" s="495" t="n">
        <v>10</v>
      </c>
      <c r="E129" s="484" t="n">
        <f aca="false">J129</f>
        <v>-100</v>
      </c>
      <c r="F129" s="484" t="n">
        <f aca="false">K129</f>
        <v>-100</v>
      </c>
      <c r="G129" s="72" t="n">
        <v>3</v>
      </c>
      <c r="J129" s="463" t="n">
        <f aca="false">(H129-G129)/G129*100</f>
        <v>-100</v>
      </c>
      <c r="K129" s="463" t="n">
        <f aca="false">(I129-G129)/G129*100</f>
        <v>-100</v>
      </c>
    </row>
    <row r="130" customFormat="false" ht="15.75" hidden="false" customHeight="false" outlineLevel="0" collapsed="false">
      <c r="A130" s="407" t="s">
        <v>832</v>
      </c>
      <c r="B130" s="412" t="n">
        <v>8</v>
      </c>
      <c r="C130" s="413" t="n">
        <v>126</v>
      </c>
      <c r="D130" s="495" t="n">
        <v>10</v>
      </c>
      <c r="E130" s="484" t="n">
        <f aca="false">J130</f>
        <v>-100</v>
      </c>
      <c r="F130" s="484" t="n">
        <f aca="false">K130</f>
        <v>-100</v>
      </c>
      <c r="G130" s="72" t="n">
        <v>37.5</v>
      </c>
      <c r="J130" s="463" t="n">
        <f aca="false">(H130-G130)/G130*100</f>
        <v>-100</v>
      </c>
      <c r="K130" s="463" t="n">
        <f aca="false">(I130-G130)/G130*100</f>
        <v>-100</v>
      </c>
    </row>
    <row r="131" customFormat="false" ht="15.75" hidden="false" customHeight="false" outlineLevel="0" collapsed="false">
      <c r="A131" s="407" t="s">
        <v>833</v>
      </c>
      <c r="B131" s="413" t="n">
        <v>121</v>
      </c>
      <c r="C131" s="413" t="n">
        <v>127</v>
      </c>
      <c r="D131" s="495" t="n">
        <v>10</v>
      </c>
      <c r="E131" s="484" t="n">
        <f aca="false">J131</f>
        <v>-100</v>
      </c>
      <c r="F131" s="484" t="n">
        <f aca="false">K131</f>
        <v>-100</v>
      </c>
      <c r="G131" s="72" t="n">
        <v>1.2</v>
      </c>
      <c r="J131" s="463" t="n">
        <f aca="false">(H131-G131)/G131*100</f>
        <v>-100</v>
      </c>
      <c r="K131" s="463" t="n">
        <f aca="false">(I131-G131)/G131*100</f>
        <v>-100</v>
      </c>
      <c r="P131" s="497"/>
      <c r="Q131" s="497"/>
      <c r="R131" s="497"/>
      <c r="S131" s="497"/>
      <c r="T131" s="497"/>
      <c r="U131" s="497"/>
      <c r="V131" s="497"/>
      <c r="W131" s="497"/>
      <c r="X131" s="497"/>
      <c r="Y131" s="497"/>
      <c r="Z131" s="497"/>
      <c r="AA131" s="497"/>
      <c r="AB131" s="497"/>
      <c r="AC131" s="497"/>
      <c r="AD131" s="497"/>
      <c r="AE131" s="497"/>
      <c r="AF131" s="497"/>
      <c r="AG131" s="497"/>
      <c r="AH131" s="497"/>
      <c r="AI131" s="497"/>
      <c r="AJ131" s="497"/>
      <c r="AK131" s="497"/>
      <c r="AL131" s="497"/>
      <c r="AM131" s="497"/>
      <c r="AN131" s="497"/>
      <c r="AO131" s="497"/>
      <c r="AP131" s="497"/>
      <c r="AQ131" s="497"/>
      <c r="AR131" s="497"/>
      <c r="AS131" s="497"/>
      <c r="AT131" s="497"/>
      <c r="AU131" s="497"/>
      <c r="AV131" s="497"/>
      <c r="AW131" s="497"/>
      <c r="AX131" s="497"/>
      <c r="AY131" s="497"/>
      <c r="AZ131" s="497"/>
      <c r="BA131" s="497"/>
      <c r="BB131" s="497"/>
      <c r="BC131" s="497"/>
      <c r="BD131" s="497"/>
      <c r="BE131" s="497"/>
      <c r="BF131" s="497"/>
      <c r="BG131" s="497"/>
      <c r="BH131" s="497"/>
      <c r="BI131" s="497"/>
      <c r="BJ131" s="497"/>
      <c r="BK131" s="497"/>
      <c r="BL131" s="497"/>
      <c r="BM131" s="497"/>
      <c r="BN131" s="497"/>
      <c r="BO131" s="497"/>
      <c r="BP131" s="497"/>
      <c r="BQ131" s="497"/>
      <c r="BR131" s="497"/>
      <c r="BS131" s="497"/>
      <c r="BT131" s="497"/>
      <c r="BU131" s="497"/>
      <c r="BV131" s="497"/>
      <c r="BW131" s="497"/>
      <c r="BX131" s="497"/>
      <c r="BY131" s="497"/>
      <c r="BZ131" s="497"/>
      <c r="CA131" s="497"/>
      <c r="CB131" s="497"/>
      <c r="CC131" s="497"/>
      <c r="CD131" s="497"/>
      <c r="CE131" s="497"/>
      <c r="CF131" s="497"/>
      <c r="CG131" s="497"/>
      <c r="CH131" s="497"/>
      <c r="CI131" s="497"/>
      <c r="CJ131" s="497"/>
      <c r="CK131" s="497"/>
      <c r="CL131" s="497"/>
      <c r="CM131" s="497"/>
      <c r="CN131" s="497"/>
      <c r="CO131" s="497"/>
      <c r="CP131" s="497"/>
      <c r="CQ131" s="497"/>
      <c r="CR131" s="497"/>
      <c r="CS131" s="497"/>
      <c r="CT131" s="497"/>
      <c r="CU131" s="497"/>
      <c r="CV131" s="497"/>
      <c r="CW131" s="497"/>
      <c r="CX131" s="497"/>
      <c r="CY131" s="497"/>
      <c r="CZ131" s="497"/>
      <c r="DA131" s="497"/>
      <c r="DB131" s="497"/>
      <c r="DC131" s="497"/>
      <c r="DD131" s="497"/>
      <c r="DE131" s="497"/>
      <c r="DF131" s="497"/>
      <c r="DG131" s="497"/>
      <c r="DH131" s="497"/>
      <c r="DI131" s="497"/>
      <c r="DJ131" s="497"/>
      <c r="DK131" s="497"/>
      <c r="DL131" s="497"/>
    </row>
    <row r="132" customFormat="false" ht="15.75" hidden="false" customHeight="false" outlineLevel="0" collapsed="false">
      <c r="A132" s="407" t="s">
        <v>834</v>
      </c>
      <c r="B132" s="412" t="n">
        <v>122</v>
      </c>
      <c r="C132" s="413" t="n">
        <v>128</v>
      </c>
      <c r="D132" s="495" t="n">
        <v>10</v>
      </c>
      <c r="E132" s="484" t="n">
        <f aca="false">J132</f>
        <v>-100</v>
      </c>
      <c r="F132" s="484" t="n">
        <f aca="false">K132</f>
        <v>-100</v>
      </c>
      <c r="G132" s="72" t="n">
        <v>4.8</v>
      </c>
      <c r="J132" s="463" t="n">
        <f aca="false">(H132-G132)/G132*100</f>
        <v>-100</v>
      </c>
      <c r="K132" s="463" t="n">
        <f aca="false">(I132-G132)/G132*100</f>
        <v>-100</v>
      </c>
    </row>
    <row r="133" customFormat="false" ht="15.75" hidden="false" customHeight="false" outlineLevel="0" collapsed="false">
      <c r="A133" s="407" t="s">
        <v>836</v>
      </c>
      <c r="B133" s="412" t="n">
        <v>198</v>
      </c>
      <c r="C133" s="413" t="n">
        <v>129</v>
      </c>
      <c r="D133" s="495" t="n">
        <v>10</v>
      </c>
      <c r="E133" s="484" t="n">
        <f aca="false">J133</f>
        <v>-100</v>
      </c>
      <c r="F133" s="484" t="n">
        <f aca="false">K133</f>
        <v>-100</v>
      </c>
      <c r="G133" s="72" t="n">
        <v>3</v>
      </c>
      <c r="J133" s="463" t="n">
        <f aca="false">(H133-G133)/G133*100</f>
        <v>-100</v>
      </c>
      <c r="K133" s="463" t="n">
        <f aca="false">(I133-G133)/G133*100</f>
        <v>-100</v>
      </c>
    </row>
    <row r="134" customFormat="false" ht="15.75" hidden="false" customHeight="false" outlineLevel="0" collapsed="false">
      <c r="A134" s="407" t="s">
        <v>837</v>
      </c>
      <c r="B134" s="413" t="n">
        <v>123</v>
      </c>
      <c r="C134" s="413" t="n">
        <v>130</v>
      </c>
      <c r="D134" s="495" t="n">
        <v>10</v>
      </c>
      <c r="E134" s="484" t="n">
        <f aca="false">J134</f>
        <v>-100</v>
      </c>
      <c r="F134" s="484" t="n">
        <f aca="false">K134</f>
        <v>-100</v>
      </c>
      <c r="G134" s="72" t="n">
        <v>3</v>
      </c>
      <c r="J134" s="463" t="n">
        <f aca="false">(H134-G134)/G134*100</f>
        <v>-100</v>
      </c>
      <c r="K134" s="463" t="n">
        <f aca="false">(I134-G134)/G134*100</f>
        <v>-100</v>
      </c>
    </row>
    <row r="135" customFormat="false" ht="15.75" hidden="false" customHeight="false" outlineLevel="0" collapsed="false">
      <c r="A135" s="407" t="s">
        <v>838</v>
      </c>
      <c r="B135" s="413" t="n">
        <v>124</v>
      </c>
      <c r="C135" s="413" t="n">
        <v>131</v>
      </c>
      <c r="D135" s="495" t="n">
        <v>10</v>
      </c>
      <c r="E135" s="484" t="n">
        <f aca="false">J135</f>
        <v>-100</v>
      </c>
      <c r="F135" s="484" t="n">
        <f aca="false">K135</f>
        <v>-100</v>
      </c>
      <c r="G135" s="72" t="n">
        <v>1</v>
      </c>
      <c r="J135" s="463" t="n">
        <f aca="false">(H135-G135)/G135*100</f>
        <v>-100</v>
      </c>
      <c r="K135" s="463" t="n">
        <f aca="false">(I135-G135)/G135*100</f>
        <v>-100</v>
      </c>
      <c r="P135" s="497"/>
      <c r="Q135" s="497"/>
      <c r="R135" s="497"/>
      <c r="S135" s="497"/>
      <c r="T135" s="497"/>
      <c r="U135" s="497"/>
      <c r="V135" s="497"/>
      <c r="W135" s="497"/>
      <c r="X135" s="497"/>
      <c r="Y135" s="497"/>
      <c r="Z135" s="497"/>
      <c r="AA135" s="497"/>
      <c r="AB135" s="497"/>
      <c r="AC135" s="497"/>
      <c r="AD135" s="497"/>
      <c r="AE135" s="497"/>
      <c r="AF135" s="497"/>
      <c r="AG135" s="497"/>
      <c r="AH135" s="497"/>
      <c r="AI135" s="497"/>
      <c r="AJ135" s="497"/>
      <c r="AK135" s="497"/>
      <c r="AL135" s="497"/>
      <c r="AM135" s="497"/>
      <c r="AN135" s="497"/>
      <c r="AO135" s="497"/>
      <c r="AP135" s="497"/>
      <c r="AQ135" s="497"/>
      <c r="AR135" s="497"/>
      <c r="AS135" s="497"/>
      <c r="AT135" s="497"/>
      <c r="AU135" s="497"/>
      <c r="AV135" s="497"/>
      <c r="AW135" s="497"/>
      <c r="AX135" s="497"/>
      <c r="AY135" s="497"/>
      <c r="AZ135" s="497"/>
      <c r="BA135" s="497"/>
      <c r="BB135" s="497"/>
      <c r="BC135" s="497"/>
      <c r="BD135" s="497"/>
      <c r="BE135" s="497"/>
      <c r="BF135" s="497"/>
      <c r="BG135" s="497"/>
      <c r="BH135" s="497"/>
      <c r="BI135" s="497"/>
      <c r="BJ135" s="497"/>
      <c r="BK135" s="497"/>
      <c r="BL135" s="497"/>
      <c r="BM135" s="497"/>
      <c r="BN135" s="497"/>
      <c r="BO135" s="497"/>
      <c r="BP135" s="497"/>
      <c r="BQ135" s="497"/>
      <c r="BR135" s="497"/>
      <c r="BS135" s="497"/>
      <c r="BT135" s="497"/>
      <c r="BU135" s="497"/>
      <c r="BV135" s="497"/>
      <c r="BW135" s="497"/>
      <c r="BX135" s="497"/>
      <c r="BY135" s="497"/>
      <c r="BZ135" s="497"/>
      <c r="CA135" s="497"/>
      <c r="CB135" s="497"/>
      <c r="CC135" s="497"/>
      <c r="CD135" s="497"/>
      <c r="CE135" s="497"/>
      <c r="CF135" s="497"/>
      <c r="CG135" s="497"/>
      <c r="CH135" s="497"/>
      <c r="CI135" s="497"/>
      <c r="CJ135" s="497"/>
      <c r="CK135" s="497"/>
      <c r="CL135" s="497"/>
      <c r="CM135" s="497"/>
      <c r="CN135" s="497"/>
      <c r="CO135" s="497"/>
      <c r="CP135" s="497"/>
      <c r="CQ135" s="497"/>
      <c r="CR135" s="497"/>
      <c r="CS135" s="497"/>
      <c r="CT135" s="497"/>
      <c r="CU135" s="497"/>
      <c r="CV135" s="497"/>
      <c r="CW135" s="497"/>
      <c r="CX135" s="497"/>
      <c r="CY135" s="497"/>
      <c r="CZ135" s="497"/>
      <c r="DA135" s="497"/>
      <c r="DB135" s="497"/>
      <c r="DC135" s="497"/>
      <c r="DD135" s="497"/>
      <c r="DE135" s="497"/>
      <c r="DF135" s="497"/>
      <c r="DG135" s="497"/>
      <c r="DH135" s="497"/>
      <c r="DI135" s="497"/>
      <c r="DJ135" s="497"/>
      <c r="DK135" s="497"/>
      <c r="DL135" s="497"/>
    </row>
    <row r="136" customFormat="false" ht="15.75" hidden="false" customHeight="false" outlineLevel="0" collapsed="false">
      <c r="A136" s="407" t="s">
        <v>839</v>
      </c>
      <c r="B136" s="412" t="n">
        <v>22</v>
      </c>
      <c r="C136" s="413" t="n">
        <v>132</v>
      </c>
      <c r="D136" s="500"/>
      <c r="E136" s="484"/>
      <c r="F136" s="484"/>
      <c r="G136" s="72" t="n">
        <v>30</v>
      </c>
      <c r="P136" s="497"/>
      <c r="Q136" s="497"/>
      <c r="R136" s="497"/>
      <c r="S136" s="497"/>
      <c r="T136" s="497"/>
      <c r="U136" s="497"/>
      <c r="V136" s="497"/>
      <c r="W136" s="497"/>
      <c r="X136" s="497"/>
      <c r="Y136" s="497"/>
      <c r="Z136" s="497"/>
      <c r="AA136" s="497"/>
      <c r="AB136" s="497"/>
      <c r="AC136" s="497"/>
      <c r="AD136" s="497"/>
      <c r="AE136" s="497"/>
      <c r="AF136" s="497"/>
      <c r="AG136" s="497"/>
      <c r="AH136" s="497"/>
      <c r="AI136" s="497"/>
      <c r="AJ136" s="497"/>
      <c r="AK136" s="497"/>
      <c r="AL136" s="497"/>
      <c r="AM136" s="497"/>
      <c r="AN136" s="497"/>
      <c r="AO136" s="497"/>
      <c r="AP136" s="497"/>
      <c r="AQ136" s="497"/>
      <c r="AR136" s="497"/>
      <c r="AS136" s="497"/>
      <c r="AT136" s="497"/>
      <c r="AU136" s="497"/>
      <c r="AV136" s="497"/>
      <c r="AW136" s="497"/>
      <c r="AX136" s="497"/>
      <c r="AY136" s="497"/>
      <c r="AZ136" s="497"/>
      <c r="BA136" s="497"/>
      <c r="BB136" s="497"/>
      <c r="BC136" s="497"/>
      <c r="BD136" s="497"/>
      <c r="BE136" s="497"/>
      <c r="BF136" s="497"/>
      <c r="BG136" s="497"/>
      <c r="BH136" s="497"/>
      <c r="BI136" s="497"/>
      <c r="BJ136" s="497"/>
      <c r="BK136" s="497"/>
      <c r="BL136" s="497"/>
      <c r="BM136" s="497"/>
      <c r="BN136" s="497"/>
      <c r="BO136" s="497"/>
      <c r="BP136" s="497"/>
      <c r="BQ136" s="497"/>
      <c r="BR136" s="497"/>
      <c r="BS136" s="497"/>
      <c r="BT136" s="497"/>
      <c r="BU136" s="497"/>
      <c r="BV136" s="497"/>
      <c r="BW136" s="497"/>
      <c r="BX136" s="497"/>
      <c r="BY136" s="497"/>
      <c r="BZ136" s="497"/>
      <c r="CA136" s="497"/>
      <c r="CB136" s="497"/>
      <c r="CC136" s="497"/>
      <c r="CD136" s="497"/>
      <c r="CE136" s="497"/>
      <c r="CF136" s="497"/>
      <c r="CG136" s="497"/>
      <c r="CH136" s="497"/>
      <c r="CI136" s="497"/>
      <c r="CJ136" s="497"/>
      <c r="CK136" s="497"/>
      <c r="CL136" s="497"/>
      <c r="CM136" s="497"/>
      <c r="CN136" s="497"/>
      <c r="CO136" s="497"/>
      <c r="CP136" s="497"/>
      <c r="CQ136" s="497"/>
      <c r="CR136" s="497"/>
      <c r="CS136" s="497"/>
      <c r="CT136" s="497"/>
      <c r="CU136" s="497"/>
      <c r="CV136" s="497"/>
      <c r="CW136" s="497"/>
      <c r="CX136" s="497"/>
      <c r="CY136" s="497"/>
      <c r="CZ136" s="497"/>
      <c r="DA136" s="497"/>
      <c r="DB136" s="497"/>
      <c r="DC136" s="497"/>
      <c r="DD136" s="497"/>
      <c r="DE136" s="497"/>
      <c r="DF136" s="497"/>
      <c r="DG136" s="497"/>
      <c r="DH136" s="497"/>
      <c r="DI136" s="497"/>
      <c r="DJ136" s="497"/>
      <c r="DK136" s="497"/>
      <c r="DL136" s="497"/>
    </row>
    <row r="137" customFormat="false" ht="15.75" hidden="false" customHeight="false" outlineLevel="0" collapsed="false">
      <c r="A137" s="407" t="s">
        <v>906</v>
      </c>
      <c r="B137" s="413" t="n">
        <v>125</v>
      </c>
      <c r="C137" s="413" t="n">
        <v>133</v>
      </c>
      <c r="D137" s="500"/>
      <c r="E137" s="484"/>
      <c r="F137" s="484"/>
      <c r="G137" s="72" t="n">
        <v>0</v>
      </c>
      <c r="P137" s="497"/>
      <c r="Q137" s="497"/>
      <c r="R137" s="497"/>
      <c r="S137" s="497"/>
      <c r="T137" s="497"/>
      <c r="U137" s="497"/>
      <c r="V137" s="497"/>
      <c r="W137" s="497"/>
      <c r="X137" s="497"/>
      <c r="Y137" s="497"/>
      <c r="Z137" s="497"/>
      <c r="AA137" s="497"/>
      <c r="AB137" s="497"/>
      <c r="AC137" s="497"/>
      <c r="AD137" s="497"/>
      <c r="AE137" s="497"/>
      <c r="AF137" s="497"/>
      <c r="AG137" s="497"/>
      <c r="AH137" s="497"/>
      <c r="AI137" s="497"/>
      <c r="AJ137" s="497"/>
      <c r="AK137" s="497"/>
      <c r="AL137" s="497"/>
      <c r="AM137" s="497"/>
      <c r="AN137" s="497"/>
      <c r="AO137" s="497"/>
      <c r="AP137" s="497"/>
      <c r="AQ137" s="497"/>
      <c r="AR137" s="497"/>
      <c r="AS137" s="497"/>
      <c r="AT137" s="497"/>
      <c r="AU137" s="497"/>
      <c r="AV137" s="497"/>
      <c r="AW137" s="497"/>
      <c r="AX137" s="497"/>
      <c r="AY137" s="497"/>
      <c r="AZ137" s="497"/>
      <c r="BA137" s="497"/>
      <c r="BB137" s="497"/>
      <c r="BC137" s="497"/>
      <c r="BD137" s="497"/>
      <c r="BE137" s="497"/>
      <c r="BF137" s="497"/>
      <c r="BG137" s="497"/>
      <c r="BH137" s="497"/>
      <c r="BI137" s="497"/>
      <c r="BJ137" s="497"/>
      <c r="BK137" s="497"/>
      <c r="BL137" s="497"/>
      <c r="BM137" s="497"/>
      <c r="BN137" s="497"/>
      <c r="BO137" s="497"/>
      <c r="BP137" s="497"/>
      <c r="BQ137" s="497"/>
      <c r="BR137" s="497"/>
      <c r="BS137" s="497"/>
      <c r="BT137" s="497"/>
      <c r="BU137" s="497"/>
      <c r="BV137" s="497"/>
      <c r="BW137" s="497"/>
      <c r="BX137" s="497"/>
      <c r="BY137" s="497"/>
      <c r="BZ137" s="497"/>
      <c r="CA137" s="497"/>
      <c r="CB137" s="497"/>
      <c r="CC137" s="497"/>
      <c r="CD137" s="497"/>
      <c r="CE137" s="497"/>
      <c r="CF137" s="497"/>
      <c r="CG137" s="497"/>
      <c r="CH137" s="497"/>
      <c r="CI137" s="497"/>
      <c r="CJ137" s="497"/>
      <c r="CK137" s="497"/>
      <c r="CL137" s="497"/>
      <c r="CM137" s="497"/>
      <c r="CN137" s="497"/>
      <c r="CO137" s="497"/>
      <c r="CP137" s="497"/>
      <c r="CQ137" s="497"/>
      <c r="CR137" s="497"/>
      <c r="CS137" s="497"/>
      <c r="CT137" s="497"/>
      <c r="CU137" s="497"/>
      <c r="CV137" s="497"/>
      <c r="CW137" s="497"/>
      <c r="CX137" s="497"/>
      <c r="CY137" s="497"/>
      <c r="CZ137" s="497"/>
      <c r="DA137" s="497"/>
      <c r="DB137" s="497"/>
      <c r="DC137" s="497"/>
      <c r="DD137" s="497"/>
      <c r="DE137" s="497"/>
      <c r="DF137" s="497"/>
      <c r="DG137" s="497"/>
      <c r="DH137" s="497"/>
      <c r="DI137" s="497"/>
      <c r="DJ137" s="497"/>
      <c r="DK137" s="497"/>
      <c r="DL137" s="497"/>
    </row>
    <row r="138" customFormat="false" ht="15.75" hidden="false" customHeight="false" outlineLevel="0" collapsed="false">
      <c r="A138" s="407" t="s">
        <v>907</v>
      </c>
      <c r="B138" s="413" t="n">
        <v>126</v>
      </c>
      <c r="C138" s="413" t="n">
        <v>134</v>
      </c>
      <c r="D138" s="500"/>
      <c r="E138" s="484"/>
      <c r="F138" s="484"/>
      <c r="G138" s="72" t="n">
        <v>0.9</v>
      </c>
    </row>
    <row r="139" customFormat="false" ht="15.75" hidden="false" customHeight="false" outlineLevel="0" collapsed="false">
      <c r="A139" s="407" t="s">
        <v>899</v>
      </c>
      <c r="B139" s="413" t="n">
        <v>127</v>
      </c>
      <c r="C139" s="412" t="n">
        <v>135</v>
      </c>
      <c r="D139" s="496"/>
      <c r="E139" s="484"/>
      <c r="F139" s="484"/>
      <c r="G139" s="72" t="n">
        <v>0.1</v>
      </c>
    </row>
    <row r="140" customFormat="false" ht="15.75" hidden="false" customHeight="false" outlineLevel="0" collapsed="false">
      <c r="A140" s="407" t="s">
        <v>900</v>
      </c>
      <c r="B140" s="413" t="n">
        <v>128</v>
      </c>
      <c r="C140" s="412" t="n">
        <v>136</v>
      </c>
      <c r="D140" s="496"/>
      <c r="E140" s="484"/>
      <c r="F140" s="484"/>
      <c r="G140" s="72" t="n">
        <v>0.1</v>
      </c>
    </row>
    <row r="141" customFormat="false" ht="15.75" hidden="false" customHeight="false" outlineLevel="0" collapsed="false">
      <c r="A141" s="407" t="s">
        <v>901</v>
      </c>
      <c r="B141" s="413" t="n">
        <v>129</v>
      </c>
      <c r="C141" s="412" t="n">
        <v>137</v>
      </c>
      <c r="D141" s="496"/>
      <c r="E141" s="484"/>
      <c r="F141" s="484"/>
      <c r="G141" s="72" t="n">
        <v>0.1</v>
      </c>
    </row>
    <row r="142" customFormat="false" ht="15.75" hidden="false" customHeight="false" outlineLevel="0" collapsed="false">
      <c r="A142" s="407" t="s">
        <v>902</v>
      </c>
      <c r="B142" s="413" t="n">
        <v>130</v>
      </c>
      <c r="C142" s="412" t="n">
        <v>138</v>
      </c>
      <c r="D142" s="496"/>
      <c r="E142" s="484"/>
      <c r="F142" s="484"/>
      <c r="G142" s="72" t="n">
        <v>0.1</v>
      </c>
    </row>
    <row r="143" customFormat="false" ht="15.75" hidden="false" customHeight="false" outlineLevel="0" collapsed="false">
      <c r="A143" s="407" t="s">
        <v>733</v>
      </c>
      <c r="B143" s="413" t="n">
        <v>131</v>
      </c>
      <c r="C143" s="413" t="n">
        <v>139</v>
      </c>
      <c r="D143" s="500"/>
      <c r="E143" s="484"/>
      <c r="F143" s="484"/>
      <c r="G143" s="72" t="n">
        <v>1.1195</v>
      </c>
    </row>
    <row r="144" customFormat="false" ht="15.75" hidden="false" customHeight="false" outlineLevel="0" collapsed="false">
      <c r="A144" s="407" t="s">
        <v>734</v>
      </c>
      <c r="B144" s="413" t="n">
        <v>132</v>
      </c>
      <c r="C144" s="413" t="n">
        <v>140</v>
      </c>
      <c r="D144" s="500"/>
      <c r="E144" s="484"/>
      <c r="F144" s="484"/>
      <c r="G144" s="72" t="n">
        <v>1.3228756555323</v>
      </c>
    </row>
    <row r="145" customFormat="false" ht="15.75" hidden="false" customHeight="false" outlineLevel="0" collapsed="false">
      <c r="A145" s="407" t="s">
        <v>735</v>
      </c>
      <c r="B145" s="413" t="n">
        <v>80</v>
      </c>
      <c r="C145" s="412" t="n">
        <v>141</v>
      </c>
      <c r="D145" s="496"/>
      <c r="E145" s="484"/>
      <c r="F145" s="484"/>
      <c r="G145" s="72" t="n">
        <v>2.5</v>
      </c>
    </row>
    <row r="146" customFormat="false" ht="15.75" hidden="false" customHeight="false" outlineLevel="0" collapsed="false">
      <c r="A146" s="407" t="s">
        <v>736</v>
      </c>
      <c r="B146" s="413" t="n">
        <v>81</v>
      </c>
      <c r="C146" s="412" t="n">
        <v>142</v>
      </c>
      <c r="D146" s="496"/>
      <c r="E146" s="484"/>
      <c r="F146" s="484"/>
      <c r="G146" s="72" t="n">
        <v>0.4</v>
      </c>
    </row>
    <row r="147" customFormat="false" ht="15.75" hidden="false" customHeight="false" outlineLevel="0" collapsed="false">
      <c r="A147" s="407" t="s">
        <v>737</v>
      </c>
      <c r="B147" s="412" t="n">
        <v>82</v>
      </c>
      <c r="C147" s="412" t="n">
        <v>143</v>
      </c>
      <c r="D147" s="496"/>
      <c r="E147" s="484"/>
      <c r="F147" s="484"/>
      <c r="G147" s="72" t="n">
        <v>0.1</v>
      </c>
    </row>
    <row r="148" customFormat="false" ht="15.75" hidden="false" customHeight="false" outlineLevel="0" collapsed="false">
      <c r="A148" s="407" t="s">
        <v>738</v>
      </c>
      <c r="B148" s="413" t="n">
        <v>83</v>
      </c>
      <c r="C148" s="412" t="n">
        <v>144</v>
      </c>
      <c r="D148" s="496"/>
      <c r="E148" s="484"/>
      <c r="F148" s="484"/>
      <c r="G148" s="72" t="n">
        <v>0</v>
      </c>
      <c r="P148" s="497"/>
      <c r="Q148" s="497"/>
      <c r="R148" s="497"/>
      <c r="S148" s="497"/>
      <c r="T148" s="497"/>
      <c r="U148" s="497"/>
      <c r="V148" s="497"/>
      <c r="W148" s="497"/>
      <c r="X148" s="497"/>
      <c r="Y148" s="497"/>
      <c r="Z148" s="497"/>
      <c r="AA148" s="497"/>
      <c r="AB148" s="497"/>
      <c r="AC148" s="497"/>
      <c r="AD148" s="497"/>
      <c r="AE148" s="497"/>
      <c r="AF148" s="497"/>
      <c r="AG148" s="497"/>
      <c r="AH148" s="497"/>
      <c r="AI148" s="497"/>
      <c r="AJ148" s="497"/>
      <c r="AK148" s="497"/>
      <c r="AL148" s="497"/>
      <c r="AM148" s="497"/>
      <c r="AN148" s="497"/>
      <c r="AO148" s="497"/>
      <c r="AP148" s="497"/>
      <c r="AQ148" s="497"/>
      <c r="AR148" s="497"/>
      <c r="AS148" s="497"/>
      <c r="AT148" s="497"/>
      <c r="AU148" s="497"/>
      <c r="AV148" s="497"/>
      <c r="AW148" s="497"/>
      <c r="AX148" s="497"/>
      <c r="AY148" s="497"/>
      <c r="AZ148" s="497"/>
      <c r="BA148" s="497"/>
      <c r="BB148" s="497"/>
      <c r="BC148" s="497"/>
      <c r="BD148" s="497"/>
      <c r="BE148" s="497"/>
      <c r="BF148" s="497"/>
      <c r="BG148" s="497"/>
      <c r="BH148" s="497"/>
      <c r="BI148" s="497"/>
      <c r="BJ148" s="497"/>
      <c r="BK148" s="497"/>
      <c r="BL148" s="497"/>
      <c r="BM148" s="497"/>
      <c r="BN148" s="497"/>
      <c r="BO148" s="497"/>
      <c r="BP148" s="497"/>
      <c r="BQ148" s="497"/>
      <c r="BR148" s="497"/>
      <c r="BS148" s="497"/>
      <c r="BT148" s="497"/>
      <c r="BU148" s="497"/>
      <c r="BV148" s="497"/>
      <c r="BW148" s="497"/>
      <c r="BX148" s="497"/>
      <c r="BY148" s="497"/>
      <c r="BZ148" s="497"/>
      <c r="CA148" s="497"/>
      <c r="CB148" s="497"/>
      <c r="CC148" s="497"/>
      <c r="CD148" s="497"/>
      <c r="CE148" s="497"/>
      <c r="CF148" s="497"/>
      <c r="CG148" s="497"/>
      <c r="CH148" s="497"/>
      <c r="CI148" s="497"/>
      <c r="CJ148" s="497"/>
      <c r="CK148" s="497"/>
      <c r="CL148" s="497"/>
      <c r="CM148" s="497"/>
      <c r="CN148" s="497"/>
      <c r="CO148" s="497"/>
      <c r="CP148" s="497"/>
      <c r="CQ148" s="497"/>
      <c r="CR148" s="497"/>
      <c r="CS148" s="497"/>
      <c r="CT148" s="497"/>
      <c r="CU148" s="497"/>
      <c r="CV148" s="497"/>
      <c r="CW148" s="497"/>
      <c r="CX148" s="497"/>
      <c r="CY148" s="497"/>
      <c r="CZ148" s="497"/>
      <c r="DA148" s="497"/>
      <c r="DB148" s="497"/>
      <c r="DC148" s="497"/>
      <c r="DD148" s="497"/>
      <c r="DE148" s="497"/>
      <c r="DF148" s="497"/>
      <c r="DG148" s="497"/>
      <c r="DH148" s="497"/>
      <c r="DI148" s="497"/>
      <c r="DJ148" s="497"/>
      <c r="DK148" s="497"/>
      <c r="DL148" s="497"/>
    </row>
    <row r="149" customFormat="false" ht="15.75" hidden="false" customHeight="false" outlineLevel="0" collapsed="false">
      <c r="A149" s="407" t="s">
        <v>850</v>
      </c>
      <c r="B149" s="413" t="n">
        <v>84</v>
      </c>
      <c r="C149" s="413" t="n">
        <v>145</v>
      </c>
      <c r="D149" s="495" t="n">
        <v>10</v>
      </c>
      <c r="E149" s="484" t="n">
        <f aca="false">J149</f>
        <v>-100</v>
      </c>
      <c r="F149" s="484" t="n">
        <f aca="false">K149</f>
        <v>-100</v>
      </c>
      <c r="G149" s="72" t="n">
        <v>10</v>
      </c>
      <c r="J149" s="463" t="n">
        <f aca="false">(H149-G149)/G149*100</f>
        <v>-100</v>
      </c>
      <c r="K149" s="463" t="n">
        <f aca="false">(I149-G149)/G149*100</f>
        <v>-100</v>
      </c>
      <c r="P149" s="497"/>
      <c r="Q149" s="497"/>
      <c r="R149" s="497"/>
      <c r="S149" s="497"/>
      <c r="T149" s="497"/>
      <c r="U149" s="497"/>
      <c r="V149" s="497"/>
      <c r="W149" s="497"/>
      <c r="X149" s="497"/>
      <c r="Y149" s="497"/>
      <c r="Z149" s="497"/>
      <c r="AA149" s="497"/>
      <c r="AB149" s="497"/>
      <c r="AC149" s="497"/>
      <c r="AD149" s="497"/>
      <c r="AE149" s="497"/>
      <c r="AF149" s="497"/>
      <c r="AG149" s="497"/>
      <c r="AH149" s="497"/>
      <c r="AI149" s="497"/>
      <c r="AJ149" s="497"/>
      <c r="AK149" s="497"/>
      <c r="AL149" s="497"/>
      <c r="AM149" s="497"/>
      <c r="AN149" s="497"/>
      <c r="AO149" s="497"/>
      <c r="AP149" s="497"/>
      <c r="AQ149" s="497"/>
      <c r="AR149" s="497"/>
      <c r="AS149" s="497"/>
      <c r="AT149" s="497"/>
      <c r="AU149" s="497"/>
      <c r="AV149" s="497"/>
      <c r="AW149" s="497"/>
      <c r="AX149" s="497"/>
      <c r="AY149" s="497"/>
      <c r="AZ149" s="497"/>
      <c r="BA149" s="497"/>
      <c r="BB149" s="497"/>
      <c r="BC149" s="497"/>
      <c r="BD149" s="497"/>
      <c r="BE149" s="497"/>
      <c r="BF149" s="497"/>
      <c r="BG149" s="497"/>
      <c r="BH149" s="497"/>
      <c r="BI149" s="497"/>
      <c r="BJ149" s="497"/>
      <c r="BK149" s="497"/>
      <c r="BL149" s="497"/>
      <c r="BM149" s="497"/>
      <c r="BN149" s="497"/>
      <c r="BO149" s="497"/>
      <c r="BP149" s="497"/>
      <c r="BQ149" s="497"/>
      <c r="BR149" s="497"/>
      <c r="BS149" s="497"/>
      <c r="BT149" s="497"/>
      <c r="BU149" s="497"/>
      <c r="BV149" s="497"/>
      <c r="BW149" s="497"/>
      <c r="BX149" s="497"/>
      <c r="BY149" s="497"/>
      <c r="BZ149" s="497"/>
      <c r="CA149" s="497"/>
      <c r="CB149" s="497"/>
      <c r="CC149" s="497"/>
      <c r="CD149" s="497"/>
      <c r="CE149" s="497"/>
      <c r="CF149" s="497"/>
      <c r="CG149" s="497"/>
      <c r="CH149" s="497"/>
      <c r="CI149" s="497"/>
      <c r="CJ149" s="497"/>
      <c r="CK149" s="497"/>
      <c r="CL149" s="497"/>
      <c r="CM149" s="497"/>
      <c r="CN149" s="497"/>
      <c r="CO149" s="497"/>
      <c r="CP149" s="497"/>
      <c r="CQ149" s="497"/>
      <c r="CR149" s="497"/>
      <c r="CS149" s="497"/>
      <c r="CT149" s="497"/>
      <c r="CU149" s="497"/>
      <c r="CV149" s="497"/>
      <c r="CW149" s="497"/>
      <c r="CX149" s="497"/>
      <c r="CY149" s="497"/>
      <c r="CZ149" s="497"/>
      <c r="DA149" s="497"/>
      <c r="DB149" s="497"/>
      <c r="DC149" s="497"/>
      <c r="DD149" s="497"/>
      <c r="DE149" s="497"/>
      <c r="DF149" s="497"/>
      <c r="DG149" s="497"/>
      <c r="DH149" s="497"/>
      <c r="DI149" s="497"/>
      <c r="DJ149" s="497"/>
      <c r="DK149" s="497"/>
      <c r="DL149" s="497"/>
    </row>
    <row r="150" customFormat="false" ht="15.75" hidden="false" customHeight="false" outlineLevel="0" collapsed="false">
      <c r="A150" s="407" t="s">
        <v>851</v>
      </c>
      <c r="B150" s="413" t="n">
        <v>85</v>
      </c>
      <c r="C150" s="413" t="n">
        <v>146</v>
      </c>
      <c r="D150" s="495" t="n">
        <v>10</v>
      </c>
      <c r="E150" s="484" t="n">
        <f aca="false">J150</f>
        <v>-100</v>
      </c>
      <c r="F150" s="484" t="n">
        <f aca="false">K150</f>
        <v>-100</v>
      </c>
      <c r="G150" s="72" t="n">
        <v>10</v>
      </c>
      <c r="J150" s="463" t="n">
        <f aca="false">(H150-G150)/G150*100</f>
        <v>-100</v>
      </c>
      <c r="K150" s="463" t="n">
        <f aca="false">(I150-G150)/G150*100</f>
        <v>-100</v>
      </c>
      <c r="P150" s="497"/>
      <c r="Q150" s="497"/>
      <c r="R150" s="497"/>
      <c r="S150" s="497"/>
      <c r="T150" s="497"/>
      <c r="U150" s="497"/>
      <c r="V150" s="497"/>
      <c r="W150" s="497"/>
      <c r="X150" s="497"/>
      <c r="Y150" s="497"/>
      <c r="Z150" s="497"/>
      <c r="AA150" s="497"/>
      <c r="AB150" s="497"/>
      <c r="AC150" s="497"/>
      <c r="AD150" s="497"/>
      <c r="AE150" s="497"/>
      <c r="AF150" s="497"/>
      <c r="AG150" s="497"/>
      <c r="AH150" s="497"/>
      <c r="AI150" s="497"/>
      <c r="AJ150" s="497"/>
      <c r="AK150" s="497"/>
      <c r="AL150" s="497"/>
      <c r="AM150" s="497"/>
      <c r="AN150" s="497"/>
      <c r="AO150" s="497"/>
      <c r="AP150" s="497"/>
      <c r="AQ150" s="497"/>
      <c r="AR150" s="497"/>
      <c r="AS150" s="497"/>
      <c r="AT150" s="497"/>
      <c r="AU150" s="497"/>
      <c r="AV150" s="497"/>
      <c r="AW150" s="497"/>
      <c r="AX150" s="497"/>
      <c r="AY150" s="497"/>
      <c r="AZ150" s="497"/>
      <c r="BA150" s="497"/>
      <c r="BB150" s="497"/>
      <c r="BC150" s="497"/>
      <c r="BD150" s="497"/>
      <c r="BE150" s="497"/>
      <c r="BF150" s="497"/>
      <c r="BG150" s="497"/>
      <c r="BH150" s="497"/>
      <c r="BI150" s="497"/>
      <c r="BJ150" s="497"/>
      <c r="BK150" s="497"/>
      <c r="BL150" s="497"/>
      <c r="BM150" s="497"/>
      <c r="BN150" s="497"/>
      <c r="BO150" s="497"/>
      <c r="BP150" s="497"/>
      <c r="BQ150" s="497"/>
      <c r="BR150" s="497"/>
      <c r="BS150" s="497"/>
      <c r="BT150" s="497"/>
      <c r="BU150" s="497"/>
      <c r="BV150" s="497"/>
      <c r="BW150" s="497"/>
      <c r="BX150" s="497"/>
      <c r="BY150" s="497"/>
      <c r="BZ150" s="497"/>
      <c r="CA150" s="497"/>
      <c r="CB150" s="497"/>
      <c r="CC150" s="497"/>
      <c r="CD150" s="497"/>
      <c r="CE150" s="497"/>
      <c r="CF150" s="497"/>
      <c r="CG150" s="497"/>
      <c r="CH150" s="497"/>
      <c r="CI150" s="497"/>
      <c r="CJ150" s="497"/>
      <c r="CK150" s="497"/>
      <c r="CL150" s="497"/>
      <c r="CM150" s="497"/>
      <c r="CN150" s="497"/>
      <c r="CO150" s="497"/>
      <c r="CP150" s="497"/>
      <c r="CQ150" s="497"/>
      <c r="CR150" s="497"/>
      <c r="CS150" s="497"/>
      <c r="CT150" s="497"/>
      <c r="CU150" s="497"/>
      <c r="CV150" s="497"/>
      <c r="CW150" s="497"/>
      <c r="CX150" s="497"/>
      <c r="CY150" s="497"/>
      <c r="CZ150" s="497"/>
      <c r="DA150" s="497"/>
      <c r="DB150" s="497"/>
      <c r="DC150" s="497"/>
      <c r="DD150" s="497"/>
      <c r="DE150" s="497"/>
      <c r="DF150" s="497"/>
      <c r="DG150" s="497"/>
      <c r="DH150" s="497"/>
      <c r="DI150" s="497"/>
      <c r="DJ150" s="497"/>
      <c r="DK150" s="497"/>
      <c r="DL150" s="497"/>
    </row>
    <row r="151" customFormat="false" ht="15.75" hidden="false" customHeight="false" outlineLevel="0" collapsed="false">
      <c r="A151" s="407" t="s">
        <v>852</v>
      </c>
      <c r="B151" s="413" t="n">
        <v>86</v>
      </c>
      <c r="C151" s="413" t="n">
        <v>147</v>
      </c>
      <c r="D151" s="495" t="n">
        <v>10</v>
      </c>
      <c r="E151" s="484" t="n">
        <f aca="false">J151</f>
        <v>-100</v>
      </c>
      <c r="F151" s="484" t="n">
        <f aca="false">K151</f>
        <v>-100</v>
      </c>
      <c r="G151" s="72" t="n">
        <v>10</v>
      </c>
      <c r="J151" s="463" t="n">
        <f aca="false">(H151-G151)/G151*100</f>
        <v>-100</v>
      </c>
      <c r="K151" s="463" t="n">
        <f aca="false">(I151-G151)/G151*100</f>
        <v>-100</v>
      </c>
      <c r="P151" s="497"/>
      <c r="Q151" s="497"/>
      <c r="R151" s="497"/>
      <c r="S151" s="497"/>
      <c r="T151" s="497"/>
      <c r="U151" s="497"/>
      <c r="V151" s="497"/>
      <c r="W151" s="497"/>
      <c r="X151" s="497"/>
      <c r="Y151" s="497"/>
      <c r="Z151" s="497"/>
      <c r="AA151" s="497"/>
      <c r="AB151" s="497"/>
      <c r="AC151" s="497"/>
      <c r="AD151" s="497"/>
      <c r="AE151" s="497"/>
      <c r="AF151" s="497"/>
      <c r="AG151" s="497"/>
      <c r="AH151" s="497"/>
      <c r="AI151" s="497"/>
      <c r="AJ151" s="497"/>
      <c r="AK151" s="497"/>
      <c r="AL151" s="497"/>
      <c r="AM151" s="497"/>
      <c r="AN151" s="497"/>
      <c r="AO151" s="497"/>
      <c r="AP151" s="497"/>
      <c r="AQ151" s="497"/>
      <c r="AR151" s="497"/>
      <c r="AS151" s="497"/>
      <c r="AT151" s="497"/>
      <c r="AU151" s="497"/>
      <c r="AV151" s="497"/>
      <c r="AW151" s="497"/>
      <c r="AX151" s="497"/>
      <c r="AY151" s="497"/>
      <c r="AZ151" s="497"/>
      <c r="BA151" s="497"/>
      <c r="BB151" s="497"/>
      <c r="BC151" s="497"/>
      <c r="BD151" s="497"/>
      <c r="BE151" s="497"/>
      <c r="BF151" s="497"/>
      <c r="BG151" s="497"/>
      <c r="BH151" s="497"/>
      <c r="BI151" s="497"/>
      <c r="BJ151" s="497"/>
      <c r="BK151" s="497"/>
      <c r="BL151" s="497"/>
      <c r="BM151" s="497"/>
      <c r="BN151" s="497"/>
      <c r="BO151" s="497"/>
      <c r="BP151" s="497"/>
      <c r="BQ151" s="497"/>
      <c r="BR151" s="497"/>
      <c r="BS151" s="497"/>
      <c r="BT151" s="497"/>
      <c r="BU151" s="497"/>
      <c r="BV151" s="497"/>
      <c r="BW151" s="497"/>
      <c r="BX151" s="497"/>
      <c r="BY151" s="497"/>
      <c r="BZ151" s="497"/>
      <c r="CA151" s="497"/>
      <c r="CB151" s="497"/>
      <c r="CC151" s="497"/>
      <c r="CD151" s="497"/>
      <c r="CE151" s="497"/>
      <c r="CF151" s="497"/>
      <c r="CG151" s="497"/>
      <c r="CH151" s="497"/>
      <c r="CI151" s="497"/>
      <c r="CJ151" s="497"/>
      <c r="CK151" s="497"/>
      <c r="CL151" s="497"/>
      <c r="CM151" s="497"/>
      <c r="CN151" s="497"/>
      <c r="CO151" s="497"/>
      <c r="CP151" s="497"/>
      <c r="CQ151" s="497"/>
      <c r="CR151" s="497"/>
      <c r="CS151" s="497"/>
      <c r="CT151" s="497"/>
      <c r="CU151" s="497"/>
      <c r="CV151" s="497"/>
      <c r="CW151" s="497"/>
      <c r="CX151" s="497"/>
      <c r="CY151" s="497"/>
      <c r="CZ151" s="497"/>
      <c r="DA151" s="497"/>
      <c r="DB151" s="497"/>
      <c r="DC151" s="497"/>
      <c r="DD151" s="497"/>
      <c r="DE151" s="497"/>
      <c r="DF151" s="497"/>
      <c r="DG151" s="497"/>
      <c r="DH151" s="497"/>
      <c r="DI151" s="497"/>
      <c r="DJ151" s="497"/>
      <c r="DK151" s="497"/>
      <c r="DL151" s="497"/>
    </row>
    <row r="152" customFormat="false" ht="15.75" hidden="false" customHeight="false" outlineLevel="0" collapsed="false">
      <c r="A152" s="407" t="s">
        <v>853</v>
      </c>
      <c r="B152" s="413" t="n">
        <v>87</v>
      </c>
      <c r="C152" s="413" t="n">
        <v>148</v>
      </c>
      <c r="D152" s="495" t="n">
        <v>10</v>
      </c>
      <c r="E152" s="484" t="n">
        <f aca="false">J152</f>
        <v>-100</v>
      </c>
      <c r="F152" s="484" t="n">
        <f aca="false">K152</f>
        <v>-100</v>
      </c>
      <c r="G152" s="72" t="n">
        <v>10</v>
      </c>
      <c r="J152" s="463" t="n">
        <f aca="false">(H152-G152)/G152*100</f>
        <v>-100</v>
      </c>
      <c r="K152" s="463" t="n">
        <f aca="false">(I152-G152)/G152*100</f>
        <v>-100</v>
      </c>
      <c r="P152" s="497"/>
      <c r="Q152" s="497"/>
      <c r="R152" s="497"/>
      <c r="S152" s="497"/>
      <c r="T152" s="497"/>
      <c r="U152" s="497"/>
      <c r="V152" s="497"/>
      <c r="W152" s="497"/>
      <c r="X152" s="497"/>
      <c r="Y152" s="497"/>
      <c r="Z152" s="497"/>
      <c r="AA152" s="497"/>
      <c r="AB152" s="497"/>
      <c r="AC152" s="497"/>
      <c r="AD152" s="497"/>
      <c r="AE152" s="497"/>
      <c r="AF152" s="497"/>
      <c r="AG152" s="497"/>
      <c r="AH152" s="497"/>
      <c r="AI152" s="497"/>
      <c r="AJ152" s="497"/>
      <c r="AK152" s="497"/>
      <c r="AL152" s="497"/>
      <c r="AM152" s="497"/>
      <c r="AN152" s="497"/>
      <c r="AO152" s="497"/>
      <c r="AP152" s="497"/>
      <c r="AQ152" s="497"/>
      <c r="AR152" s="497"/>
      <c r="AS152" s="497"/>
      <c r="AT152" s="497"/>
      <c r="AU152" s="497"/>
      <c r="AV152" s="497"/>
      <c r="AW152" s="497"/>
      <c r="AX152" s="497"/>
      <c r="AY152" s="497"/>
      <c r="AZ152" s="497"/>
      <c r="BA152" s="497"/>
      <c r="BB152" s="497"/>
      <c r="BC152" s="497"/>
      <c r="BD152" s="497"/>
      <c r="BE152" s="497"/>
      <c r="BF152" s="497"/>
      <c r="BG152" s="497"/>
      <c r="BH152" s="497"/>
      <c r="BI152" s="497"/>
      <c r="BJ152" s="497"/>
      <c r="BK152" s="497"/>
      <c r="BL152" s="497"/>
      <c r="BM152" s="497"/>
      <c r="BN152" s="497"/>
      <c r="BO152" s="497"/>
      <c r="BP152" s="497"/>
      <c r="BQ152" s="497"/>
      <c r="BR152" s="497"/>
      <c r="BS152" s="497"/>
      <c r="BT152" s="497"/>
      <c r="BU152" s="497"/>
      <c r="BV152" s="497"/>
      <c r="BW152" s="497"/>
      <c r="BX152" s="497"/>
      <c r="BY152" s="497"/>
      <c r="BZ152" s="497"/>
      <c r="CA152" s="497"/>
      <c r="CB152" s="497"/>
      <c r="CC152" s="497"/>
      <c r="CD152" s="497"/>
      <c r="CE152" s="497"/>
      <c r="CF152" s="497"/>
      <c r="CG152" s="497"/>
      <c r="CH152" s="497"/>
      <c r="CI152" s="497"/>
      <c r="CJ152" s="497"/>
      <c r="CK152" s="497"/>
      <c r="CL152" s="497"/>
      <c r="CM152" s="497"/>
      <c r="CN152" s="497"/>
      <c r="CO152" s="497"/>
      <c r="CP152" s="497"/>
      <c r="CQ152" s="497"/>
      <c r="CR152" s="497"/>
      <c r="CS152" s="497"/>
      <c r="CT152" s="497"/>
      <c r="CU152" s="497"/>
      <c r="CV152" s="497"/>
      <c r="CW152" s="497"/>
      <c r="CX152" s="497"/>
      <c r="CY152" s="497"/>
      <c r="CZ152" s="497"/>
      <c r="DA152" s="497"/>
      <c r="DB152" s="497"/>
      <c r="DC152" s="497"/>
      <c r="DD152" s="497"/>
      <c r="DE152" s="497"/>
      <c r="DF152" s="497"/>
      <c r="DG152" s="497"/>
      <c r="DH152" s="497"/>
      <c r="DI152" s="497"/>
      <c r="DJ152" s="497"/>
      <c r="DK152" s="497"/>
      <c r="DL152" s="497"/>
    </row>
    <row r="153" customFormat="false" ht="15.75" hidden="false" customHeight="false" outlineLevel="0" collapsed="false">
      <c r="A153" s="407" t="s">
        <v>854</v>
      </c>
      <c r="B153" s="413" t="n">
        <v>64</v>
      </c>
      <c r="C153" s="413" t="n">
        <v>149</v>
      </c>
      <c r="D153" s="495" t="n">
        <v>10</v>
      </c>
      <c r="E153" s="484" t="n">
        <f aca="false">J153</f>
        <v>-100</v>
      </c>
      <c r="F153" s="484" t="n">
        <f aca="false">K153</f>
        <v>-100</v>
      </c>
      <c r="G153" s="72" t="n">
        <v>-2.1</v>
      </c>
      <c r="J153" s="463" t="n">
        <f aca="false">(H153-G153)/G153*100</f>
        <v>-100</v>
      </c>
      <c r="K153" s="463" t="n">
        <f aca="false">(I153-G153)/G153*100</f>
        <v>-100</v>
      </c>
      <c r="P153" s="497"/>
      <c r="Q153" s="497"/>
      <c r="R153" s="497"/>
      <c r="S153" s="497"/>
      <c r="T153" s="497"/>
      <c r="U153" s="497"/>
      <c r="V153" s="497"/>
      <c r="W153" s="497"/>
      <c r="X153" s="497"/>
      <c r="Y153" s="497"/>
      <c r="Z153" s="497"/>
      <c r="AA153" s="497"/>
      <c r="AB153" s="497"/>
      <c r="AC153" s="497"/>
      <c r="AD153" s="497"/>
      <c r="AE153" s="497"/>
      <c r="AF153" s="497"/>
      <c r="AG153" s="497"/>
      <c r="AH153" s="497"/>
      <c r="AI153" s="497"/>
      <c r="AJ153" s="497"/>
      <c r="AK153" s="497"/>
      <c r="AL153" s="497"/>
      <c r="AM153" s="497"/>
      <c r="AN153" s="497"/>
      <c r="AO153" s="497"/>
      <c r="AP153" s="497"/>
      <c r="AQ153" s="497"/>
      <c r="AR153" s="497"/>
      <c r="AS153" s="497"/>
      <c r="AT153" s="497"/>
      <c r="AU153" s="497"/>
      <c r="AV153" s="497"/>
      <c r="AW153" s="497"/>
      <c r="AX153" s="497"/>
      <c r="AY153" s="497"/>
      <c r="AZ153" s="497"/>
      <c r="BA153" s="497"/>
      <c r="BB153" s="497"/>
      <c r="BC153" s="497"/>
      <c r="BD153" s="497"/>
      <c r="BE153" s="497"/>
      <c r="BF153" s="497"/>
      <c r="BG153" s="497"/>
      <c r="BH153" s="497"/>
      <c r="BI153" s="497"/>
      <c r="BJ153" s="497"/>
      <c r="BK153" s="497"/>
      <c r="BL153" s="497"/>
      <c r="BM153" s="497"/>
      <c r="BN153" s="497"/>
      <c r="BO153" s="497"/>
      <c r="BP153" s="497"/>
      <c r="BQ153" s="497"/>
      <c r="BR153" s="497"/>
      <c r="BS153" s="497"/>
      <c r="BT153" s="497"/>
      <c r="BU153" s="497"/>
      <c r="BV153" s="497"/>
      <c r="BW153" s="497"/>
      <c r="BX153" s="497"/>
      <c r="BY153" s="497"/>
      <c r="BZ153" s="497"/>
      <c r="CA153" s="497"/>
      <c r="CB153" s="497"/>
      <c r="CC153" s="497"/>
      <c r="CD153" s="497"/>
      <c r="CE153" s="497"/>
      <c r="CF153" s="497"/>
      <c r="CG153" s="497"/>
      <c r="CH153" s="497"/>
      <c r="CI153" s="497"/>
      <c r="CJ153" s="497"/>
      <c r="CK153" s="497"/>
      <c r="CL153" s="497"/>
      <c r="CM153" s="497"/>
      <c r="CN153" s="497"/>
      <c r="CO153" s="497"/>
      <c r="CP153" s="497"/>
      <c r="CQ153" s="497"/>
      <c r="CR153" s="497"/>
      <c r="CS153" s="497"/>
      <c r="CT153" s="497"/>
      <c r="CU153" s="497"/>
      <c r="CV153" s="497"/>
      <c r="CW153" s="497"/>
      <c r="CX153" s="497"/>
      <c r="CY153" s="497"/>
      <c r="CZ153" s="497"/>
      <c r="DA153" s="497"/>
      <c r="DB153" s="497"/>
      <c r="DC153" s="497"/>
      <c r="DD153" s="497"/>
      <c r="DE153" s="497"/>
      <c r="DF153" s="497"/>
      <c r="DG153" s="497"/>
      <c r="DH153" s="497"/>
      <c r="DI153" s="497"/>
      <c r="DJ153" s="497"/>
      <c r="DK153" s="497"/>
      <c r="DL153" s="497"/>
    </row>
    <row r="154" customFormat="false" ht="15.75" hidden="false" customHeight="false" outlineLevel="0" collapsed="false">
      <c r="A154" s="407" t="s">
        <v>855</v>
      </c>
      <c r="B154" s="413" t="n">
        <v>145</v>
      </c>
      <c r="C154" s="413" t="n">
        <v>150</v>
      </c>
      <c r="D154" s="495" t="n">
        <v>10</v>
      </c>
      <c r="E154" s="484" t="n">
        <f aca="false">J154</f>
        <v>-100</v>
      </c>
      <c r="F154" s="484" t="n">
        <f aca="false">K154</f>
        <v>-100</v>
      </c>
      <c r="G154" s="72" t="n">
        <v>-1</v>
      </c>
      <c r="J154" s="463" t="n">
        <f aca="false">(H154-G154)/G154*100</f>
        <v>-100</v>
      </c>
      <c r="K154" s="463" t="n">
        <f aca="false">(I154-G154)/G154*100</f>
        <v>-100</v>
      </c>
      <c r="P154" s="497"/>
      <c r="Q154" s="497"/>
      <c r="R154" s="497"/>
      <c r="S154" s="497"/>
      <c r="T154" s="497"/>
      <c r="U154" s="497"/>
      <c r="V154" s="497"/>
      <c r="W154" s="497"/>
      <c r="X154" s="497"/>
      <c r="Y154" s="497"/>
      <c r="Z154" s="497"/>
      <c r="AA154" s="497"/>
      <c r="AB154" s="497"/>
      <c r="AC154" s="497"/>
      <c r="AD154" s="497"/>
      <c r="AE154" s="497"/>
      <c r="AF154" s="497"/>
      <c r="AG154" s="497"/>
      <c r="AH154" s="497"/>
      <c r="AI154" s="497"/>
      <c r="AJ154" s="497"/>
      <c r="AK154" s="497"/>
      <c r="AL154" s="497"/>
      <c r="AM154" s="497"/>
      <c r="AN154" s="497"/>
      <c r="AO154" s="497"/>
      <c r="AP154" s="497"/>
      <c r="AQ154" s="497"/>
      <c r="AR154" s="497"/>
      <c r="AS154" s="497"/>
      <c r="AT154" s="497"/>
      <c r="AU154" s="497"/>
      <c r="AV154" s="497"/>
      <c r="AW154" s="497"/>
      <c r="AX154" s="497"/>
      <c r="AY154" s="497"/>
      <c r="AZ154" s="497"/>
      <c r="BA154" s="497"/>
      <c r="BB154" s="497"/>
      <c r="BC154" s="497"/>
      <c r="BD154" s="497"/>
      <c r="BE154" s="497"/>
      <c r="BF154" s="497"/>
      <c r="BG154" s="497"/>
      <c r="BH154" s="497"/>
      <c r="BI154" s="497"/>
      <c r="BJ154" s="497"/>
      <c r="BK154" s="497"/>
      <c r="BL154" s="497"/>
      <c r="BM154" s="497"/>
      <c r="BN154" s="497"/>
      <c r="BO154" s="497"/>
      <c r="BP154" s="497"/>
      <c r="BQ154" s="497"/>
      <c r="BR154" s="497"/>
      <c r="BS154" s="497"/>
      <c r="BT154" s="497"/>
      <c r="BU154" s="497"/>
      <c r="BV154" s="497"/>
      <c r="BW154" s="497"/>
      <c r="BX154" s="497"/>
      <c r="BY154" s="497"/>
      <c r="BZ154" s="497"/>
      <c r="CA154" s="497"/>
      <c r="CB154" s="497"/>
      <c r="CC154" s="497"/>
      <c r="CD154" s="497"/>
      <c r="CE154" s="497"/>
      <c r="CF154" s="497"/>
      <c r="CG154" s="497"/>
      <c r="CH154" s="497"/>
      <c r="CI154" s="497"/>
      <c r="CJ154" s="497"/>
      <c r="CK154" s="497"/>
      <c r="CL154" s="497"/>
      <c r="CM154" s="497"/>
      <c r="CN154" s="497"/>
      <c r="CO154" s="497"/>
      <c r="CP154" s="497"/>
      <c r="CQ154" s="497"/>
      <c r="CR154" s="497"/>
      <c r="CS154" s="497"/>
      <c r="CT154" s="497"/>
      <c r="CU154" s="497"/>
      <c r="CV154" s="497"/>
      <c r="CW154" s="497"/>
      <c r="CX154" s="497"/>
      <c r="CY154" s="497"/>
      <c r="CZ154" s="497"/>
      <c r="DA154" s="497"/>
      <c r="DB154" s="497"/>
      <c r="DC154" s="497"/>
      <c r="DD154" s="497"/>
      <c r="DE154" s="497"/>
      <c r="DF154" s="497"/>
      <c r="DG154" s="497"/>
      <c r="DH154" s="497"/>
      <c r="DI154" s="497"/>
      <c r="DJ154" s="497"/>
      <c r="DK154" s="497"/>
      <c r="DL154" s="497"/>
    </row>
    <row r="155" customFormat="false" ht="15.75" hidden="false" customHeight="false" outlineLevel="0" collapsed="false">
      <c r="A155" s="407" t="s">
        <v>856</v>
      </c>
      <c r="B155" s="413" t="n">
        <v>146</v>
      </c>
      <c r="C155" s="413" t="n">
        <v>151</v>
      </c>
      <c r="D155" s="495" t="n">
        <v>10</v>
      </c>
      <c r="E155" s="484" t="n">
        <f aca="false">J155</f>
        <v>-100</v>
      </c>
      <c r="F155" s="484" t="n">
        <f aca="false">K155</f>
        <v>-100</v>
      </c>
      <c r="G155" s="72" t="n">
        <v>-1</v>
      </c>
      <c r="J155" s="463" t="n">
        <f aca="false">(H155-G155)/G155*100</f>
        <v>-100</v>
      </c>
      <c r="K155" s="463" t="n">
        <f aca="false">(I155-G155)/G155*100</f>
        <v>-100</v>
      </c>
      <c r="P155" s="497"/>
      <c r="Q155" s="497"/>
      <c r="R155" s="497"/>
      <c r="S155" s="497"/>
      <c r="T155" s="497"/>
      <c r="U155" s="497"/>
      <c r="V155" s="497"/>
      <c r="W155" s="497"/>
      <c r="X155" s="497"/>
      <c r="Y155" s="497"/>
      <c r="Z155" s="497"/>
      <c r="AA155" s="497"/>
      <c r="AB155" s="497"/>
      <c r="AC155" s="497"/>
      <c r="AD155" s="497"/>
      <c r="AE155" s="497"/>
      <c r="AF155" s="497"/>
      <c r="AG155" s="497"/>
      <c r="AH155" s="497"/>
      <c r="AI155" s="497"/>
      <c r="AJ155" s="497"/>
      <c r="AK155" s="497"/>
      <c r="AL155" s="497"/>
      <c r="AM155" s="497"/>
      <c r="AN155" s="497"/>
      <c r="AO155" s="497"/>
      <c r="AP155" s="497"/>
      <c r="AQ155" s="497"/>
      <c r="AR155" s="497"/>
      <c r="AS155" s="497"/>
      <c r="AT155" s="497"/>
      <c r="AU155" s="497"/>
      <c r="AV155" s="497"/>
      <c r="AW155" s="497"/>
      <c r="AX155" s="497"/>
      <c r="AY155" s="497"/>
      <c r="AZ155" s="497"/>
      <c r="BA155" s="497"/>
      <c r="BB155" s="497"/>
      <c r="BC155" s="497"/>
      <c r="BD155" s="497"/>
      <c r="BE155" s="497"/>
      <c r="BF155" s="497"/>
      <c r="BG155" s="497"/>
      <c r="BH155" s="497"/>
      <c r="BI155" s="497"/>
      <c r="BJ155" s="497"/>
      <c r="BK155" s="497"/>
      <c r="BL155" s="497"/>
      <c r="BM155" s="497"/>
      <c r="BN155" s="497"/>
      <c r="BO155" s="497"/>
      <c r="BP155" s="497"/>
      <c r="BQ155" s="497"/>
      <c r="BR155" s="497"/>
      <c r="BS155" s="497"/>
      <c r="BT155" s="497"/>
      <c r="BU155" s="497"/>
      <c r="BV155" s="497"/>
      <c r="BW155" s="497"/>
      <c r="BX155" s="497"/>
      <c r="BY155" s="497"/>
      <c r="BZ155" s="497"/>
      <c r="CA155" s="497"/>
      <c r="CB155" s="497"/>
      <c r="CC155" s="497"/>
      <c r="CD155" s="497"/>
      <c r="CE155" s="497"/>
      <c r="CF155" s="497"/>
      <c r="CG155" s="497"/>
      <c r="CH155" s="497"/>
      <c r="CI155" s="497"/>
      <c r="CJ155" s="497"/>
      <c r="CK155" s="497"/>
      <c r="CL155" s="497"/>
      <c r="CM155" s="497"/>
      <c r="CN155" s="497"/>
      <c r="CO155" s="497"/>
      <c r="CP155" s="497"/>
      <c r="CQ155" s="497"/>
      <c r="CR155" s="497"/>
      <c r="CS155" s="497"/>
      <c r="CT155" s="497"/>
      <c r="CU155" s="497"/>
      <c r="CV155" s="497"/>
      <c r="CW155" s="497"/>
      <c r="CX155" s="497"/>
      <c r="CY155" s="497"/>
      <c r="CZ155" s="497"/>
      <c r="DA155" s="497"/>
      <c r="DB155" s="497"/>
      <c r="DC155" s="497"/>
      <c r="DD155" s="497"/>
      <c r="DE155" s="497"/>
      <c r="DF155" s="497"/>
      <c r="DG155" s="497"/>
      <c r="DH155" s="497"/>
      <c r="DI155" s="497"/>
      <c r="DJ155" s="497"/>
      <c r="DK155" s="497"/>
      <c r="DL155" s="497"/>
    </row>
    <row r="156" customFormat="false" ht="15.75" hidden="false" customHeight="false" outlineLevel="0" collapsed="false">
      <c r="A156" s="407" t="s">
        <v>857</v>
      </c>
      <c r="B156" s="413" t="n">
        <v>147</v>
      </c>
      <c r="C156" s="413" t="n">
        <v>152</v>
      </c>
      <c r="D156" s="495" t="n">
        <v>10</v>
      </c>
      <c r="E156" s="484" t="n">
        <f aca="false">J156</f>
        <v>-100</v>
      </c>
      <c r="F156" s="484" t="n">
        <f aca="false">K156</f>
        <v>-100</v>
      </c>
      <c r="G156" s="72" t="n">
        <v>-1</v>
      </c>
      <c r="J156" s="463" t="n">
        <f aca="false">(H156-G156)/G156*100</f>
        <v>-100</v>
      </c>
      <c r="K156" s="463" t="n">
        <f aca="false">(I156-G156)/G156*100</f>
        <v>-100</v>
      </c>
    </row>
    <row r="157" customFormat="false" ht="15.75" hidden="false" customHeight="false" outlineLevel="0" collapsed="false">
      <c r="A157" s="407" t="s">
        <v>862</v>
      </c>
      <c r="B157" s="413" t="n">
        <v>148</v>
      </c>
      <c r="C157" s="413" t="n">
        <v>153</v>
      </c>
      <c r="D157" s="495" t="n">
        <v>10</v>
      </c>
      <c r="E157" s="484" t="n">
        <f aca="false">J157</f>
        <v>-100</v>
      </c>
      <c r="F157" s="484" t="n">
        <f aca="false">K157</f>
        <v>-100</v>
      </c>
      <c r="G157" s="72" t="n">
        <v>5</v>
      </c>
      <c r="J157" s="463" t="n">
        <f aca="false">(H157-G157)/G157*100</f>
        <v>-100</v>
      </c>
      <c r="K157" s="463" t="n">
        <f aca="false">(I157-G157)/G157*100</f>
        <v>-100</v>
      </c>
    </row>
    <row r="158" customFormat="false" ht="15.75" hidden="false" customHeight="false" outlineLevel="0" collapsed="false">
      <c r="A158" s="407" t="s">
        <v>863</v>
      </c>
      <c r="B158" s="413" t="n">
        <v>149</v>
      </c>
      <c r="C158" s="417" t="n">
        <v>154</v>
      </c>
      <c r="D158" s="493"/>
      <c r="E158" s="484"/>
      <c r="F158" s="484"/>
      <c r="G158" s="72" t="n">
        <v>5000</v>
      </c>
      <c r="H158" s="0" t="n">
        <f aca="false">G158</f>
        <v>5000</v>
      </c>
      <c r="I158" s="0" t="n">
        <f aca="false">H158</f>
        <v>5000</v>
      </c>
      <c r="J158" s="463" t="n">
        <f aca="false">(H158-G158)/G158*100</f>
        <v>0</v>
      </c>
      <c r="K158" s="463" t="n">
        <f aca="false">(I158-G158)/G158*100</f>
        <v>0</v>
      </c>
    </row>
    <row r="159" customFormat="false" ht="15.75" hidden="false" customHeight="false" outlineLevel="0" collapsed="false">
      <c r="A159" s="407" t="s">
        <v>864</v>
      </c>
      <c r="B159" s="413" t="n">
        <v>150</v>
      </c>
      <c r="C159" s="417" t="n">
        <v>155</v>
      </c>
      <c r="D159" s="493"/>
      <c r="E159" s="484"/>
      <c r="F159" s="484"/>
      <c r="G159" s="72" t="n">
        <v>50000</v>
      </c>
      <c r="H159" s="0" t="n">
        <f aca="false">G159</f>
        <v>50000</v>
      </c>
      <c r="I159" s="0" t="n">
        <f aca="false">H159</f>
        <v>50000</v>
      </c>
      <c r="J159" s="463" t="n">
        <f aca="false">(H159-G159)/G159*100</f>
        <v>0</v>
      </c>
      <c r="K159" s="463" t="n">
        <f aca="false">(I159-G159)/G159*100</f>
        <v>0</v>
      </c>
    </row>
    <row r="160" customFormat="false" ht="15.75" hidden="false" customHeight="false" outlineLevel="0" collapsed="false">
      <c r="A160" s="407" t="s">
        <v>865</v>
      </c>
      <c r="B160" s="413" t="n">
        <v>151</v>
      </c>
      <c r="C160" s="412" t="n">
        <v>156</v>
      </c>
      <c r="D160" s="495" t="n">
        <v>10</v>
      </c>
      <c r="E160" s="484" t="n">
        <f aca="false">J160</f>
        <v>-100</v>
      </c>
      <c r="F160" s="484" t="n">
        <f aca="false">K160</f>
        <v>-100</v>
      </c>
      <c r="G160" s="72" t="n">
        <v>25000</v>
      </c>
      <c r="J160" s="463" t="n">
        <f aca="false">(H160-G160)/G160*100</f>
        <v>-100</v>
      </c>
      <c r="K160" s="463" t="n">
        <f aca="false">(I160-G160)/G160*100</f>
        <v>-100</v>
      </c>
      <c r="P160" s="497"/>
      <c r="Q160" s="497"/>
      <c r="R160" s="497"/>
      <c r="S160" s="497"/>
      <c r="T160" s="497"/>
      <c r="U160" s="497"/>
      <c r="V160" s="497"/>
      <c r="W160" s="497"/>
      <c r="X160" s="497"/>
      <c r="Y160" s="497"/>
      <c r="Z160" s="497"/>
      <c r="AA160" s="497"/>
      <c r="AB160" s="497"/>
      <c r="AC160" s="497"/>
      <c r="AD160" s="497"/>
      <c r="AE160" s="497"/>
      <c r="AF160" s="497"/>
      <c r="AG160" s="497"/>
      <c r="AH160" s="497"/>
      <c r="AI160" s="497"/>
      <c r="AJ160" s="497"/>
      <c r="AK160" s="497"/>
      <c r="AL160" s="497"/>
      <c r="AM160" s="497"/>
      <c r="AN160" s="497"/>
      <c r="AO160" s="497"/>
      <c r="AP160" s="497"/>
      <c r="AQ160" s="497"/>
      <c r="AR160" s="497"/>
      <c r="AS160" s="497"/>
      <c r="AT160" s="497"/>
      <c r="AU160" s="497"/>
      <c r="AV160" s="497"/>
      <c r="AW160" s="497"/>
      <c r="AX160" s="497"/>
      <c r="AY160" s="497"/>
      <c r="AZ160" s="497"/>
      <c r="BA160" s="497"/>
      <c r="BB160" s="497"/>
      <c r="BC160" s="497"/>
      <c r="BD160" s="497"/>
      <c r="BE160" s="497"/>
      <c r="BF160" s="497"/>
      <c r="BG160" s="497"/>
      <c r="BH160" s="497"/>
      <c r="BI160" s="497"/>
      <c r="BJ160" s="497"/>
      <c r="BK160" s="497"/>
      <c r="BL160" s="497"/>
      <c r="BM160" s="497"/>
      <c r="BN160" s="497"/>
      <c r="BO160" s="497"/>
      <c r="BP160" s="497"/>
      <c r="BQ160" s="497"/>
      <c r="BR160" s="497"/>
      <c r="BS160" s="497"/>
      <c r="BT160" s="497"/>
      <c r="BU160" s="497"/>
      <c r="BV160" s="497"/>
      <c r="BW160" s="497"/>
      <c r="BX160" s="497"/>
      <c r="BY160" s="497"/>
      <c r="BZ160" s="497"/>
      <c r="CA160" s="497"/>
      <c r="CB160" s="497"/>
      <c r="CC160" s="497"/>
      <c r="CD160" s="497"/>
      <c r="CE160" s="497"/>
      <c r="CF160" s="497"/>
      <c r="CG160" s="497"/>
      <c r="CH160" s="497"/>
      <c r="CI160" s="497"/>
      <c r="CJ160" s="497"/>
      <c r="CK160" s="497"/>
      <c r="CL160" s="497"/>
      <c r="CM160" s="497"/>
      <c r="CN160" s="497"/>
      <c r="CO160" s="497"/>
      <c r="CP160" s="497"/>
      <c r="CQ160" s="497"/>
      <c r="CR160" s="497"/>
      <c r="CS160" s="497"/>
      <c r="CT160" s="497"/>
      <c r="CU160" s="497"/>
      <c r="CV160" s="497"/>
      <c r="CW160" s="497"/>
      <c r="CX160" s="497"/>
      <c r="CY160" s="497"/>
      <c r="CZ160" s="497"/>
      <c r="DA160" s="497"/>
      <c r="DB160" s="497"/>
      <c r="DC160" s="497"/>
      <c r="DD160" s="497"/>
      <c r="DE160" s="497"/>
      <c r="DF160" s="497"/>
      <c r="DG160" s="497"/>
      <c r="DH160" s="497"/>
      <c r="DI160" s="497"/>
      <c r="DJ160" s="497"/>
      <c r="DK160" s="497"/>
      <c r="DL160" s="497"/>
    </row>
    <row r="161" customFormat="false" ht="15.75" hidden="false" customHeight="false" outlineLevel="0" collapsed="false">
      <c r="A161" s="407" t="s">
        <v>869</v>
      </c>
      <c r="B161" s="413" t="n">
        <v>152</v>
      </c>
      <c r="C161" s="413" t="n">
        <v>157</v>
      </c>
      <c r="D161" s="495" t="n">
        <v>10</v>
      </c>
      <c r="E161" s="484" t="n">
        <f aca="false">J161</f>
        <v>-100</v>
      </c>
      <c r="F161" s="484" t="n">
        <f aca="false">K161</f>
        <v>-100</v>
      </c>
      <c r="G161" s="72" t="n">
        <v>1.8</v>
      </c>
      <c r="J161" s="463" t="n">
        <f aca="false">(H161-G161)/G161*100</f>
        <v>-100</v>
      </c>
      <c r="K161" s="463" t="n">
        <f aca="false">(I161-G161)/G161*100</f>
        <v>-100</v>
      </c>
      <c r="P161" s="497"/>
      <c r="Q161" s="497"/>
      <c r="R161" s="497"/>
      <c r="S161" s="497"/>
      <c r="T161" s="497"/>
      <c r="U161" s="497"/>
      <c r="V161" s="497"/>
      <c r="W161" s="497"/>
      <c r="X161" s="497"/>
      <c r="Y161" s="497"/>
      <c r="Z161" s="497"/>
      <c r="AA161" s="497"/>
      <c r="AB161" s="497"/>
      <c r="AC161" s="497"/>
      <c r="AD161" s="497"/>
      <c r="AE161" s="497"/>
      <c r="AF161" s="497"/>
      <c r="AG161" s="497"/>
      <c r="AH161" s="497"/>
      <c r="AI161" s="497"/>
      <c r="AJ161" s="497"/>
      <c r="AK161" s="497"/>
      <c r="AL161" s="497"/>
      <c r="AM161" s="497"/>
      <c r="AN161" s="497"/>
      <c r="AO161" s="497"/>
      <c r="AP161" s="497"/>
      <c r="AQ161" s="497"/>
      <c r="AR161" s="497"/>
      <c r="AS161" s="497"/>
      <c r="AT161" s="497"/>
      <c r="AU161" s="497"/>
      <c r="AV161" s="497"/>
      <c r="AW161" s="497"/>
      <c r="AX161" s="497"/>
      <c r="AY161" s="497"/>
      <c r="AZ161" s="497"/>
      <c r="BA161" s="497"/>
      <c r="BB161" s="497"/>
      <c r="BC161" s="497"/>
      <c r="BD161" s="497"/>
      <c r="BE161" s="497"/>
      <c r="BF161" s="497"/>
      <c r="BG161" s="497"/>
      <c r="BH161" s="497"/>
      <c r="BI161" s="497"/>
      <c r="BJ161" s="497"/>
      <c r="BK161" s="497"/>
      <c r="BL161" s="497"/>
      <c r="BM161" s="497"/>
      <c r="BN161" s="497"/>
      <c r="BO161" s="497"/>
      <c r="BP161" s="497"/>
      <c r="BQ161" s="497"/>
      <c r="BR161" s="497"/>
      <c r="BS161" s="497"/>
      <c r="BT161" s="497"/>
      <c r="BU161" s="497"/>
      <c r="BV161" s="497"/>
      <c r="BW161" s="497"/>
      <c r="BX161" s="497"/>
      <c r="BY161" s="497"/>
      <c r="BZ161" s="497"/>
      <c r="CA161" s="497"/>
      <c r="CB161" s="497"/>
      <c r="CC161" s="497"/>
      <c r="CD161" s="497"/>
      <c r="CE161" s="497"/>
      <c r="CF161" s="497"/>
      <c r="CG161" s="497"/>
      <c r="CH161" s="497"/>
      <c r="CI161" s="497"/>
      <c r="CJ161" s="497"/>
      <c r="CK161" s="497"/>
      <c r="CL161" s="497"/>
      <c r="CM161" s="497"/>
      <c r="CN161" s="497"/>
      <c r="CO161" s="497"/>
      <c r="CP161" s="497"/>
      <c r="CQ161" s="497"/>
      <c r="CR161" s="497"/>
      <c r="CS161" s="497"/>
      <c r="CT161" s="497"/>
      <c r="CU161" s="497"/>
      <c r="CV161" s="497"/>
      <c r="CW161" s="497"/>
      <c r="CX161" s="497"/>
      <c r="CY161" s="497"/>
      <c r="CZ161" s="497"/>
      <c r="DA161" s="497"/>
      <c r="DB161" s="497"/>
      <c r="DC161" s="497"/>
      <c r="DD161" s="497"/>
      <c r="DE161" s="497"/>
      <c r="DF161" s="497"/>
      <c r="DG161" s="497"/>
      <c r="DH161" s="497"/>
      <c r="DI161" s="497"/>
      <c r="DJ161" s="497"/>
      <c r="DK161" s="497"/>
      <c r="DL161" s="497"/>
    </row>
    <row r="162" customFormat="false" ht="15.75" hidden="false" customHeight="false" outlineLevel="0" collapsed="false">
      <c r="A162" s="407" t="s">
        <v>870</v>
      </c>
      <c r="B162" s="412" t="n">
        <v>9</v>
      </c>
      <c r="C162" s="413" t="n">
        <v>158</v>
      </c>
      <c r="D162" s="495" t="n">
        <v>10</v>
      </c>
      <c r="E162" s="484" t="n">
        <f aca="false">J162</f>
        <v>-100</v>
      </c>
      <c r="F162" s="484" t="n">
        <f aca="false">K162</f>
        <v>-100</v>
      </c>
      <c r="G162" s="72" t="n">
        <v>1</v>
      </c>
      <c r="J162" s="463" t="n">
        <f aca="false">(H162-G162)/G162*100</f>
        <v>-100</v>
      </c>
      <c r="K162" s="463" t="n">
        <f aca="false">(I162-G162)/G162*100</f>
        <v>-100</v>
      </c>
      <c r="P162" s="497"/>
      <c r="Q162" s="497"/>
      <c r="R162" s="497"/>
      <c r="S162" s="497"/>
      <c r="T162" s="497"/>
      <c r="U162" s="497"/>
      <c r="V162" s="497"/>
      <c r="W162" s="497"/>
      <c r="X162" s="497"/>
      <c r="Y162" s="497"/>
      <c r="Z162" s="497"/>
      <c r="AA162" s="497"/>
      <c r="AB162" s="497"/>
      <c r="AC162" s="497"/>
      <c r="AD162" s="497"/>
      <c r="AE162" s="497"/>
      <c r="AF162" s="497"/>
      <c r="AG162" s="497"/>
      <c r="AH162" s="497"/>
      <c r="AI162" s="497"/>
      <c r="AJ162" s="497"/>
      <c r="AK162" s="497"/>
      <c r="AL162" s="497"/>
      <c r="AM162" s="497"/>
      <c r="AN162" s="497"/>
      <c r="AO162" s="497"/>
      <c r="AP162" s="497"/>
      <c r="AQ162" s="497"/>
      <c r="AR162" s="497"/>
      <c r="AS162" s="497"/>
      <c r="AT162" s="497"/>
      <c r="AU162" s="497"/>
      <c r="AV162" s="497"/>
      <c r="AW162" s="497"/>
      <c r="AX162" s="497"/>
      <c r="AY162" s="497"/>
      <c r="AZ162" s="497"/>
      <c r="BA162" s="497"/>
      <c r="BB162" s="497"/>
      <c r="BC162" s="497"/>
      <c r="BD162" s="497"/>
      <c r="BE162" s="497"/>
      <c r="BF162" s="497"/>
      <c r="BG162" s="497"/>
      <c r="BH162" s="497"/>
      <c r="BI162" s="497"/>
      <c r="BJ162" s="497"/>
      <c r="BK162" s="497"/>
      <c r="BL162" s="497"/>
      <c r="BM162" s="497"/>
      <c r="BN162" s="497"/>
      <c r="BO162" s="497"/>
      <c r="BP162" s="497"/>
      <c r="BQ162" s="497"/>
      <c r="BR162" s="497"/>
      <c r="BS162" s="497"/>
      <c r="BT162" s="497"/>
      <c r="BU162" s="497"/>
      <c r="BV162" s="497"/>
      <c r="BW162" s="497"/>
      <c r="BX162" s="497"/>
      <c r="BY162" s="497"/>
      <c r="BZ162" s="497"/>
      <c r="CA162" s="497"/>
      <c r="CB162" s="497"/>
      <c r="CC162" s="497"/>
      <c r="CD162" s="497"/>
      <c r="CE162" s="497"/>
      <c r="CF162" s="497"/>
      <c r="CG162" s="497"/>
      <c r="CH162" s="497"/>
      <c r="CI162" s="497"/>
      <c r="CJ162" s="497"/>
      <c r="CK162" s="497"/>
      <c r="CL162" s="497"/>
      <c r="CM162" s="497"/>
      <c r="CN162" s="497"/>
      <c r="CO162" s="497"/>
      <c r="CP162" s="497"/>
      <c r="CQ162" s="497"/>
      <c r="CR162" s="497"/>
      <c r="CS162" s="497"/>
      <c r="CT162" s="497"/>
      <c r="CU162" s="497"/>
      <c r="CV162" s="497"/>
      <c r="CW162" s="497"/>
      <c r="CX162" s="497"/>
      <c r="CY162" s="497"/>
      <c r="CZ162" s="497"/>
      <c r="DA162" s="497"/>
      <c r="DB162" s="497"/>
      <c r="DC162" s="497"/>
      <c r="DD162" s="497"/>
      <c r="DE162" s="497"/>
      <c r="DF162" s="497"/>
      <c r="DG162" s="497"/>
      <c r="DH162" s="497"/>
      <c r="DI162" s="497"/>
      <c r="DJ162" s="497"/>
      <c r="DK162" s="497"/>
      <c r="DL162" s="497"/>
    </row>
    <row r="163" customFormat="false" ht="15.75" hidden="false" customHeight="false" outlineLevel="0" collapsed="false">
      <c r="A163" s="407" t="s">
        <v>871</v>
      </c>
      <c r="B163" s="413" t="n">
        <v>201</v>
      </c>
      <c r="C163" s="413" t="n">
        <v>159</v>
      </c>
      <c r="D163" s="495" t="n">
        <v>10</v>
      </c>
      <c r="E163" s="484" t="n">
        <f aca="false">J163</f>
        <v>-100</v>
      </c>
      <c r="F163" s="484" t="n">
        <f aca="false">K163</f>
        <v>-100</v>
      </c>
      <c r="G163" s="72" t="n">
        <v>1</v>
      </c>
      <c r="J163" s="463" t="n">
        <f aca="false">(H163-G163)/G163*100</f>
        <v>-100</v>
      </c>
      <c r="K163" s="463" t="n">
        <f aca="false">(I163-G163)/G163*100</f>
        <v>-100</v>
      </c>
      <c r="P163" s="497"/>
      <c r="Q163" s="497"/>
      <c r="R163" s="497"/>
      <c r="S163" s="497"/>
      <c r="T163" s="497"/>
      <c r="U163" s="497"/>
      <c r="V163" s="497"/>
      <c r="W163" s="497"/>
      <c r="X163" s="497"/>
      <c r="Y163" s="497"/>
      <c r="Z163" s="497"/>
      <c r="AA163" s="497"/>
      <c r="AB163" s="497"/>
      <c r="AC163" s="497"/>
      <c r="AD163" s="497"/>
      <c r="AE163" s="497"/>
      <c r="AF163" s="497"/>
      <c r="AG163" s="497"/>
      <c r="AH163" s="497"/>
      <c r="AI163" s="497"/>
      <c r="AJ163" s="497"/>
      <c r="AK163" s="497"/>
      <c r="AL163" s="497"/>
      <c r="AM163" s="497"/>
      <c r="AN163" s="497"/>
      <c r="AO163" s="497"/>
      <c r="AP163" s="497"/>
      <c r="AQ163" s="497"/>
      <c r="AR163" s="497"/>
      <c r="AS163" s="497"/>
      <c r="AT163" s="497"/>
      <c r="AU163" s="497"/>
      <c r="AV163" s="497"/>
      <c r="AW163" s="497"/>
      <c r="AX163" s="497"/>
      <c r="AY163" s="497"/>
      <c r="AZ163" s="497"/>
      <c r="BA163" s="497"/>
      <c r="BB163" s="497"/>
      <c r="BC163" s="497"/>
      <c r="BD163" s="497"/>
      <c r="BE163" s="497"/>
      <c r="BF163" s="497"/>
      <c r="BG163" s="497"/>
      <c r="BH163" s="497"/>
      <c r="BI163" s="497"/>
      <c r="BJ163" s="497"/>
      <c r="BK163" s="497"/>
      <c r="BL163" s="497"/>
      <c r="BM163" s="497"/>
      <c r="BN163" s="497"/>
      <c r="BO163" s="497"/>
      <c r="BP163" s="497"/>
      <c r="BQ163" s="497"/>
      <c r="BR163" s="497"/>
      <c r="BS163" s="497"/>
      <c r="BT163" s="497"/>
      <c r="BU163" s="497"/>
      <c r="BV163" s="497"/>
      <c r="BW163" s="497"/>
      <c r="BX163" s="497"/>
      <c r="BY163" s="497"/>
      <c r="BZ163" s="497"/>
      <c r="CA163" s="497"/>
      <c r="CB163" s="497"/>
      <c r="CC163" s="497"/>
      <c r="CD163" s="497"/>
      <c r="CE163" s="497"/>
      <c r="CF163" s="497"/>
      <c r="CG163" s="497"/>
      <c r="CH163" s="497"/>
      <c r="CI163" s="497"/>
      <c r="CJ163" s="497"/>
      <c r="CK163" s="497"/>
      <c r="CL163" s="497"/>
      <c r="CM163" s="497"/>
      <c r="CN163" s="497"/>
      <c r="CO163" s="497"/>
      <c r="CP163" s="497"/>
      <c r="CQ163" s="497"/>
      <c r="CR163" s="497"/>
      <c r="CS163" s="497"/>
      <c r="CT163" s="497"/>
      <c r="CU163" s="497"/>
      <c r="CV163" s="497"/>
      <c r="CW163" s="497"/>
      <c r="CX163" s="497"/>
      <c r="CY163" s="497"/>
      <c r="CZ163" s="497"/>
      <c r="DA163" s="497"/>
      <c r="DB163" s="497"/>
      <c r="DC163" s="497"/>
      <c r="DD163" s="497"/>
      <c r="DE163" s="497"/>
      <c r="DF163" s="497"/>
      <c r="DG163" s="497"/>
      <c r="DH163" s="497"/>
      <c r="DI163" s="497"/>
      <c r="DJ163" s="497"/>
      <c r="DK163" s="497"/>
      <c r="DL163" s="497"/>
    </row>
    <row r="164" customFormat="false" ht="15.75" hidden="false" customHeight="false" outlineLevel="0" collapsed="false">
      <c r="A164" s="407" t="s">
        <v>872</v>
      </c>
      <c r="B164" s="413" t="n">
        <v>202</v>
      </c>
      <c r="C164" s="413" t="n">
        <v>160</v>
      </c>
      <c r="D164" s="495" t="n">
        <v>10</v>
      </c>
      <c r="E164" s="484" t="n">
        <f aca="false">J164</f>
        <v>-100</v>
      </c>
      <c r="F164" s="484" t="n">
        <f aca="false">K164</f>
        <v>-100</v>
      </c>
      <c r="G164" s="72" t="n">
        <v>1.4</v>
      </c>
      <c r="J164" s="463" t="n">
        <f aca="false">(H164-G164)/G164*100</f>
        <v>-100</v>
      </c>
      <c r="K164" s="463" t="n">
        <f aca="false">(I164-G164)/G164*100</f>
        <v>-100</v>
      </c>
    </row>
    <row r="165" customFormat="false" ht="15.75" hidden="false" customHeight="false" outlineLevel="0" collapsed="false">
      <c r="A165" s="407" t="s">
        <v>950</v>
      </c>
      <c r="B165" s="413" t="n">
        <v>203</v>
      </c>
      <c r="C165" s="413" t="n">
        <v>161</v>
      </c>
      <c r="D165" s="495" t="n">
        <v>10</v>
      </c>
      <c r="E165" s="484" t="n">
        <f aca="false">J165</f>
        <v>-100</v>
      </c>
      <c r="F165" s="484" t="n">
        <f aca="false">K165</f>
        <v>-100</v>
      </c>
      <c r="G165" s="72" t="n">
        <v>-3.4</v>
      </c>
      <c r="J165" s="463" t="n">
        <f aca="false">(H165-G165)/G165*100</f>
        <v>-100</v>
      </c>
      <c r="K165" s="463" t="n">
        <f aca="false">(I165-G165)/G165*100</f>
        <v>-100</v>
      </c>
    </row>
    <row r="166" customFormat="false" ht="15.75" hidden="false" customHeight="false" outlineLevel="0" collapsed="false">
      <c r="A166" s="407" t="s">
        <v>876</v>
      </c>
      <c r="B166" s="413" t="n">
        <v>153</v>
      </c>
      <c r="C166" s="413" t="n">
        <v>162</v>
      </c>
      <c r="D166" s="495" t="n">
        <v>10</v>
      </c>
      <c r="E166" s="484" t="n">
        <f aca="false">J166</f>
        <v>-100</v>
      </c>
      <c r="F166" s="484" t="n">
        <f aca="false">K166</f>
        <v>-100</v>
      </c>
      <c r="G166" s="72" t="n">
        <v>-3.4</v>
      </c>
      <c r="J166" s="463" t="n">
        <f aca="false">(H166-G166)/G166*100</f>
        <v>-100</v>
      </c>
      <c r="K166" s="463" t="n">
        <f aca="false">(I166-G166)/G166*100</f>
        <v>-100</v>
      </c>
    </row>
    <row r="167" customFormat="false" ht="15.75" hidden="false" customHeight="false" outlineLevel="0" collapsed="false">
      <c r="A167" s="407" t="s">
        <v>879</v>
      </c>
      <c r="B167" s="417" t="n">
        <v>154</v>
      </c>
      <c r="C167" s="413" t="n">
        <v>163</v>
      </c>
      <c r="D167" s="495" t="n">
        <v>10</v>
      </c>
      <c r="E167" s="484" t="n">
        <f aca="false">J167</f>
        <v>-100</v>
      </c>
      <c r="F167" s="484" t="n">
        <f aca="false">K167</f>
        <v>-100</v>
      </c>
      <c r="G167" s="72" t="n">
        <v>-3.4</v>
      </c>
      <c r="J167" s="463" t="n">
        <f aca="false">(H167-G167)/G167*100</f>
        <v>-100</v>
      </c>
      <c r="K167" s="463" t="n">
        <f aca="false">(I167-G167)/G167*100</f>
        <v>-100</v>
      </c>
      <c r="P167" s="497"/>
      <c r="Q167" s="497"/>
      <c r="R167" s="497"/>
      <c r="S167" s="497"/>
      <c r="T167" s="497"/>
      <c r="U167" s="497"/>
      <c r="V167" s="497"/>
      <c r="W167" s="497"/>
      <c r="X167" s="497"/>
      <c r="Y167" s="497"/>
      <c r="Z167" s="497"/>
      <c r="AA167" s="497"/>
      <c r="AB167" s="497"/>
      <c r="AC167" s="497"/>
      <c r="AD167" s="497"/>
      <c r="AE167" s="497"/>
      <c r="AF167" s="497"/>
      <c r="AG167" s="497"/>
      <c r="AH167" s="497"/>
      <c r="AI167" s="497"/>
      <c r="AJ167" s="497"/>
      <c r="AK167" s="497"/>
      <c r="AL167" s="497"/>
      <c r="AM167" s="497"/>
      <c r="AN167" s="497"/>
      <c r="AO167" s="497"/>
      <c r="AP167" s="497"/>
      <c r="AQ167" s="497"/>
      <c r="AR167" s="497"/>
      <c r="AS167" s="497"/>
      <c r="AT167" s="497"/>
      <c r="AU167" s="497"/>
      <c r="AV167" s="497"/>
      <c r="AW167" s="497"/>
      <c r="AX167" s="497"/>
      <c r="AY167" s="497"/>
      <c r="AZ167" s="497"/>
      <c r="BA167" s="497"/>
      <c r="BB167" s="497"/>
      <c r="BC167" s="497"/>
      <c r="BD167" s="497"/>
      <c r="BE167" s="497"/>
      <c r="BF167" s="497"/>
      <c r="BG167" s="497"/>
      <c r="BH167" s="497"/>
      <c r="BI167" s="497"/>
      <c r="BJ167" s="497"/>
      <c r="BK167" s="497"/>
      <c r="BL167" s="497"/>
      <c r="BM167" s="497"/>
      <c r="BN167" s="497"/>
      <c r="BO167" s="497"/>
      <c r="BP167" s="497"/>
      <c r="BQ167" s="497"/>
      <c r="BR167" s="497"/>
      <c r="BS167" s="497"/>
      <c r="BT167" s="497"/>
      <c r="BU167" s="497"/>
      <c r="BV167" s="497"/>
      <c r="BW167" s="497"/>
      <c r="BX167" s="497"/>
      <c r="BY167" s="497"/>
      <c r="BZ167" s="497"/>
      <c r="CA167" s="497"/>
      <c r="CB167" s="497"/>
      <c r="CC167" s="497"/>
      <c r="CD167" s="497"/>
      <c r="CE167" s="497"/>
      <c r="CF167" s="497"/>
      <c r="CG167" s="497"/>
      <c r="CH167" s="497"/>
      <c r="CI167" s="497"/>
      <c r="CJ167" s="497"/>
      <c r="CK167" s="497"/>
      <c r="CL167" s="497"/>
      <c r="CM167" s="497"/>
      <c r="CN167" s="497"/>
      <c r="CO167" s="497"/>
      <c r="CP167" s="497"/>
      <c r="CQ167" s="497"/>
      <c r="CR167" s="497"/>
      <c r="CS167" s="497"/>
      <c r="CT167" s="497"/>
      <c r="CU167" s="497"/>
      <c r="CV167" s="497"/>
      <c r="CW167" s="497"/>
      <c r="CX167" s="497"/>
      <c r="CY167" s="497"/>
      <c r="CZ167" s="497"/>
      <c r="DA167" s="497"/>
      <c r="DB167" s="497"/>
      <c r="DC167" s="497"/>
      <c r="DD167" s="497"/>
      <c r="DE167" s="497"/>
      <c r="DF167" s="497"/>
      <c r="DG167" s="497"/>
      <c r="DH167" s="497"/>
      <c r="DI167" s="497"/>
      <c r="DJ167" s="497"/>
      <c r="DK167" s="497"/>
      <c r="DL167" s="497"/>
    </row>
    <row r="168" customFormat="false" ht="15.75" hidden="false" customHeight="false" outlineLevel="0" collapsed="false">
      <c r="A168" s="407" t="s">
        <v>880</v>
      </c>
      <c r="B168" s="417" t="n">
        <v>155</v>
      </c>
      <c r="C168" s="413" t="n">
        <v>164</v>
      </c>
      <c r="D168" s="495" t="n">
        <v>10</v>
      </c>
      <c r="E168" s="484" t="n">
        <f aca="false">J168</f>
        <v>-100</v>
      </c>
      <c r="F168" s="484" t="n">
        <f aca="false">K168</f>
        <v>-100</v>
      </c>
      <c r="G168" s="72" t="n">
        <v>-3.4</v>
      </c>
      <c r="J168" s="463" t="n">
        <f aca="false">(H168-G168)/G168*100</f>
        <v>-100</v>
      </c>
      <c r="K168" s="463" t="n">
        <f aca="false">(I168-G168)/G168*100</f>
        <v>-100</v>
      </c>
      <c r="P168" s="497"/>
      <c r="Q168" s="497"/>
      <c r="R168" s="497"/>
      <c r="S168" s="497"/>
      <c r="T168" s="497"/>
      <c r="U168" s="497"/>
      <c r="V168" s="497"/>
      <c r="W168" s="497"/>
      <c r="X168" s="497"/>
      <c r="Y168" s="497"/>
      <c r="Z168" s="497"/>
      <c r="AA168" s="497"/>
      <c r="AB168" s="497"/>
      <c r="AC168" s="497"/>
      <c r="AD168" s="497"/>
      <c r="AE168" s="497"/>
      <c r="AF168" s="497"/>
      <c r="AG168" s="497"/>
      <c r="AH168" s="497"/>
      <c r="AI168" s="497"/>
      <c r="AJ168" s="497"/>
      <c r="AK168" s="497"/>
      <c r="AL168" s="497"/>
      <c r="AM168" s="497"/>
      <c r="AN168" s="497"/>
      <c r="AO168" s="497"/>
      <c r="AP168" s="497"/>
      <c r="AQ168" s="497"/>
      <c r="AR168" s="497"/>
      <c r="AS168" s="497"/>
      <c r="AT168" s="497"/>
      <c r="AU168" s="497"/>
      <c r="AV168" s="497"/>
      <c r="AW168" s="497"/>
      <c r="AX168" s="497"/>
      <c r="AY168" s="497"/>
      <c r="AZ168" s="497"/>
      <c r="BA168" s="497"/>
      <c r="BB168" s="497"/>
      <c r="BC168" s="497"/>
      <c r="BD168" s="497"/>
      <c r="BE168" s="497"/>
      <c r="BF168" s="497"/>
      <c r="BG168" s="497"/>
      <c r="BH168" s="497"/>
      <c r="BI168" s="497"/>
      <c r="BJ168" s="497"/>
      <c r="BK168" s="497"/>
      <c r="BL168" s="497"/>
      <c r="BM168" s="497"/>
      <c r="BN168" s="497"/>
      <c r="BO168" s="497"/>
      <c r="BP168" s="497"/>
      <c r="BQ168" s="497"/>
      <c r="BR168" s="497"/>
      <c r="BS168" s="497"/>
      <c r="BT168" s="497"/>
      <c r="BU168" s="497"/>
      <c r="BV168" s="497"/>
      <c r="BW168" s="497"/>
      <c r="BX168" s="497"/>
      <c r="BY168" s="497"/>
      <c r="BZ168" s="497"/>
      <c r="CA168" s="497"/>
      <c r="CB168" s="497"/>
      <c r="CC168" s="497"/>
      <c r="CD168" s="497"/>
      <c r="CE168" s="497"/>
      <c r="CF168" s="497"/>
      <c r="CG168" s="497"/>
      <c r="CH168" s="497"/>
      <c r="CI168" s="497"/>
      <c r="CJ168" s="497"/>
      <c r="CK168" s="497"/>
      <c r="CL168" s="497"/>
      <c r="CM168" s="497"/>
      <c r="CN168" s="497"/>
      <c r="CO168" s="497"/>
      <c r="CP168" s="497"/>
      <c r="CQ168" s="497"/>
      <c r="CR168" s="497"/>
      <c r="CS168" s="497"/>
      <c r="CT168" s="497"/>
      <c r="CU168" s="497"/>
      <c r="CV168" s="497"/>
      <c r="CW168" s="497"/>
      <c r="CX168" s="497"/>
      <c r="CY168" s="497"/>
      <c r="CZ168" s="497"/>
      <c r="DA168" s="497"/>
      <c r="DB168" s="497"/>
      <c r="DC168" s="497"/>
      <c r="DD168" s="497"/>
      <c r="DE168" s="497"/>
      <c r="DF168" s="497"/>
      <c r="DG168" s="497"/>
      <c r="DH168" s="497"/>
      <c r="DI168" s="497"/>
      <c r="DJ168" s="497"/>
      <c r="DK168" s="497"/>
      <c r="DL168" s="497"/>
    </row>
    <row r="169" customFormat="false" ht="15.75" hidden="false" customHeight="false" outlineLevel="0" collapsed="false">
      <c r="A169" s="407" t="s">
        <v>881</v>
      </c>
      <c r="B169" s="412" t="n">
        <v>156</v>
      </c>
      <c r="C169" s="413" t="n">
        <v>165</v>
      </c>
      <c r="D169" s="495" t="n">
        <v>10</v>
      </c>
      <c r="E169" s="484" t="n">
        <f aca="false">J169</f>
        <v>-100</v>
      </c>
      <c r="F169" s="484" t="n">
        <f aca="false">K169</f>
        <v>-100</v>
      </c>
      <c r="G169" s="72" t="n">
        <v>60</v>
      </c>
      <c r="J169" s="463" t="n">
        <f aca="false">(H169-G169)/G169*100</f>
        <v>-100</v>
      </c>
      <c r="K169" s="463" t="n">
        <f aca="false">(I169-G169)/G169*100</f>
        <v>-100</v>
      </c>
      <c r="P169" s="497"/>
      <c r="Q169" s="497"/>
      <c r="R169" s="497"/>
      <c r="S169" s="497"/>
      <c r="T169" s="497"/>
      <c r="U169" s="497"/>
      <c r="V169" s="497"/>
      <c r="W169" s="497"/>
      <c r="X169" s="497"/>
      <c r="Y169" s="497"/>
      <c r="Z169" s="497"/>
      <c r="AA169" s="497"/>
      <c r="AB169" s="497"/>
      <c r="AC169" s="497"/>
      <c r="AD169" s="497"/>
      <c r="AE169" s="497"/>
      <c r="AF169" s="497"/>
      <c r="AG169" s="497"/>
      <c r="AH169" s="497"/>
      <c r="AI169" s="497"/>
      <c r="AJ169" s="497"/>
      <c r="AK169" s="497"/>
      <c r="AL169" s="497"/>
      <c r="AM169" s="497"/>
      <c r="AN169" s="497"/>
      <c r="AO169" s="497"/>
      <c r="AP169" s="497"/>
      <c r="AQ169" s="497"/>
      <c r="AR169" s="497"/>
      <c r="AS169" s="497"/>
      <c r="AT169" s="497"/>
      <c r="AU169" s="497"/>
      <c r="AV169" s="497"/>
      <c r="AW169" s="497"/>
      <c r="AX169" s="497"/>
      <c r="AY169" s="497"/>
      <c r="AZ169" s="497"/>
      <c r="BA169" s="497"/>
      <c r="BB169" s="497"/>
      <c r="BC169" s="497"/>
      <c r="BD169" s="497"/>
      <c r="BE169" s="497"/>
      <c r="BF169" s="497"/>
      <c r="BG169" s="497"/>
      <c r="BH169" s="497"/>
      <c r="BI169" s="497"/>
      <c r="BJ169" s="497"/>
      <c r="BK169" s="497"/>
      <c r="BL169" s="497"/>
      <c r="BM169" s="497"/>
      <c r="BN169" s="497"/>
      <c r="BO169" s="497"/>
      <c r="BP169" s="497"/>
      <c r="BQ169" s="497"/>
      <c r="BR169" s="497"/>
      <c r="BS169" s="497"/>
      <c r="BT169" s="497"/>
      <c r="BU169" s="497"/>
      <c r="BV169" s="497"/>
      <c r="BW169" s="497"/>
      <c r="BX169" s="497"/>
      <c r="BY169" s="497"/>
      <c r="BZ169" s="497"/>
      <c r="CA169" s="497"/>
      <c r="CB169" s="497"/>
      <c r="CC169" s="497"/>
      <c r="CD169" s="497"/>
      <c r="CE169" s="497"/>
      <c r="CF169" s="497"/>
      <c r="CG169" s="497"/>
      <c r="CH169" s="497"/>
      <c r="CI169" s="497"/>
      <c r="CJ169" s="497"/>
      <c r="CK169" s="497"/>
      <c r="CL169" s="497"/>
      <c r="CM169" s="497"/>
      <c r="CN169" s="497"/>
      <c r="CO169" s="497"/>
      <c r="CP169" s="497"/>
      <c r="CQ169" s="497"/>
      <c r="CR169" s="497"/>
      <c r="CS169" s="497"/>
      <c r="CT169" s="497"/>
      <c r="CU169" s="497"/>
      <c r="CV169" s="497"/>
      <c r="CW169" s="497"/>
      <c r="CX169" s="497"/>
      <c r="CY169" s="497"/>
      <c r="CZ169" s="497"/>
      <c r="DA169" s="497"/>
      <c r="DB169" s="497"/>
      <c r="DC169" s="497"/>
      <c r="DD169" s="497"/>
      <c r="DE169" s="497"/>
      <c r="DF169" s="497"/>
      <c r="DG169" s="497"/>
      <c r="DH169" s="497"/>
      <c r="DI169" s="497"/>
      <c r="DJ169" s="497"/>
      <c r="DK169" s="497"/>
      <c r="DL169" s="497"/>
    </row>
    <row r="170" customFormat="false" ht="15.75" hidden="false" customHeight="false" outlineLevel="0" collapsed="false">
      <c r="A170" s="407" t="s">
        <v>951</v>
      </c>
      <c r="B170" s="418" t="n">
        <v>116</v>
      </c>
      <c r="C170" s="413" t="n">
        <v>166</v>
      </c>
      <c r="D170" s="495" t="n">
        <v>10</v>
      </c>
      <c r="E170" s="484" t="n">
        <f aca="false">J170</f>
        <v>-100</v>
      </c>
      <c r="F170" s="484" t="n">
        <f aca="false">K170</f>
        <v>-100</v>
      </c>
      <c r="G170" s="72" t="n">
        <v>60</v>
      </c>
      <c r="J170" s="463" t="n">
        <f aca="false">(H170-G170)/G170*100</f>
        <v>-100</v>
      </c>
      <c r="K170" s="463" t="n">
        <f aca="false">(I170-G170)/G170*100</f>
        <v>-100</v>
      </c>
      <c r="P170" s="497"/>
      <c r="Q170" s="497"/>
      <c r="R170" s="497"/>
      <c r="S170" s="497"/>
      <c r="T170" s="497"/>
      <c r="U170" s="497"/>
      <c r="V170" s="497"/>
      <c r="W170" s="497"/>
      <c r="X170" s="497"/>
      <c r="Y170" s="497"/>
      <c r="Z170" s="497"/>
      <c r="AA170" s="497"/>
      <c r="AB170" s="497"/>
      <c r="AC170" s="497"/>
      <c r="AD170" s="497"/>
      <c r="AE170" s="497"/>
      <c r="AF170" s="497"/>
      <c r="AG170" s="497"/>
      <c r="AH170" s="497"/>
      <c r="AI170" s="497"/>
      <c r="AJ170" s="497"/>
      <c r="AK170" s="497"/>
      <c r="AL170" s="497"/>
      <c r="AM170" s="497"/>
      <c r="AN170" s="497"/>
      <c r="AO170" s="497"/>
      <c r="AP170" s="497"/>
      <c r="AQ170" s="497"/>
      <c r="AR170" s="497"/>
      <c r="AS170" s="497"/>
      <c r="AT170" s="497"/>
      <c r="AU170" s="497"/>
      <c r="AV170" s="497"/>
      <c r="AW170" s="497"/>
      <c r="AX170" s="497"/>
      <c r="AY170" s="497"/>
      <c r="AZ170" s="497"/>
      <c r="BA170" s="497"/>
      <c r="BB170" s="497"/>
      <c r="BC170" s="497"/>
      <c r="BD170" s="497"/>
      <c r="BE170" s="497"/>
      <c r="BF170" s="497"/>
      <c r="BG170" s="497"/>
      <c r="BH170" s="497"/>
      <c r="BI170" s="497"/>
      <c r="BJ170" s="497"/>
      <c r="BK170" s="497"/>
      <c r="BL170" s="497"/>
      <c r="BM170" s="497"/>
      <c r="BN170" s="497"/>
      <c r="BO170" s="497"/>
      <c r="BP170" s="497"/>
      <c r="BQ170" s="497"/>
      <c r="BR170" s="497"/>
      <c r="BS170" s="497"/>
      <c r="BT170" s="497"/>
      <c r="BU170" s="497"/>
      <c r="BV170" s="497"/>
      <c r="BW170" s="497"/>
      <c r="BX170" s="497"/>
      <c r="BY170" s="497"/>
      <c r="BZ170" s="497"/>
      <c r="CA170" s="497"/>
      <c r="CB170" s="497"/>
      <c r="CC170" s="497"/>
      <c r="CD170" s="497"/>
      <c r="CE170" s="497"/>
      <c r="CF170" s="497"/>
      <c r="CG170" s="497"/>
      <c r="CH170" s="497"/>
      <c r="CI170" s="497"/>
      <c r="CJ170" s="497"/>
      <c r="CK170" s="497"/>
      <c r="CL170" s="497"/>
      <c r="CM170" s="497"/>
      <c r="CN170" s="497"/>
      <c r="CO170" s="497"/>
      <c r="CP170" s="497"/>
      <c r="CQ170" s="497"/>
      <c r="CR170" s="497"/>
      <c r="CS170" s="497"/>
      <c r="CT170" s="497"/>
      <c r="CU170" s="497"/>
      <c r="CV170" s="497"/>
      <c r="CW170" s="497"/>
      <c r="CX170" s="497"/>
      <c r="CY170" s="497"/>
      <c r="CZ170" s="497"/>
      <c r="DA170" s="497"/>
      <c r="DB170" s="497"/>
      <c r="DC170" s="497"/>
      <c r="DD170" s="497"/>
      <c r="DE170" s="497"/>
      <c r="DF170" s="497"/>
      <c r="DG170" s="497"/>
      <c r="DH170" s="497"/>
      <c r="DI170" s="497"/>
      <c r="DJ170" s="497"/>
      <c r="DK170" s="497"/>
      <c r="DL170" s="497"/>
    </row>
    <row r="171" customFormat="false" ht="15.75" hidden="false" customHeight="false" outlineLevel="0" collapsed="false">
      <c r="A171" s="407" t="s">
        <v>887</v>
      </c>
      <c r="B171" s="418" t="n">
        <v>117</v>
      </c>
      <c r="C171" s="413" t="n">
        <v>167</v>
      </c>
      <c r="D171" s="495" t="n">
        <v>10</v>
      </c>
      <c r="E171" s="484" t="n">
        <f aca="false">J171</f>
        <v>-100</v>
      </c>
      <c r="F171" s="484" t="n">
        <f aca="false">K171</f>
        <v>-100</v>
      </c>
      <c r="G171" s="72" t="n">
        <v>60</v>
      </c>
      <c r="J171" s="463" t="n">
        <f aca="false">(H171-G171)/G171*100</f>
        <v>-100</v>
      </c>
      <c r="K171" s="463" t="n">
        <f aca="false">(I171-G171)/G171*100</f>
        <v>-100</v>
      </c>
      <c r="P171" s="497"/>
      <c r="Q171" s="497"/>
      <c r="R171" s="497"/>
      <c r="S171" s="497"/>
      <c r="T171" s="497"/>
      <c r="U171" s="497"/>
      <c r="V171" s="497"/>
      <c r="W171" s="497"/>
      <c r="X171" s="497"/>
      <c r="Y171" s="497"/>
      <c r="Z171" s="497"/>
      <c r="AA171" s="497"/>
      <c r="AB171" s="497"/>
      <c r="AC171" s="497"/>
      <c r="AD171" s="497"/>
      <c r="AE171" s="497"/>
      <c r="AF171" s="497"/>
      <c r="AG171" s="497"/>
      <c r="AH171" s="497"/>
      <c r="AI171" s="497"/>
      <c r="AJ171" s="497"/>
      <c r="AK171" s="497"/>
      <c r="AL171" s="497"/>
      <c r="AM171" s="497"/>
      <c r="AN171" s="497"/>
      <c r="AO171" s="497"/>
      <c r="AP171" s="497"/>
      <c r="AQ171" s="497"/>
      <c r="AR171" s="497"/>
      <c r="AS171" s="497"/>
      <c r="AT171" s="497"/>
      <c r="AU171" s="497"/>
      <c r="AV171" s="497"/>
      <c r="AW171" s="497"/>
      <c r="AX171" s="497"/>
      <c r="AY171" s="497"/>
      <c r="AZ171" s="497"/>
      <c r="BA171" s="497"/>
      <c r="BB171" s="497"/>
      <c r="BC171" s="497"/>
      <c r="BD171" s="497"/>
      <c r="BE171" s="497"/>
      <c r="BF171" s="497"/>
      <c r="BG171" s="497"/>
      <c r="BH171" s="497"/>
      <c r="BI171" s="497"/>
      <c r="BJ171" s="497"/>
      <c r="BK171" s="497"/>
      <c r="BL171" s="497"/>
      <c r="BM171" s="497"/>
      <c r="BN171" s="497"/>
      <c r="BO171" s="497"/>
      <c r="BP171" s="497"/>
      <c r="BQ171" s="497"/>
      <c r="BR171" s="497"/>
      <c r="BS171" s="497"/>
      <c r="BT171" s="497"/>
      <c r="BU171" s="497"/>
      <c r="BV171" s="497"/>
      <c r="BW171" s="497"/>
      <c r="BX171" s="497"/>
      <c r="BY171" s="497"/>
      <c r="BZ171" s="497"/>
      <c r="CA171" s="497"/>
      <c r="CB171" s="497"/>
      <c r="CC171" s="497"/>
      <c r="CD171" s="497"/>
      <c r="CE171" s="497"/>
      <c r="CF171" s="497"/>
      <c r="CG171" s="497"/>
      <c r="CH171" s="497"/>
      <c r="CI171" s="497"/>
      <c r="CJ171" s="497"/>
      <c r="CK171" s="497"/>
      <c r="CL171" s="497"/>
      <c r="CM171" s="497"/>
      <c r="CN171" s="497"/>
      <c r="CO171" s="497"/>
      <c r="CP171" s="497"/>
      <c r="CQ171" s="497"/>
      <c r="CR171" s="497"/>
      <c r="CS171" s="497"/>
      <c r="CT171" s="497"/>
      <c r="CU171" s="497"/>
      <c r="CV171" s="497"/>
      <c r="CW171" s="497"/>
      <c r="CX171" s="497"/>
      <c r="CY171" s="497"/>
      <c r="CZ171" s="497"/>
      <c r="DA171" s="497"/>
      <c r="DB171" s="497"/>
      <c r="DC171" s="497"/>
      <c r="DD171" s="497"/>
      <c r="DE171" s="497"/>
      <c r="DF171" s="497"/>
      <c r="DG171" s="497"/>
      <c r="DH171" s="497"/>
      <c r="DI171" s="497"/>
      <c r="DJ171" s="497"/>
      <c r="DK171" s="497"/>
      <c r="DL171" s="497"/>
    </row>
    <row r="172" customFormat="false" ht="15.75" hidden="false" customHeight="false" outlineLevel="0" collapsed="false">
      <c r="A172" s="407" t="s">
        <v>888</v>
      </c>
      <c r="B172" s="418" t="n">
        <v>118</v>
      </c>
      <c r="C172" s="413" t="n">
        <v>168</v>
      </c>
      <c r="D172" s="495" t="n">
        <v>10</v>
      </c>
      <c r="E172" s="484" t="n">
        <f aca="false">J172</f>
        <v>-100</v>
      </c>
      <c r="F172" s="484" t="n">
        <f aca="false">K172</f>
        <v>-100</v>
      </c>
      <c r="G172" s="72" t="n">
        <v>60</v>
      </c>
      <c r="J172" s="463" t="n">
        <f aca="false">(H172-G172)/G172*100</f>
        <v>-100</v>
      </c>
      <c r="K172" s="463" t="n">
        <f aca="false">(I172-G172)/G172*100</f>
        <v>-100</v>
      </c>
      <c r="P172" s="497"/>
      <c r="Q172" s="497"/>
      <c r="R172" s="497"/>
      <c r="S172" s="497"/>
      <c r="T172" s="497"/>
      <c r="U172" s="497"/>
      <c r="V172" s="497"/>
      <c r="W172" s="497"/>
      <c r="X172" s="497"/>
      <c r="Y172" s="497"/>
      <c r="Z172" s="497"/>
      <c r="AA172" s="497"/>
      <c r="AB172" s="497"/>
      <c r="AC172" s="497"/>
      <c r="AD172" s="497"/>
      <c r="AE172" s="497"/>
      <c r="AF172" s="497"/>
      <c r="AG172" s="497"/>
      <c r="AH172" s="497"/>
      <c r="AI172" s="497"/>
      <c r="AJ172" s="497"/>
      <c r="AK172" s="497"/>
      <c r="AL172" s="497"/>
      <c r="AM172" s="497"/>
      <c r="AN172" s="497"/>
      <c r="AO172" s="497"/>
      <c r="AP172" s="497"/>
      <c r="AQ172" s="497"/>
      <c r="AR172" s="497"/>
      <c r="AS172" s="497"/>
      <c r="AT172" s="497"/>
      <c r="AU172" s="497"/>
      <c r="AV172" s="497"/>
      <c r="AW172" s="497"/>
      <c r="AX172" s="497"/>
      <c r="AY172" s="497"/>
      <c r="AZ172" s="497"/>
      <c r="BA172" s="497"/>
      <c r="BB172" s="497"/>
      <c r="BC172" s="497"/>
      <c r="BD172" s="497"/>
      <c r="BE172" s="497"/>
      <c r="BF172" s="497"/>
      <c r="BG172" s="497"/>
      <c r="BH172" s="497"/>
      <c r="BI172" s="497"/>
      <c r="BJ172" s="497"/>
      <c r="BK172" s="497"/>
      <c r="BL172" s="497"/>
      <c r="BM172" s="497"/>
      <c r="BN172" s="497"/>
      <c r="BO172" s="497"/>
      <c r="BP172" s="497"/>
      <c r="BQ172" s="497"/>
      <c r="BR172" s="497"/>
      <c r="BS172" s="497"/>
      <c r="BT172" s="497"/>
      <c r="BU172" s="497"/>
      <c r="BV172" s="497"/>
      <c r="BW172" s="497"/>
      <c r="BX172" s="497"/>
      <c r="BY172" s="497"/>
      <c r="BZ172" s="497"/>
      <c r="CA172" s="497"/>
      <c r="CB172" s="497"/>
      <c r="CC172" s="497"/>
      <c r="CD172" s="497"/>
      <c r="CE172" s="497"/>
      <c r="CF172" s="497"/>
      <c r="CG172" s="497"/>
      <c r="CH172" s="497"/>
      <c r="CI172" s="497"/>
      <c r="CJ172" s="497"/>
      <c r="CK172" s="497"/>
      <c r="CL172" s="497"/>
      <c r="CM172" s="497"/>
      <c r="CN172" s="497"/>
      <c r="CO172" s="497"/>
      <c r="CP172" s="497"/>
      <c r="CQ172" s="497"/>
      <c r="CR172" s="497"/>
      <c r="CS172" s="497"/>
      <c r="CT172" s="497"/>
      <c r="CU172" s="497"/>
      <c r="CV172" s="497"/>
      <c r="CW172" s="497"/>
      <c r="CX172" s="497"/>
      <c r="CY172" s="497"/>
      <c r="CZ172" s="497"/>
      <c r="DA172" s="497"/>
      <c r="DB172" s="497"/>
      <c r="DC172" s="497"/>
      <c r="DD172" s="497"/>
      <c r="DE172" s="497"/>
      <c r="DF172" s="497"/>
      <c r="DG172" s="497"/>
      <c r="DH172" s="497"/>
      <c r="DI172" s="497"/>
      <c r="DJ172" s="497"/>
      <c r="DK172" s="497"/>
      <c r="DL172" s="497"/>
    </row>
    <row r="173" customFormat="false" ht="15.75" hidden="false" customHeight="false" outlineLevel="0" collapsed="false">
      <c r="A173" s="407" t="s">
        <v>912</v>
      </c>
      <c r="B173" s="413" t="n">
        <v>157</v>
      </c>
      <c r="C173" s="412" t="n">
        <v>169</v>
      </c>
      <c r="D173" s="496"/>
      <c r="E173" s="484"/>
      <c r="F173" s="484"/>
      <c r="G173" s="72" t="n">
        <v>0</v>
      </c>
      <c r="P173" s="497"/>
      <c r="Q173" s="497"/>
      <c r="R173" s="497"/>
      <c r="S173" s="497"/>
      <c r="T173" s="497"/>
      <c r="U173" s="497"/>
      <c r="V173" s="497"/>
      <c r="W173" s="497"/>
      <c r="X173" s="497"/>
      <c r="Y173" s="497"/>
      <c r="Z173" s="497"/>
      <c r="AA173" s="497"/>
      <c r="AB173" s="497"/>
      <c r="AC173" s="497"/>
      <c r="AD173" s="497"/>
      <c r="AE173" s="497"/>
      <c r="AF173" s="497"/>
      <c r="AG173" s="497"/>
      <c r="AH173" s="497"/>
      <c r="AI173" s="497"/>
      <c r="AJ173" s="497"/>
      <c r="AK173" s="497"/>
      <c r="AL173" s="497"/>
      <c r="AM173" s="497"/>
      <c r="AN173" s="497"/>
      <c r="AO173" s="497"/>
      <c r="AP173" s="497"/>
      <c r="AQ173" s="497"/>
      <c r="AR173" s="497"/>
      <c r="AS173" s="497"/>
      <c r="AT173" s="497"/>
      <c r="AU173" s="497"/>
      <c r="AV173" s="497"/>
      <c r="AW173" s="497"/>
      <c r="AX173" s="497"/>
      <c r="AY173" s="497"/>
      <c r="AZ173" s="497"/>
      <c r="BA173" s="497"/>
      <c r="BB173" s="497"/>
      <c r="BC173" s="497"/>
      <c r="BD173" s="497"/>
      <c r="BE173" s="497"/>
      <c r="BF173" s="497"/>
      <c r="BG173" s="497"/>
      <c r="BH173" s="497"/>
      <c r="BI173" s="497"/>
      <c r="BJ173" s="497"/>
      <c r="BK173" s="497"/>
      <c r="BL173" s="497"/>
      <c r="BM173" s="497"/>
      <c r="BN173" s="497"/>
      <c r="BO173" s="497"/>
      <c r="BP173" s="497"/>
      <c r="BQ173" s="497"/>
      <c r="BR173" s="497"/>
      <c r="BS173" s="497"/>
      <c r="BT173" s="497"/>
      <c r="BU173" s="497"/>
      <c r="BV173" s="497"/>
      <c r="BW173" s="497"/>
      <c r="BX173" s="497"/>
      <c r="BY173" s="497"/>
      <c r="BZ173" s="497"/>
      <c r="CA173" s="497"/>
      <c r="CB173" s="497"/>
      <c r="CC173" s="497"/>
      <c r="CD173" s="497"/>
      <c r="CE173" s="497"/>
      <c r="CF173" s="497"/>
      <c r="CG173" s="497"/>
      <c r="CH173" s="497"/>
      <c r="CI173" s="497"/>
      <c r="CJ173" s="497"/>
      <c r="CK173" s="497"/>
      <c r="CL173" s="497"/>
      <c r="CM173" s="497"/>
      <c r="CN173" s="497"/>
      <c r="CO173" s="497"/>
      <c r="CP173" s="497"/>
      <c r="CQ173" s="497"/>
      <c r="CR173" s="497"/>
      <c r="CS173" s="497"/>
      <c r="CT173" s="497"/>
      <c r="CU173" s="497"/>
      <c r="CV173" s="497"/>
      <c r="CW173" s="497"/>
      <c r="CX173" s="497"/>
      <c r="CY173" s="497"/>
      <c r="CZ173" s="497"/>
      <c r="DA173" s="497"/>
      <c r="DB173" s="497"/>
      <c r="DC173" s="497"/>
      <c r="DD173" s="497"/>
      <c r="DE173" s="497"/>
      <c r="DF173" s="497"/>
      <c r="DG173" s="497"/>
      <c r="DH173" s="497"/>
      <c r="DI173" s="497"/>
      <c r="DJ173" s="497"/>
      <c r="DK173" s="497"/>
      <c r="DL173" s="497"/>
    </row>
    <row r="174" customFormat="false" ht="15.75" hidden="false" customHeight="false" outlineLevel="0" collapsed="false">
      <c r="A174" s="407" t="s">
        <v>913</v>
      </c>
      <c r="B174" s="413" t="n">
        <v>158</v>
      </c>
      <c r="C174" s="412" t="n">
        <v>170</v>
      </c>
      <c r="D174" s="496"/>
      <c r="E174" s="484"/>
      <c r="F174" s="484"/>
      <c r="G174" s="72" t="n">
        <v>0</v>
      </c>
      <c r="P174" s="497"/>
      <c r="Q174" s="497"/>
      <c r="R174" s="497"/>
      <c r="S174" s="497"/>
      <c r="T174" s="497"/>
      <c r="U174" s="497"/>
      <c r="V174" s="497"/>
      <c r="W174" s="497"/>
      <c r="X174" s="497"/>
      <c r="Y174" s="497"/>
      <c r="Z174" s="497"/>
      <c r="AA174" s="497"/>
      <c r="AB174" s="497"/>
      <c r="AC174" s="497"/>
      <c r="AD174" s="497"/>
      <c r="AE174" s="497"/>
      <c r="AF174" s="497"/>
      <c r="AG174" s="497"/>
      <c r="AH174" s="497"/>
      <c r="AI174" s="497"/>
      <c r="AJ174" s="497"/>
      <c r="AK174" s="497"/>
      <c r="AL174" s="497"/>
      <c r="AM174" s="497"/>
      <c r="AN174" s="497"/>
      <c r="AO174" s="497"/>
      <c r="AP174" s="497"/>
      <c r="AQ174" s="497"/>
      <c r="AR174" s="497"/>
      <c r="AS174" s="497"/>
      <c r="AT174" s="497"/>
      <c r="AU174" s="497"/>
      <c r="AV174" s="497"/>
      <c r="AW174" s="497"/>
      <c r="AX174" s="497"/>
      <c r="AY174" s="497"/>
      <c r="AZ174" s="497"/>
      <c r="BA174" s="497"/>
      <c r="BB174" s="497"/>
      <c r="BC174" s="497"/>
      <c r="BD174" s="497"/>
      <c r="BE174" s="497"/>
      <c r="BF174" s="497"/>
      <c r="BG174" s="497"/>
      <c r="BH174" s="497"/>
      <c r="BI174" s="497"/>
      <c r="BJ174" s="497"/>
      <c r="BK174" s="497"/>
      <c r="BL174" s="497"/>
      <c r="BM174" s="497"/>
      <c r="BN174" s="497"/>
      <c r="BO174" s="497"/>
      <c r="BP174" s="497"/>
      <c r="BQ174" s="497"/>
      <c r="BR174" s="497"/>
      <c r="BS174" s="497"/>
      <c r="BT174" s="497"/>
      <c r="BU174" s="497"/>
      <c r="BV174" s="497"/>
      <c r="BW174" s="497"/>
      <c r="BX174" s="497"/>
      <c r="BY174" s="497"/>
      <c r="BZ174" s="497"/>
      <c r="CA174" s="497"/>
      <c r="CB174" s="497"/>
      <c r="CC174" s="497"/>
      <c r="CD174" s="497"/>
      <c r="CE174" s="497"/>
      <c r="CF174" s="497"/>
      <c r="CG174" s="497"/>
      <c r="CH174" s="497"/>
      <c r="CI174" s="497"/>
      <c r="CJ174" s="497"/>
      <c r="CK174" s="497"/>
      <c r="CL174" s="497"/>
      <c r="CM174" s="497"/>
      <c r="CN174" s="497"/>
      <c r="CO174" s="497"/>
      <c r="CP174" s="497"/>
      <c r="CQ174" s="497"/>
      <c r="CR174" s="497"/>
      <c r="CS174" s="497"/>
      <c r="CT174" s="497"/>
      <c r="CU174" s="497"/>
      <c r="CV174" s="497"/>
      <c r="CW174" s="497"/>
      <c r="CX174" s="497"/>
      <c r="CY174" s="497"/>
      <c r="CZ174" s="497"/>
      <c r="DA174" s="497"/>
      <c r="DB174" s="497"/>
      <c r="DC174" s="497"/>
      <c r="DD174" s="497"/>
      <c r="DE174" s="497"/>
      <c r="DF174" s="497"/>
      <c r="DG174" s="497"/>
      <c r="DH174" s="497"/>
      <c r="DI174" s="497"/>
      <c r="DJ174" s="497"/>
      <c r="DK174" s="497"/>
      <c r="DL174" s="497"/>
    </row>
    <row r="175" customFormat="false" ht="15.75" hidden="false" customHeight="false" outlineLevel="0" collapsed="false">
      <c r="A175" s="407" t="s">
        <v>918</v>
      </c>
      <c r="B175" s="413" t="n">
        <v>159</v>
      </c>
      <c r="C175" s="412" t="n">
        <v>171</v>
      </c>
      <c r="D175" s="496"/>
      <c r="E175" s="484"/>
      <c r="F175" s="484"/>
      <c r="G175" s="72" t="n">
        <v>2</v>
      </c>
      <c r="P175" s="497"/>
      <c r="Q175" s="497"/>
      <c r="R175" s="497"/>
      <c r="S175" s="497"/>
      <c r="T175" s="497"/>
      <c r="U175" s="497"/>
      <c r="V175" s="497"/>
      <c r="W175" s="497"/>
      <c r="X175" s="497"/>
      <c r="Y175" s="497"/>
      <c r="Z175" s="497"/>
      <c r="AA175" s="497"/>
      <c r="AB175" s="497"/>
      <c r="AC175" s="497"/>
      <c r="AD175" s="497"/>
      <c r="AE175" s="497"/>
      <c r="AF175" s="497"/>
      <c r="AG175" s="497"/>
      <c r="AH175" s="497"/>
      <c r="AI175" s="497"/>
      <c r="AJ175" s="497"/>
      <c r="AK175" s="497"/>
      <c r="AL175" s="497"/>
      <c r="AM175" s="497"/>
      <c r="AN175" s="497"/>
      <c r="AO175" s="497"/>
      <c r="AP175" s="497"/>
      <c r="AQ175" s="497"/>
      <c r="AR175" s="497"/>
      <c r="AS175" s="497"/>
      <c r="AT175" s="497"/>
      <c r="AU175" s="497"/>
      <c r="AV175" s="497"/>
      <c r="AW175" s="497"/>
      <c r="AX175" s="497"/>
      <c r="AY175" s="497"/>
      <c r="AZ175" s="497"/>
      <c r="BA175" s="497"/>
      <c r="BB175" s="497"/>
      <c r="BC175" s="497"/>
      <c r="BD175" s="497"/>
      <c r="BE175" s="497"/>
      <c r="BF175" s="497"/>
      <c r="BG175" s="497"/>
      <c r="BH175" s="497"/>
      <c r="BI175" s="497"/>
      <c r="BJ175" s="497"/>
      <c r="BK175" s="497"/>
      <c r="BL175" s="497"/>
      <c r="BM175" s="497"/>
      <c r="BN175" s="497"/>
      <c r="BO175" s="497"/>
      <c r="BP175" s="497"/>
      <c r="BQ175" s="497"/>
      <c r="BR175" s="497"/>
      <c r="BS175" s="497"/>
      <c r="BT175" s="497"/>
      <c r="BU175" s="497"/>
      <c r="BV175" s="497"/>
      <c r="BW175" s="497"/>
      <c r="BX175" s="497"/>
      <c r="BY175" s="497"/>
      <c r="BZ175" s="497"/>
      <c r="CA175" s="497"/>
      <c r="CB175" s="497"/>
      <c r="CC175" s="497"/>
      <c r="CD175" s="497"/>
      <c r="CE175" s="497"/>
      <c r="CF175" s="497"/>
      <c r="CG175" s="497"/>
      <c r="CH175" s="497"/>
      <c r="CI175" s="497"/>
      <c r="CJ175" s="497"/>
      <c r="CK175" s="497"/>
      <c r="CL175" s="497"/>
      <c r="CM175" s="497"/>
      <c r="CN175" s="497"/>
      <c r="CO175" s="497"/>
      <c r="CP175" s="497"/>
      <c r="CQ175" s="497"/>
      <c r="CR175" s="497"/>
      <c r="CS175" s="497"/>
      <c r="CT175" s="497"/>
      <c r="CU175" s="497"/>
      <c r="CV175" s="497"/>
      <c r="CW175" s="497"/>
      <c r="CX175" s="497"/>
      <c r="CY175" s="497"/>
      <c r="CZ175" s="497"/>
      <c r="DA175" s="497"/>
      <c r="DB175" s="497"/>
      <c r="DC175" s="497"/>
      <c r="DD175" s="497"/>
      <c r="DE175" s="497"/>
      <c r="DF175" s="497"/>
      <c r="DG175" s="497"/>
      <c r="DH175" s="497"/>
      <c r="DI175" s="497"/>
      <c r="DJ175" s="497"/>
      <c r="DK175" s="497"/>
      <c r="DL175" s="497"/>
    </row>
    <row r="176" customFormat="false" ht="15.75" hidden="false" customHeight="false" outlineLevel="0" collapsed="false">
      <c r="A176" s="407" t="s">
        <v>919</v>
      </c>
      <c r="B176" s="413" t="n">
        <v>160</v>
      </c>
      <c r="C176" s="412" t="n">
        <v>172</v>
      </c>
      <c r="D176" s="496"/>
      <c r="E176" s="484"/>
      <c r="F176" s="484"/>
      <c r="G176" s="72" t="n">
        <v>0.005</v>
      </c>
      <c r="P176" s="497"/>
      <c r="Q176" s="497"/>
      <c r="R176" s="497"/>
      <c r="S176" s="497"/>
      <c r="T176" s="497"/>
      <c r="U176" s="497"/>
      <c r="V176" s="497"/>
      <c r="W176" s="497"/>
      <c r="X176" s="497"/>
      <c r="Y176" s="497"/>
      <c r="Z176" s="497"/>
      <c r="AA176" s="497"/>
      <c r="AB176" s="497"/>
      <c r="AC176" s="497"/>
      <c r="AD176" s="497"/>
      <c r="AE176" s="497"/>
      <c r="AF176" s="497"/>
      <c r="AG176" s="497"/>
      <c r="AH176" s="497"/>
      <c r="AI176" s="497"/>
      <c r="AJ176" s="497"/>
      <c r="AK176" s="497"/>
      <c r="AL176" s="497"/>
      <c r="AM176" s="497"/>
      <c r="AN176" s="497"/>
      <c r="AO176" s="497"/>
      <c r="AP176" s="497"/>
      <c r="AQ176" s="497"/>
      <c r="AR176" s="497"/>
      <c r="AS176" s="497"/>
      <c r="AT176" s="497"/>
      <c r="AU176" s="497"/>
      <c r="AV176" s="497"/>
      <c r="AW176" s="497"/>
      <c r="AX176" s="497"/>
      <c r="AY176" s="497"/>
      <c r="AZ176" s="497"/>
      <c r="BA176" s="497"/>
      <c r="BB176" s="497"/>
      <c r="BC176" s="497"/>
      <c r="BD176" s="497"/>
      <c r="BE176" s="497"/>
      <c r="BF176" s="497"/>
      <c r="BG176" s="497"/>
      <c r="BH176" s="497"/>
      <c r="BI176" s="497"/>
      <c r="BJ176" s="497"/>
      <c r="BK176" s="497"/>
      <c r="BL176" s="497"/>
      <c r="BM176" s="497"/>
      <c r="BN176" s="497"/>
      <c r="BO176" s="497"/>
      <c r="BP176" s="497"/>
      <c r="BQ176" s="497"/>
      <c r="BR176" s="497"/>
      <c r="BS176" s="497"/>
      <c r="BT176" s="497"/>
      <c r="BU176" s="497"/>
      <c r="BV176" s="497"/>
      <c r="BW176" s="497"/>
      <c r="BX176" s="497"/>
      <c r="BY176" s="497"/>
      <c r="BZ176" s="497"/>
      <c r="CA176" s="497"/>
      <c r="CB176" s="497"/>
      <c r="CC176" s="497"/>
      <c r="CD176" s="497"/>
      <c r="CE176" s="497"/>
      <c r="CF176" s="497"/>
      <c r="CG176" s="497"/>
      <c r="CH176" s="497"/>
      <c r="CI176" s="497"/>
      <c r="CJ176" s="497"/>
      <c r="CK176" s="497"/>
      <c r="CL176" s="497"/>
      <c r="CM176" s="497"/>
      <c r="CN176" s="497"/>
      <c r="CO176" s="497"/>
      <c r="CP176" s="497"/>
      <c r="CQ176" s="497"/>
      <c r="CR176" s="497"/>
      <c r="CS176" s="497"/>
      <c r="CT176" s="497"/>
      <c r="CU176" s="497"/>
      <c r="CV176" s="497"/>
      <c r="CW176" s="497"/>
      <c r="CX176" s="497"/>
      <c r="CY176" s="497"/>
      <c r="CZ176" s="497"/>
      <c r="DA176" s="497"/>
      <c r="DB176" s="497"/>
      <c r="DC176" s="497"/>
      <c r="DD176" s="497"/>
      <c r="DE176" s="497"/>
      <c r="DF176" s="497"/>
      <c r="DG176" s="497"/>
      <c r="DH176" s="497"/>
      <c r="DI176" s="497"/>
      <c r="DJ176" s="497"/>
      <c r="DK176" s="497"/>
      <c r="DL176" s="497"/>
    </row>
    <row r="177" customFormat="false" ht="15.75" hidden="false" customHeight="false" outlineLevel="0" collapsed="false">
      <c r="A177" s="407" t="s">
        <v>920</v>
      </c>
      <c r="B177" s="413" t="n">
        <v>161</v>
      </c>
      <c r="C177" s="412" t="n">
        <v>173</v>
      </c>
      <c r="D177" s="496"/>
      <c r="E177" s="484"/>
      <c r="F177" s="484"/>
      <c r="G177" s="72" t="n">
        <v>0.02</v>
      </c>
      <c r="P177" s="497"/>
      <c r="Q177" s="497"/>
      <c r="R177" s="497"/>
      <c r="S177" s="497"/>
      <c r="T177" s="497"/>
      <c r="U177" s="497"/>
      <c r="V177" s="497"/>
      <c r="W177" s="497"/>
      <c r="X177" s="497"/>
      <c r="Y177" s="497"/>
      <c r="Z177" s="497"/>
      <c r="AA177" s="497"/>
      <c r="AB177" s="497"/>
      <c r="AC177" s="497"/>
      <c r="AD177" s="497"/>
      <c r="AE177" s="497"/>
      <c r="AF177" s="497"/>
      <c r="AG177" s="497"/>
      <c r="AH177" s="497"/>
      <c r="AI177" s="497"/>
      <c r="AJ177" s="497"/>
      <c r="AK177" s="497"/>
      <c r="AL177" s="497"/>
      <c r="AM177" s="497"/>
      <c r="AN177" s="497"/>
      <c r="AO177" s="497"/>
      <c r="AP177" s="497"/>
      <c r="AQ177" s="497"/>
      <c r="AR177" s="497"/>
      <c r="AS177" s="497"/>
      <c r="AT177" s="497"/>
      <c r="AU177" s="497"/>
      <c r="AV177" s="497"/>
      <c r="AW177" s="497"/>
      <c r="AX177" s="497"/>
      <c r="AY177" s="497"/>
      <c r="AZ177" s="497"/>
      <c r="BA177" s="497"/>
      <c r="BB177" s="497"/>
      <c r="BC177" s="497"/>
      <c r="BD177" s="497"/>
      <c r="BE177" s="497"/>
      <c r="BF177" s="497"/>
      <c r="BG177" s="497"/>
      <c r="BH177" s="497"/>
      <c r="BI177" s="497"/>
      <c r="BJ177" s="497"/>
      <c r="BK177" s="497"/>
      <c r="BL177" s="497"/>
      <c r="BM177" s="497"/>
      <c r="BN177" s="497"/>
      <c r="BO177" s="497"/>
      <c r="BP177" s="497"/>
      <c r="BQ177" s="497"/>
      <c r="BR177" s="497"/>
      <c r="BS177" s="497"/>
      <c r="BT177" s="497"/>
      <c r="BU177" s="497"/>
      <c r="BV177" s="497"/>
      <c r="BW177" s="497"/>
      <c r="BX177" s="497"/>
      <c r="BY177" s="497"/>
      <c r="BZ177" s="497"/>
      <c r="CA177" s="497"/>
      <c r="CB177" s="497"/>
      <c r="CC177" s="497"/>
      <c r="CD177" s="497"/>
      <c r="CE177" s="497"/>
      <c r="CF177" s="497"/>
      <c r="CG177" s="497"/>
      <c r="CH177" s="497"/>
      <c r="CI177" s="497"/>
      <c r="CJ177" s="497"/>
      <c r="CK177" s="497"/>
      <c r="CL177" s="497"/>
      <c r="CM177" s="497"/>
      <c r="CN177" s="497"/>
      <c r="CO177" s="497"/>
      <c r="CP177" s="497"/>
      <c r="CQ177" s="497"/>
      <c r="CR177" s="497"/>
      <c r="CS177" s="497"/>
      <c r="CT177" s="497"/>
      <c r="CU177" s="497"/>
      <c r="CV177" s="497"/>
      <c r="CW177" s="497"/>
      <c r="CX177" s="497"/>
      <c r="CY177" s="497"/>
      <c r="CZ177" s="497"/>
      <c r="DA177" s="497"/>
      <c r="DB177" s="497"/>
      <c r="DC177" s="497"/>
      <c r="DD177" s="497"/>
      <c r="DE177" s="497"/>
      <c r="DF177" s="497"/>
      <c r="DG177" s="497"/>
      <c r="DH177" s="497"/>
      <c r="DI177" s="497"/>
      <c r="DJ177" s="497"/>
      <c r="DK177" s="497"/>
      <c r="DL177" s="497"/>
    </row>
    <row r="178" customFormat="false" ht="15.75" hidden="false" customHeight="false" outlineLevel="0" collapsed="false">
      <c r="A178" s="407" t="s">
        <v>921</v>
      </c>
      <c r="B178" s="413" t="n">
        <v>162</v>
      </c>
      <c r="C178" s="412" t="n">
        <v>174</v>
      </c>
      <c r="D178" s="496"/>
      <c r="E178" s="484"/>
      <c r="F178" s="484"/>
      <c r="G178" s="72" t="n">
        <v>10</v>
      </c>
      <c r="P178" s="497"/>
      <c r="Q178" s="497"/>
      <c r="R178" s="497"/>
      <c r="S178" s="497"/>
      <c r="T178" s="497"/>
      <c r="U178" s="497"/>
      <c r="V178" s="497"/>
      <c r="W178" s="497"/>
      <c r="X178" s="497"/>
      <c r="Y178" s="497"/>
      <c r="Z178" s="497"/>
      <c r="AA178" s="497"/>
      <c r="AB178" s="497"/>
      <c r="AC178" s="497"/>
      <c r="AD178" s="497"/>
      <c r="AE178" s="497"/>
      <c r="AF178" s="497"/>
      <c r="AG178" s="497"/>
      <c r="AH178" s="497"/>
      <c r="AI178" s="497"/>
      <c r="AJ178" s="497"/>
      <c r="AK178" s="497"/>
      <c r="AL178" s="497"/>
      <c r="AM178" s="497"/>
      <c r="AN178" s="497"/>
      <c r="AO178" s="497"/>
      <c r="AP178" s="497"/>
      <c r="AQ178" s="497"/>
      <c r="AR178" s="497"/>
      <c r="AS178" s="497"/>
      <c r="AT178" s="497"/>
      <c r="AU178" s="497"/>
      <c r="AV178" s="497"/>
      <c r="AW178" s="497"/>
      <c r="AX178" s="497"/>
      <c r="AY178" s="497"/>
      <c r="AZ178" s="497"/>
      <c r="BA178" s="497"/>
      <c r="BB178" s="497"/>
      <c r="BC178" s="497"/>
      <c r="BD178" s="497"/>
      <c r="BE178" s="497"/>
      <c r="BF178" s="497"/>
      <c r="BG178" s="497"/>
      <c r="BH178" s="497"/>
      <c r="BI178" s="497"/>
      <c r="BJ178" s="497"/>
      <c r="BK178" s="497"/>
      <c r="BL178" s="497"/>
      <c r="BM178" s="497"/>
      <c r="BN178" s="497"/>
      <c r="BO178" s="497"/>
      <c r="BP178" s="497"/>
      <c r="BQ178" s="497"/>
      <c r="BR178" s="497"/>
      <c r="BS178" s="497"/>
      <c r="BT178" s="497"/>
      <c r="BU178" s="497"/>
      <c r="BV178" s="497"/>
      <c r="BW178" s="497"/>
      <c r="BX178" s="497"/>
      <c r="BY178" s="497"/>
      <c r="BZ178" s="497"/>
      <c r="CA178" s="497"/>
      <c r="CB178" s="497"/>
      <c r="CC178" s="497"/>
      <c r="CD178" s="497"/>
      <c r="CE178" s="497"/>
      <c r="CF178" s="497"/>
      <c r="CG178" s="497"/>
      <c r="CH178" s="497"/>
      <c r="CI178" s="497"/>
      <c r="CJ178" s="497"/>
      <c r="CK178" s="497"/>
      <c r="CL178" s="497"/>
      <c r="CM178" s="497"/>
      <c r="CN178" s="497"/>
      <c r="CO178" s="497"/>
      <c r="CP178" s="497"/>
      <c r="CQ178" s="497"/>
      <c r="CR178" s="497"/>
      <c r="CS178" s="497"/>
      <c r="CT178" s="497"/>
      <c r="CU178" s="497"/>
      <c r="CV178" s="497"/>
      <c r="CW178" s="497"/>
      <c r="CX178" s="497"/>
      <c r="CY178" s="497"/>
      <c r="CZ178" s="497"/>
      <c r="DA178" s="497"/>
      <c r="DB178" s="497"/>
      <c r="DC178" s="497"/>
      <c r="DD178" s="497"/>
      <c r="DE178" s="497"/>
      <c r="DF178" s="497"/>
      <c r="DG178" s="497"/>
      <c r="DH178" s="497"/>
      <c r="DI178" s="497"/>
      <c r="DJ178" s="497"/>
      <c r="DK178" s="497"/>
      <c r="DL178" s="497"/>
    </row>
    <row r="179" customFormat="false" ht="15.75" hidden="false" customHeight="false" outlineLevel="0" collapsed="false">
      <c r="A179" s="407" t="s">
        <v>922</v>
      </c>
      <c r="B179" s="413" t="n">
        <v>163</v>
      </c>
      <c r="C179" s="412" t="n">
        <v>175</v>
      </c>
      <c r="D179" s="496"/>
      <c r="E179" s="484"/>
      <c r="F179" s="484"/>
      <c r="G179" s="72" t="n">
        <v>-2.1</v>
      </c>
    </row>
    <row r="180" customFormat="false" ht="15.75" hidden="false" customHeight="false" outlineLevel="0" collapsed="false">
      <c r="A180" s="407" t="s">
        <v>923</v>
      </c>
      <c r="B180" s="413" t="n">
        <v>164</v>
      </c>
      <c r="C180" s="412" t="n">
        <v>176</v>
      </c>
      <c r="D180" s="496"/>
      <c r="E180" s="484"/>
      <c r="F180" s="484"/>
      <c r="G180" s="72" t="n">
        <v>-3.4</v>
      </c>
    </row>
    <row r="181" customFormat="false" ht="15.75" hidden="false" customHeight="false" outlineLevel="0" collapsed="false">
      <c r="A181" s="407" t="s">
        <v>924</v>
      </c>
      <c r="B181" s="413" t="n">
        <v>165</v>
      </c>
      <c r="C181" s="412" t="n">
        <v>177</v>
      </c>
      <c r="D181" s="496"/>
      <c r="E181" s="484"/>
      <c r="F181" s="484"/>
      <c r="G181" s="72" t="n">
        <v>60</v>
      </c>
    </row>
    <row r="182" customFormat="false" ht="15.75" hidden="false" customHeight="false" outlineLevel="0" collapsed="false">
      <c r="A182" s="407" t="s">
        <v>926</v>
      </c>
      <c r="B182" s="413" t="n">
        <v>166</v>
      </c>
      <c r="C182" s="412" t="n">
        <v>178</v>
      </c>
      <c r="D182" s="496"/>
      <c r="E182" s="484"/>
      <c r="F182" s="484"/>
      <c r="G182" s="72" t="n">
        <v>1</v>
      </c>
    </row>
    <row r="183" customFormat="false" ht="15.75" hidden="false" customHeight="false" outlineLevel="0" collapsed="false">
      <c r="A183" s="407" t="s">
        <v>927</v>
      </c>
      <c r="B183" s="413" t="n">
        <v>167</v>
      </c>
      <c r="C183" s="412" t="n">
        <v>179</v>
      </c>
      <c r="D183" s="496"/>
      <c r="E183" s="484"/>
      <c r="F183" s="484"/>
      <c r="G183" s="72" t="n">
        <v>1</v>
      </c>
    </row>
    <row r="184" customFormat="false" ht="15.75" hidden="false" customHeight="false" outlineLevel="0" collapsed="false">
      <c r="A184" s="407" t="s">
        <v>928</v>
      </c>
      <c r="B184" s="413" t="n">
        <v>168</v>
      </c>
      <c r="C184" s="412" t="n">
        <v>180</v>
      </c>
      <c r="D184" s="496"/>
      <c r="E184" s="484"/>
      <c r="F184" s="484"/>
      <c r="G184" s="72" t="n">
        <v>1</v>
      </c>
    </row>
    <row r="185" customFormat="false" ht="15.75" hidden="false" customHeight="false" outlineLevel="0" collapsed="false">
      <c r="A185" s="407" t="s">
        <v>932</v>
      </c>
      <c r="B185" s="412" t="n">
        <v>188</v>
      </c>
      <c r="C185" s="412" t="n">
        <v>181</v>
      </c>
      <c r="D185" s="496"/>
      <c r="E185" s="484"/>
      <c r="F185" s="484"/>
      <c r="G185" s="72" t="n">
        <v>0.05</v>
      </c>
    </row>
    <row r="186" customFormat="false" ht="15.75" hidden="false" customHeight="false" outlineLevel="0" collapsed="false">
      <c r="A186" s="407" t="s">
        <v>914</v>
      </c>
      <c r="B186" s="413" t="n">
        <v>189</v>
      </c>
      <c r="C186" s="412" t="n">
        <v>182</v>
      </c>
      <c r="D186" s="496"/>
      <c r="E186" s="484"/>
      <c r="F186" s="484"/>
      <c r="G186" s="72" t="n">
        <v>0.001</v>
      </c>
    </row>
    <row r="187" customFormat="false" ht="15.75" hidden="false" customHeight="false" outlineLevel="0" collapsed="false">
      <c r="A187" s="407" t="s">
        <v>915</v>
      </c>
      <c r="B187" s="412" t="n">
        <v>190</v>
      </c>
      <c r="C187" s="412" t="n">
        <v>183</v>
      </c>
      <c r="D187" s="496"/>
      <c r="E187" s="484"/>
      <c r="F187" s="484"/>
      <c r="G187" s="72" t="n">
        <v>0.01</v>
      </c>
    </row>
    <row r="188" customFormat="false" ht="15.75" hidden="false" customHeight="false" outlineLevel="0" collapsed="false">
      <c r="A188" s="407" t="s">
        <v>916</v>
      </c>
      <c r="B188" s="412" t="n">
        <v>191</v>
      </c>
      <c r="C188" s="412" t="n">
        <v>184</v>
      </c>
      <c r="D188" s="496"/>
      <c r="E188" s="484"/>
      <c r="F188" s="484"/>
      <c r="G188" s="72" t="n">
        <v>0.002</v>
      </c>
    </row>
    <row r="189" customFormat="false" ht="15.75" hidden="false" customHeight="false" outlineLevel="0" collapsed="false">
      <c r="A189" s="407" t="s">
        <v>917</v>
      </c>
      <c r="B189" s="412" t="n">
        <v>192</v>
      </c>
      <c r="C189" s="412" t="n">
        <v>185</v>
      </c>
      <c r="D189" s="496"/>
      <c r="E189" s="484"/>
      <c r="F189" s="484"/>
      <c r="G189" s="72" t="n">
        <v>0.5</v>
      </c>
    </row>
    <row r="190" customFormat="false" ht="15.75" hidden="false" customHeight="false" outlineLevel="0" collapsed="false">
      <c r="A190" s="407" t="s">
        <v>933</v>
      </c>
      <c r="B190" s="412" t="n">
        <v>193</v>
      </c>
      <c r="C190" s="412" t="n">
        <v>186</v>
      </c>
      <c r="D190" s="496"/>
      <c r="E190" s="484"/>
      <c r="F190" s="484"/>
      <c r="G190" s="72" t="n">
        <v>1E-006</v>
      </c>
    </row>
    <row r="191" customFormat="false" ht="15.75" hidden="false" customHeight="false" outlineLevel="0" collapsed="false">
      <c r="A191" s="407" t="s">
        <v>934</v>
      </c>
      <c r="B191" s="412" t="n">
        <v>135</v>
      </c>
      <c r="C191" s="412" t="n">
        <v>187</v>
      </c>
      <c r="D191" s="496"/>
      <c r="E191" s="484"/>
      <c r="F191" s="484"/>
      <c r="G191" s="72" t="n">
        <v>0.5</v>
      </c>
    </row>
    <row r="192" customFormat="false" ht="15.75" hidden="false" customHeight="false" outlineLevel="0" collapsed="false">
      <c r="A192" s="407" t="s">
        <v>889</v>
      </c>
      <c r="B192" s="412" t="n">
        <v>136</v>
      </c>
      <c r="C192" s="412" t="n">
        <v>188</v>
      </c>
      <c r="D192" s="496"/>
      <c r="E192" s="484"/>
      <c r="F192" s="484"/>
      <c r="G192" s="72" t="n">
        <v>2</v>
      </c>
    </row>
    <row r="193" customFormat="false" ht="15.75" hidden="false" customHeight="false" outlineLevel="0" collapsed="false">
      <c r="A193" s="407" t="s">
        <v>890</v>
      </c>
      <c r="B193" s="412" t="n">
        <v>137</v>
      </c>
      <c r="C193" s="413" t="n">
        <v>189</v>
      </c>
      <c r="D193" s="500"/>
      <c r="E193" s="484"/>
      <c r="F193" s="484"/>
      <c r="G193" s="72" t="n">
        <v>-1</v>
      </c>
    </row>
    <row r="194" customFormat="false" ht="15.75" hidden="false" customHeight="false" outlineLevel="0" collapsed="false">
      <c r="A194" s="407" t="s">
        <v>891</v>
      </c>
      <c r="B194" s="412" t="n">
        <v>138</v>
      </c>
      <c r="C194" s="412" t="n">
        <v>190</v>
      </c>
      <c r="D194" s="496"/>
      <c r="E194" s="484"/>
      <c r="F194" s="484"/>
      <c r="G194" s="72" t="n">
        <v>0</v>
      </c>
    </row>
    <row r="195" customFormat="false" ht="15.75" hidden="false" customHeight="false" outlineLevel="0" collapsed="false">
      <c r="A195" s="407" t="s">
        <v>892</v>
      </c>
      <c r="B195" s="413" t="n">
        <v>133</v>
      </c>
      <c r="C195" s="412" t="n">
        <v>191</v>
      </c>
      <c r="D195" s="496"/>
      <c r="E195" s="484"/>
      <c r="F195" s="484"/>
      <c r="G195" s="72" t="n">
        <v>0</v>
      </c>
    </row>
    <row r="196" customFormat="false" ht="15.75" hidden="false" customHeight="false" outlineLevel="0" collapsed="false">
      <c r="A196" s="407" t="s">
        <v>893</v>
      </c>
      <c r="B196" s="413" t="n">
        <v>134</v>
      </c>
      <c r="C196" s="412" t="n">
        <v>192</v>
      </c>
      <c r="D196" s="496"/>
      <c r="E196" s="484"/>
      <c r="F196" s="484"/>
      <c r="G196" s="72" t="n">
        <v>0</v>
      </c>
    </row>
    <row r="197" customFormat="false" ht="15.75" hidden="false" customHeight="false" outlineLevel="0" collapsed="false">
      <c r="A197" s="407" t="s">
        <v>894</v>
      </c>
      <c r="B197" s="412" t="n">
        <v>169</v>
      </c>
      <c r="C197" s="412" t="n">
        <v>193</v>
      </c>
      <c r="D197" s="496"/>
      <c r="E197" s="484"/>
      <c r="F197" s="484"/>
      <c r="G197" s="72" t="n">
        <v>0</v>
      </c>
    </row>
    <row r="198" customFormat="false" ht="15.75" hidden="false" customHeight="false" outlineLevel="0" collapsed="false">
      <c r="A198" s="407" t="s">
        <v>710</v>
      </c>
      <c r="B198" s="412" t="n">
        <v>170</v>
      </c>
      <c r="C198" s="412" t="n">
        <v>194</v>
      </c>
      <c r="D198" s="496"/>
      <c r="E198" s="484"/>
      <c r="F198" s="484"/>
      <c r="G198" s="72" t="n">
        <v>0</v>
      </c>
    </row>
    <row r="199" customFormat="false" ht="15.75" hidden="false" customHeight="false" outlineLevel="0" collapsed="false">
      <c r="A199" s="406" t="s">
        <v>683</v>
      </c>
      <c r="B199" s="412" t="n">
        <v>182</v>
      </c>
      <c r="C199" s="412" t="n">
        <v>195</v>
      </c>
      <c r="D199" s="494"/>
      <c r="E199" s="484"/>
      <c r="F199" s="484"/>
      <c r="G199" s="72" t="n">
        <v>0</v>
      </c>
    </row>
    <row r="200" customFormat="false" ht="15.75" hidden="false" customHeight="false" outlineLevel="0" collapsed="false">
      <c r="A200" s="407" t="s">
        <v>731</v>
      </c>
      <c r="B200" s="412" t="n">
        <v>183</v>
      </c>
      <c r="C200" s="412" t="n">
        <v>196</v>
      </c>
      <c r="D200" s="496"/>
      <c r="E200" s="484"/>
      <c r="F200" s="484"/>
      <c r="G200" s="72" t="n">
        <v>0</v>
      </c>
    </row>
    <row r="201" customFormat="false" ht="15.75" hidden="false" customHeight="false" outlineLevel="0" collapsed="false">
      <c r="A201" s="407" t="s">
        <v>732</v>
      </c>
      <c r="B201" s="412" t="n">
        <v>184</v>
      </c>
      <c r="C201" s="412" t="n">
        <v>197</v>
      </c>
      <c r="D201" s="496"/>
      <c r="E201" s="484"/>
      <c r="F201" s="484"/>
      <c r="G201" s="72" t="n">
        <v>0</v>
      </c>
    </row>
    <row r="202" customFormat="false" ht="15.75" hidden="false" customHeight="false" outlineLevel="0" collapsed="false">
      <c r="A202" s="407" t="s">
        <v>827</v>
      </c>
      <c r="B202" s="412" t="n">
        <v>185</v>
      </c>
      <c r="C202" s="412" t="n">
        <v>198</v>
      </c>
      <c r="D202" s="496"/>
      <c r="E202" s="484"/>
      <c r="F202" s="484"/>
      <c r="G202" s="72" t="n">
        <v>-5</v>
      </c>
      <c r="H202" s="0" t="n">
        <v>-10</v>
      </c>
      <c r="I202" s="0" t="n">
        <v>0</v>
      </c>
      <c r="J202" s="463" t="n">
        <f aca="false">(H202-G202)/G202*100</f>
        <v>100</v>
      </c>
      <c r="K202" s="463" t="n">
        <f aca="false">(I202-G202)/G202*100</f>
        <v>-100</v>
      </c>
    </row>
    <row r="203" customFormat="false" ht="15.75" hidden="false" customHeight="false" outlineLevel="0" collapsed="false">
      <c r="A203" s="408" t="s">
        <v>703</v>
      </c>
      <c r="B203" s="412" t="n">
        <v>171</v>
      </c>
      <c r="C203" s="412" t="n">
        <v>199</v>
      </c>
      <c r="D203" s="494"/>
      <c r="E203" s="484"/>
      <c r="F203" s="484"/>
      <c r="G203" s="72" t="n">
        <v>12</v>
      </c>
    </row>
    <row r="204" customFormat="false" ht="15.75" hidden="false" customHeight="false" outlineLevel="0" collapsed="false">
      <c r="A204" s="408" t="s">
        <v>704</v>
      </c>
      <c r="B204" s="412" t="n">
        <v>172</v>
      </c>
      <c r="C204" s="412" t="n">
        <v>200</v>
      </c>
      <c r="D204" s="494"/>
      <c r="E204" s="484"/>
      <c r="F204" s="484"/>
      <c r="G204" s="72" t="n">
        <v>2</v>
      </c>
    </row>
    <row r="205" customFormat="false" ht="15.75" hidden="false" customHeight="false" outlineLevel="0" collapsed="false">
      <c r="A205" s="407" t="s">
        <v>859</v>
      </c>
      <c r="B205" s="412" t="n">
        <v>173</v>
      </c>
      <c r="C205" s="413" t="n">
        <v>201</v>
      </c>
      <c r="D205" s="500"/>
      <c r="E205" s="484"/>
      <c r="F205" s="484"/>
      <c r="G205" s="427" t="n">
        <v>-1.275</v>
      </c>
    </row>
    <row r="206" customFormat="false" ht="15.75" hidden="false" customHeight="false" outlineLevel="0" collapsed="false">
      <c r="A206" s="407" t="s">
        <v>860</v>
      </c>
      <c r="B206" s="412" t="n">
        <v>174</v>
      </c>
      <c r="C206" s="413" t="n">
        <v>202</v>
      </c>
      <c r="D206" s="500"/>
      <c r="E206" s="484"/>
      <c r="F206" s="484"/>
      <c r="G206" s="427" t="n">
        <v>181.8</v>
      </c>
    </row>
    <row r="207" customFormat="false" ht="15.75" hidden="false" customHeight="false" outlineLevel="0" collapsed="false">
      <c r="A207" s="407" t="s">
        <v>861</v>
      </c>
      <c r="B207" s="412" t="n">
        <v>175</v>
      </c>
      <c r="C207" s="413" t="n">
        <v>203</v>
      </c>
      <c r="D207" s="500"/>
      <c r="E207" s="484"/>
      <c r="F207" s="484"/>
      <c r="G207" s="427" t="n">
        <v>0.169</v>
      </c>
    </row>
    <row r="208" customFormat="false" ht="15.75" hidden="false" customHeight="false" outlineLevel="0" collapsed="false">
      <c r="A208" s="407" t="s">
        <v>814</v>
      </c>
      <c r="B208" s="412" t="n">
        <v>176</v>
      </c>
      <c r="C208" s="412" t="n">
        <v>204</v>
      </c>
      <c r="D208" s="496"/>
      <c r="E208" s="484"/>
      <c r="F208" s="484"/>
      <c r="G208" s="441" t="n">
        <v>0</v>
      </c>
    </row>
    <row r="209" customFormat="false" ht="15.75" hidden="false" customHeight="false" outlineLevel="0" collapsed="false">
      <c r="A209" s="406" t="s">
        <v>677</v>
      </c>
      <c r="B209" s="412" t="n">
        <v>177</v>
      </c>
      <c r="C209" s="413" t="n">
        <v>205</v>
      </c>
      <c r="D209" s="494"/>
      <c r="E209" s="482"/>
      <c r="F209" s="482"/>
      <c r="G209" s="0" t="n">
        <v>0</v>
      </c>
    </row>
    <row r="210" customFormat="false" ht="15.75" hidden="false" customHeight="false" outlineLevel="0" collapsed="false">
      <c r="A210" s="409" t="s">
        <v>757</v>
      </c>
      <c r="B210" s="412" t="n">
        <v>178</v>
      </c>
      <c r="C210" s="501" t="n">
        <v>206</v>
      </c>
      <c r="D210" s="494"/>
      <c r="E210" s="482"/>
      <c r="F210" s="482"/>
      <c r="G210" s="0" t="n">
        <v>100</v>
      </c>
    </row>
    <row r="211" customFormat="false" ht="15.75" hidden="false" customHeight="false" outlineLevel="0" collapsed="false">
      <c r="A211" s="448" t="s">
        <v>760</v>
      </c>
      <c r="B211" s="412" t="n">
        <v>181</v>
      </c>
      <c r="C211" s="501" t="n">
        <v>207</v>
      </c>
      <c r="D211" s="494"/>
      <c r="E211" s="482"/>
      <c r="F211" s="482"/>
      <c r="G211" s="0" t="n">
        <v>0.25</v>
      </c>
    </row>
    <row r="212" customFormat="false" ht="15.75" hidden="false" customHeight="false" outlineLevel="0" collapsed="false">
      <c r="A212" s="448" t="s">
        <v>761</v>
      </c>
      <c r="B212" s="412" t="n">
        <v>186</v>
      </c>
      <c r="C212" s="501" t="n">
        <v>208</v>
      </c>
      <c r="D212" s="494"/>
      <c r="E212" s="482"/>
      <c r="F212" s="482"/>
      <c r="G212" s="0" t="n">
        <v>1.75</v>
      </c>
    </row>
    <row r="213" customFormat="false" ht="15.75" hidden="false" customHeight="false" outlineLevel="0" collapsed="false">
      <c r="A213" s="448" t="s">
        <v>762</v>
      </c>
      <c r="B213" s="412" t="n">
        <v>187</v>
      </c>
      <c r="C213" s="501" t="n">
        <v>209</v>
      </c>
      <c r="D213" s="494"/>
      <c r="E213" s="482"/>
      <c r="F213" s="482"/>
      <c r="G213" s="0" t="n">
        <v>5</v>
      </c>
    </row>
    <row r="214" customFormat="false" ht="15.75" hidden="false" customHeight="false" outlineLevel="0" collapsed="false">
      <c r="A214" s="410" t="s">
        <v>759</v>
      </c>
      <c r="B214" s="412" t="n">
        <v>180</v>
      </c>
      <c r="C214" s="501" t="n">
        <v>210</v>
      </c>
      <c r="D214" s="494"/>
      <c r="E214" s="482"/>
      <c r="F214" s="482"/>
      <c r="G214" s="0" t="n">
        <v>0.2</v>
      </c>
    </row>
    <row r="215" customFormat="false" ht="15.75" hidden="false" customHeight="false" outlineLevel="0" collapsed="false">
      <c r="A215" s="409" t="s">
        <v>758</v>
      </c>
      <c r="B215" s="412" t="n">
        <v>179</v>
      </c>
      <c r="C215" s="501" t="n">
        <v>211</v>
      </c>
      <c r="D215" s="494"/>
      <c r="E215" s="482"/>
      <c r="F215" s="482"/>
      <c r="G215" s="0" t="n">
        <v>1.8</v>
      </c>
    </row>
  </sheetData>
  <autoFilter ref="A4:K209">
    <sortState ref="A5:K209">
      <sortCondition ref="A5:A209"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1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5" activeCellId="0" sqref="B5"/>
    </sheetView>
  </sheetViews>
  <sheetFormatPr defaultColWidth="10.5" defaultRowHeight="15.75" zeroHeight="false" outlineLevelRow="0" outlineLevelCol="0"/>
  <cols>
    <col collapsed="false" customWidth="true" hidden="false" outlineLevel="0" max="3" min="3" style="0" width="23.17"/>
    <col collapsed="false" customWidth="true" hidden="false" outlineLevel="0" max="4" min="4" style="0" width="16.33"/>
    <col collapsed="false" customWidth="true" hidden="false" outlineLevel="0" max="5" min="5" style="0" width="14.33"/>
    <col collapsed="false" customWidth="true" hidden="false" outlineLevel="0" max="6" min="6" style="0" width="14.5"/>
    <col collapsed="false" customWidth="true" hidden="false" outlineLevel="0" max="12" min="12" style="0" width="14.5"/>
  </cols>
  <sheetData>
    <row r="1" customFormat="false" ht="24" hidden="false" customHeight="false" outlineLevel="0" collapsed="false">
      <c r="B1" s="502" t="s">
        <v>1754</v>
      </c>
      <c r="C1" s="503"/>
      <c r="D1" s="503"/>
      <c r="E1" s="503"/>
      <c r="F1" s="503"/>
      <c r="G1" s="503"/>
      <c r="H1" s="503"/>
      <c r="I1" s="503"/>
      <c r="J1" s="503"/>
      <c r="K1" s="503"/>
      <c r="L1" s="503"/>
      <c r="M1" s="503"/>
      <c r="N1" s="503"/>
      <c r="O1" s="503"/>
      <c r="P1" s="503"/>
      <c r="Q1" s="503"/>
      <c r="R1" s="503"/>
      <c r="S1" s="503"/>
      <c r="T1" s="503"/>
    </row>
    <row r="2" customFormat="false" ht="24" hidden="false" customHeight="false" outlineLevel="0" collapsed="false">
      <c r="B2" s="502" t="s">
        <v>1755</v>
      </c>
      <c r="C2" s="503"/>
      <c r="D2" s="503"/>
      <c r="E2" s="503"/>
      <c r="F2" s="503"/>
      <c r="G2" s="503"/>
      <c r="H2" s="503"/>
      <c r="I2" s="503"/>
      <c r="J2" s="503"/>
      <c r="K2" s="503"/>
      <c r="L2" s="503"/>
      <c r="M2" s="503"/>
      <c r="N2" s="503"/>
      <c r="O2" s="503"/>
      <c r="P2" s="503"/>
      <c r="Q2" s="503"/>
      <c r="R2" s="503"/>
      <c r="S2" s="503"/>
      <c r="T2" s="503"/>
    </row>
    <row r="3" customFormat="false" ht="15.75" hidden="false" customHeight="false" outlineLevel="0" collapsed="false">
      <c r="B3" s="420" t="s">
        <v>1756</v>
      </c>
      <c r="J3" s="420" t="s">
        <v>1757</v>
      </c>
    </row>
    <row r="4" customFormat="false" ht="21" hidden="false" customHeight="false" outlineLevel="0" collapsed="false">
      <c r="B4" s="504" t="s">
        <v>1758</v>
      </c>
      <c r="C4" s="504" t="s">
        <v>1759</v>
      </c>
      <c r="D4" s="505" t="s">
        <v>1760</v>
      </c>
      <c r="E4" s="505" t="s">
        <v>1761</v>
      </c>
      <c r="F4" s="505" t="s">
        <v>1762</v>
      </c>
      <c r="G4" s="505" t="s">
        <v>1763</v>
      </c>
      <c r="H4" s="505" t="s">
        <v>501</v>
      </c>
      <c r="J4" s="504" t="s">
        <v>1758</v>
      </c>
      <c r="K4" s="504" t="s">
        <v>1759</v>
      </c>
      <c r="L4" s="505" t="s">
        <v>1760</v>
      </c>
      <c r="M4" s="505" t="s">
        <v>1472</v>
      </c>
      <c r="N4" s="505" t="s">
        <v>1473</v>
      </c>
      <c r="O4" s="505" t="s">
        <v>1474</v>
      </c>
      <c r="P4" s="505" t="s">
        <v>1764</v>
      </c>
      <c r="Q4" s="505" t="s">
        <v>1765</v>
      </c>
      <c r="R4" s="505" t="s">
        <v>1766</v>
      </c>
      <c r="S4" s="505" t="s">
        <v>1767</v>
      </c>
      <c r="T4" s="505" t="s">
        <v>1761</v>
      </c>
      <c r="U4" s="505" t="s">
        <v>1762</v>
      </c>
      <c r="V4" s="505" t="s">
        <v>1763</v>
      </c>
      <c r="W4" s="505" t="s">
        <v>501</v>
      </c>
    </row>
    <row r="5" customFormat="false" ht="15.75" hidden="false" customHeight="false" outlineLevel="0" collapsed="false">
      <c r="A5" s="0" t="n">
        <v>1</v>
      </c>
      <c r="B5" s="6" t="n">
        <v>2018</v>
      </c>
      <c r="C5" s="6" t="n">
        <v>0</v>
      </c>
      <c r="D5" s="6" t="n">
        <v>0</v>
      </c>
      <c r="E5" s="6" t="n">
        <v>20</v>
      </c>
      <c r="F5" s="6" t="n">
        <v>40</v>
      </c>
      <c r="G5" s="6" t="n">
        <v>0</v>
      </c>
      <c r="H5" s="6" t="n">
        <v>1</v>
      </c>
      <c r="J5" s="420" t="n">
        <v>2018</v>
      </c>
      <c r="K5" s="420" t="n">
        <v>0</v>
      </c>
      <c r="L5" s="420" t="n">
        <v>1500</v>
      </c>
      <c r="M5" s="420" t="n">
        <v>5</v>
      </c>
      <c r="N5" s="420" t="n">
        <v>6</v>
      </c>
      <c r="O5" s="420" t="n">
        <v>7</v>
      </c>
      <c r="P5" s="420" t="n">
        <v>8</v>
      </c>
      <c r="Q5" s="420" t="n">
        <v>7</v>
      </c>
      <c r="R5" s="420" t="n">
        <v>7</v>
      </c>
      <c r="S5" s="420" t="n">
        <v>7</v>
      </c>
      <c r="T5" s="420" t="n">
        <v>25</v>
      </c>
      <c r="U5" s="420" t="n">
        <v>50</v>
      </c>
      <c r="V5" s="420" t="n">
        <v>0</v>
      </c>
      <c r="W5" s="420" t="n">
        <v>1</v>
      </c>
    </row>
    <row r="6" customFormat="false" ht="15.75" hidden="false" customHeight="false" outlineLevel="0" collapsed="false">
      <c r="B6" s="6" t="n">
        <v>2018</v>
      </c>
      <c r="C6" s="6" t="n">
        <f aca="false">1/24</f>
        <v>0.0416666666666667</v>
      </c>
      <c r="D6" s="6" t="n">
        <v>0</v>
      </c>
      <c r="E6" s="6" t="n">
        <v>20</v>
      </c>
      <c r="F6" s="6" t="n">
        <v>40</v>
      </c>
      <c r="G6" s="6" t="n">
        <v>0</v>
      </c>
      <c r="H6" s="6" t="n">
        <v>1</v>
      </c>
      <c r="J6" s="420" t="n">
        <v>2018</v>
      </c>
      <c r="K6" s="420" t="n">
        <v>0.5</v>
      </c>
      <c r="L6" s="420" t="n">
        <v>1500</v>
      </c>
      <c r="M6" s="420" t="n">
        <v>5</v>
      </c>
      <c r="N6" s="420" t="n">
        <v>6</v>
      </c>
      <c r="O6" s="420" t="n">
        <v>7</v>
      </c>
      <c r="P6" s="420" t="n">
        <v>8</v>
      </c>
      <c r="Q6" s="420" t="n">
        <v>7</v>
      </c>
      <c r="R6" s="420" t="n">
        <v>7</v>
      </c>
      <c r="S6" s="420" t="n">
        <v>7</v>
      </c>
      <c r="T6" s="420" t="n">
        <v>25</v>
      </c>
      <c r="U6" s="420" t="n">
        <v>50</v>
      </c>
      <c r="V6" s="420" t="n">
        <v>0</v>
      </c>
      <c r="W6" s="420" t="n">
        <v>1</v>
      </c>
    </row>
    <row r="7" customFormat="false" ht="15.75" hidden="false" customHeight="false" outlineLevel="0" collapsed="false">
      <c r="B7" s="6" t="n">
        <v>2018</v>
      </c>
      <c r="C7" s="6" t="n">
        <f aca="false">C6+$A$5/24/3600</f>
        <v>0.0416782407407407</v>
      </c>
      <c r="D7" s="6" t="n">
        <v>0</v>
      </c>
      <c r="E7" s="6" t="n">
        <v>20</v>
      </c>
      <c r="F7" s="6" t="n">
        <v>40</v>
      </c>
      <c r="G7" s="6" t="n">
        <v>0</v>
      </c>
      <c r="H7" s="6" t="n">
        <v>1</v>
      </c>
      <c r="J7" s="420" t="n">
        <v>2018</v>
      </c>
      <c r="K7" s="420" t="n">
        <f aca="false">K6+1/48</f>
        <v>0.520833333333333</v>
      </c>
      <c r="L7" s="420" t="n">
        <v>1500</v>
      </c>
      <c r="M7" s="420" t="n">
        <v>5</v>
      </c>
      <c r="N7" s="420" t="n">
        <v>6</v>
      </c>
      <c r="O7" s="420" t="n">
        <v>7</v>
      </c>
      <c r="P7" s="420" t="n">
        <v>-5</v>
      </c>
      <c r="Q7" s="420" t="n">
        <v>7</v>
      </c>
      <c r="R7" s="420" t="n">
        <v>7</v>
      </c>
      <c r="S7" s="420" t="n">
        <v>7</v>
      </c>
      <c r="T7" s="420" t="n">
        <v>25</v>
      </c>
      <c r="U7" s="420" t="n">
        <v>50</v>
      </c>
      <c r="V7" s="420" t="n">
        <v>0</v>
      </c>
      <c r="W7" s="420" t="n">
        <v>1</v>
      </c>
    </row>
    <row r="8" customFormat="false" ht="15.75" hidden="false" customHeight="false" outlineLevel="0" collapsed="false">
      <c r="B8" s="6" t="n">
        <v>2018</v>
      </c>
      <c r="C8" s="6" t="n">
        <f aca="false">C7+$A$5/24/3600</f>
        <v>0.0416898148148148</v>
      </c>
      <c r="D8" s="6" t="n">
        <v>0</v>
      </c>
      <c r="E8" s="6" t="n">
        <v>20</v>
      </c>
      <c r="F8" s="6" t="n">
        <v>40</v>
      </c>
      <c r="G8" s="6" t="n">
        <v>0</v>
      </c>
      <c r="H8" s="6" t="n">
        <v>1</v>
      </c>
      <c r="J8" s="420" t="n">
        <v>2018</v>
      </c>
      <c r="K8" s="420" t="n">
        <f aca="false">K7+1/48</f>
        <v>0.541666666666667</v>
      </c>
      <c r="L8" s="420" t="n">
        <v>1500</v>
      </c>
      <c r="M8" s="420" t="n">
        <v>5</v>
      </c>
      <c r="N8" s="420" t="n">
        <v>6</v>
      </c>
      <c r="O8" s="420" t="n">
        <v>7</v>
      </c>
      <c r="P8" s="420" t="n">
        <v>-5</v>
      </c>
      <c r="Q8" s="420" t="n">
        <v>7</v>
      </c>
      <c r="R8" s="420" t="n">
        <v>7</v>
      </c>
      <c r="S8" s="420" t="n">
        <v>7</v>
      </c>
      <c r="T8" s="420" t="n">
        <v>25</v>
      </c>
      <c r="U8" s="420" t="n">
        <v>50</v>
      </c>
      <c r="V8" s="420" t="n">
        <v>0</v>
      </c>
      <c r="W8" s="420" t="n">
        <v>1</v>
      </c>
    </row>
    <row r="9" customFormat="false" ht="15.75" hidden="false" customHeight="false" outlineLevel="0" collapsed="false">
      <c r="B9" s="506" t="n">
        <v>2018</v>
      </c>
      <c r="C9" s="506" t="n">
        <f aca="false">C8+$A$5/24/3600</f>
        <v>0.0417013888888889</v>
      </c>
      <c r="D9" s="506" t="n">
        <v>750</v>
      </c>
      <c r="E9" s="6" t="n">
        <v>20</v>
      </c>
      <c r="F9" s="6" t="n">
        <v>40</v>
      </c>
      <c r="G9" s="506" t="n">
        <v>0</v>
      </c>
      <c r="H9" s="506" t="n">
        <v>1</v>
      </c>
      <c r="J9" s="420" t="n">
        <v>2018</v>
      </c>
      <c r="K9" s="420" t="n">
        <f aca="false">K8+1/48</f>
        <v>0.5625</v>
      </c>
      <c r="L9" s="420" t="n">
        <v>1500</v>
      </c>
      <c r="M9" s="420" t="n">
        <v>5</v>
      </c>
      <c r="N9" s="420" t="n">
        <v>6</v>
      </c>
      <c r="O9" s="420" t="n">
        <v>7</v>
      </c>
      <c r="P9" s="420" t="n">
        <v>-5</v>
      </c>
      <c r="Q9" s="420" t="n">
        <v>7</v>
      </c>
      <c r="R9" s="420" t="n">
        <v>7</v>
      </c>
      <c r="S9" s="420" t="n">
        <v>7</v>
      </c>
      <c r="T9" s="420" t="n">
        <v>25</v>
      </c>
      <c r="U9" s="420" t="n">
        <v>50</v>
      </c>
      <c r="V9" s="420" t="n">
        <v>0</v>
      </c>
      <c r="W9" s="420" t="n">
        <v>1</v>
      </c>
    </row>
    <row r="10" customFormat="false" ht="15.75" hidden="false" customHeight="false" outlineLevel="0" collapsed="false">
      <c r="B10" s="506" t="n">
        <v>2018</v>
      </c>
      <c r="C10" s="506" t="n">
        <f aca="false">C9+$A$5/24/3600</f>
        <v>0.041712962962963</v>
      </c>
      <c r="D10" s="506" t="n">
        <v>1500</v>
      </c>
      <c r="E10" s="6" t="n">
        <v>20</v>
      </c>
      <c r="F10" s="6" t="n">
        <v>40</v>
      </c>
      <c r="G10" s="506" t="n">
        <v>0</v>
      </c>
      <c r="H10" s="506" t="n">
        <v>1</v>
      </c>
      <c r="J10" s="420" t="n">
        <v>2018</v>
      </c>
      <c r="K10" s="420" t="n">
        <f aca="false">K9+1/48</f>
        <v>0.583333333333334</v>
      </c>
      <c r="L10" s="420" t="n">
        <v>1500</v>
      </c>
      <c r="M10" s="420" t="n">
        <v>5</v>
      </c>
      <c r="N10" s="420" t="n">
        <v>6</v>
      </c>
      <c r="O10" s="420" t="n">
        <v>7</v>
      </c>
      <c r="P10" s="420" t="n">
        <v>-5</v>
      </c>
      <c r="Q10" s="420" t="n">
        <v>7</v>
      </c>
      <c r="R10" s="420" t="n">
        <v>7</v>
      </c>
      <c r="S10" s="420" t="n">
        <v>7</v>
      </c>
      <c r="T10" s="420" t="n">
        <v>25</v>
      </c>
      <c r="U10" s="420" t="n">
        <v>50</v>
      </c>
      <c r="V10" s="420" t="n">
        <v>0</v>
      </c>
      <c r="W10" s="420" t="n">
        <v>1</v>
      </c>
    </row>
    <row r="11" customFormat="false" ht="15.75" hidden="false" customHeight="false" outlineLevel="0" collapsed="false">
      <c r="B11" s="506" t="n">
        <v>2018</v>
      </c>
      <c r="C11" s="506" t="n">
        <f aca="false">C10+1/24/4</f>
        <v>0.0521296296296296</v>
      </c>
      <c r="D11" s="506" t="n">
        <v>1500</v>
      </c>
      <c r="E11" s="6" t="n">
        <v>20</v>
      </c>
      <c r="F11" s="6" t="n">
        <v>40</v>
      </c>
      <c r="G11" s="506" t="n">
        <v>0</v>
      </c>
      <c r="H11" s="506" t="n">
        <v>1</v>
      </c>
      <c r="J11" s="420" t="n">
        <v>2018</v>
      </c>
      <c r="K11" s="420" t="n">
        <f aca="false">K10+1/48</f>
        <v>0.604166666666667</v>
      </c>
      <c r="L11" s="420" t="n">
        <v>1500</v>
      </c>
      <c r="M11" s="420" t="n">
        <v>5</v>
      </c>
      <c r="N11" s="420" t="n">
        <v>6</v>
      </c>
      <c r="O11" s="420" t="n">
        <v>7</v>
      </c>
      <c r="P11" s="420" t="n">
        <v>8</v>
      </c>
      <c r="Q11" s="420" t="n">
        <v>7</v>
      </c>
      <c r="R11" s="420" t="n">
        <v>7</v>
      </c>
      <c r="S11" s="420" t="n">
        <v>7</v>
      </c>
      <c r="T11" s="420" t="n">
        <v>25</v>
      </c>
      <c r="U11" s="420" t="n">
        <v>50</v>
      </c>
      <c r="V11" s="420" t="n">
        <v>0</v>
      </c>
      <c r="W11" s="420" t="n">
        <v>1</v>
      </c>
    </row>
    <row r="12" customFormat="false" ht="15.75" hidden="false" customHeight="false" outlineLevel="0" collapsed="false">
      <c r="B12" s="506" t="n">
        <v>2018</v>
      </c>
      <c r="C12" s="506" t="n">
        <f aca="false">C11+$A$5/24/3600</f>
        <v>0.0521412037037037</v>
      </c>
      <c r="D12" s="506" t="n">
        <v>1500</v>
      </c>
      <c r="E12" s="6" t="n">
        <v>20</v>
      </c>
      <c r="F12" s="6" t="n">
        <v>40</v>
      </c>
      <c r="G12" s="506" t="n">
        <v>0</v>
      </c>
      <c r="H12" s="506" t="n">
        <v>1</v>
      </c>
      <c r="J12" s="420" t="n">
        <v>2018</v>
      </c>
      <c r="K12" s="420" t="n">
        <f aca="false">K11+1/48</f>
        <v>0.625</v>
      </c>
      <c r="L12" s="420" t="n">
        <v>1500</v>
      </c>
      <c r="M12" s="420" t="n">
        <v>5</v>
      </c>
      <c r="N12" s="420" t="n">
        <v>6</v>
      </c>
      <c r="O12" s="420" t="n">
        <v>7</v>
      </c>
      <c r="P12" s="420" t="n">
        <v>8</v>
      </c>
      <c r="Q12" s="420" t="n">
        <v>7</v>
      </c>
      <c r="R12" s="420" t="n">
        <v>7</v>
      </c>
      <c r="S12" s="420" t="n">
        <v>7</v>
      </c>
      <c r="T12" s="420" t="n">
        <v>25</v>
      </c>
      <c r="U12" s="420" t="n">
        <v>50</v>
      </c>
      <c r="V12" s="420" t="n">
        <v>0</v>
      </c>
      <c r="W12" s="420" t="n">
        <v>1</v>
      </c>
    </row>
    <row r="13" customFormat="false" ht="15.75" hidden="false" customHeight="false" outlineLevel="0" collapsed="false">
      <c r="B13" s="506" t="n">
        <v>2018</v>
      </c>
      <c r="C13" s="506" t="n">
        <f aca="false">C12+$A$5/24/3600</f>
        <v>0.0521527777777778</v>
      </c>
      <c r="D13" s="506" t="n">
        <v>750</v>
      </c>
      <c r="E13" s="6" t="n">
        <v>20</v>
      </c>
      <c r="F13" s="6" t="n">
        <v>40</v>
      </c>
      <c r="G13" s="506" t="n">
        <v>0</v>
      </c>
      <c r="H13" s="506" t="n">
        <v>1</v>
      </c>
      <c r="J13" s="420" t="n">
        <v>2018</v>
      </c>
      <c r="K13" s="420" t="n">
        <f aca="false">K12+1/48</f>
        <v>0.645833333333334</v>
      </c>
      <c r="L13" s="420" t="n">
        <v>1500</v>
      </c>
      <c r="M13" s="420" t="n">
        <v>5</v>
      </c>
      <c r="N13" s="420" t="n">
        <v>6</v>
      </c>
      <c r="O13" s="420" t="n">
        <v>7</v>
      </c>
      <c r="P13" s="420" t="n">
        <v>8</v>
      </c>
      <c r="Q13" s="420" t="n">
        <v>-5</v>
      </c>
      <c r="R13" s="420" t="n">
        <v>7</v>
      </c>
      <c r="S13" s="420" t="n">
        <v>7</v>
      </c>
      <c r="T13" s="420" t="n">
        <v>25</v>
      </c>
      <c r="U13" s="420" t="n">
        <v>50</v>
      </c>
      <c r="V13" s="420" t="n">
        <v>0</v>
      </c>
      <c r="W13" s="420" t="n">
        <v>1</v>
      </c>
    </row>
    <row r="14" customFormat="false" ht="15.75" hidden="false" customHeight="false" outlineLevel="0" collapsed="false">
      <c r="B14" s="6" t="n">
        <v>2018</v>
      </c>
      <c r="C14" s="6" t="n">
        <f aca="false">C13+$A$5/24/3600</f>
        <v>0.0521643518518518</v>
      </c>
      <c r="D14" s="6" t="n">
        <v>400</v>
      </c>
      <c r="E14" s="6" t="n">
        <v>20</v>
      </c>
      <c r="F14" s="6" t="n">
        <v>40</v>
      </c>
      <c r="G14" s="6" t="n">
        <v>0</v>
      </c>
      <c r="H14" s="6" t="n">
        <v>1</v>
      </c>
      <c r="J14" s="420" t="n">
        <v>2018</v>
      </c>
      <c r="K14" s="420" t="n">
        <f aca="false">K13+1/48</f>
        <v>0.666666666666667</v>
      </c>
      <c r="L14" s="420" t="n">
        <v>1500</v>
      </c>
      <c r="M14" s="420" t="n">
        <v>5</v>
      </c>
      <c r="N14" s="420" t="n">
        <v>6</v>
      </c>
      <c r="O14" s="420" t="n">
        <v>7</v>
      </c>
      <c r="P14" s="420" t="n">
        <v>8</v>
      </c>
      <c r="Q14" s="420" t="n">
        <v>-5</v>
      </c>
      <c r="R14" s="420" t="n">
        <v>7</v>
      </c>
      <c r="S14" s="420" t="n">
        <v>7</v>
      </c>
      <c r="T14" s="420" t="n">
        <v>25</v>
      </c>
      <c r="U14" s="420" t="n">
        <v>50</v>
      </c>
      <c r="V14" s="420" t="n">
        <v>0</v>
      </c>
      <c r="W14" s="420" t="n">
        <v>1</v>
      </c>
    </row>
    <row r="15" customFormat="false" ht="15.75" hidden="false" customHeight="false" outlineLevel="0" collapsed="false">
      <c r="B15" s="6" t="n">
        <v>2018</v>
      </c>
      <c r="C15" s="6" t="n">
        <f aca="false">C14+1/24/4</f>
        <v>0.0625810185185185</v>
      </c>
      <c r="D15" s="6" t="n">
        <v>400</v>
      </c>
      <c r="E15" s="6" t="n">
        <v>20</v>
      </c>
      <c r="F15" s="6" t="n">
        <v>40</v>
      </c>
      <c r="G15" s="6" t="n">
        <v>0</v>
      </c>
      <c r="H15" s="6" t="n">
        <v>1</v>
      </c>
      <c r="J15" s="420" t="n">
        <v>2018</v>
      </c>
      <c r="K15" s="420" t="n">
        <f aca="false">K14+1/48</f>
        <v>0.6875</v>
      </c>
      <c r="L15" s="420" t="n">
        <v>1500</v>
      </c>
      <c r="M15" s="420" t="n">
        <v>5</v>
      </c>
      <c r="N15" s="420" t="n">
        <v>6</v>
      </c>
      <c r="O15" s="420" t="n">
        <v>7</v>
      </c>
      <c r="P15" s="420" t="n">
        <v>8</v>
      </c>
      <c r="Q15" s="420" t="n">
        <v>-5</v>
      </c>
      <c r="R15" s="420" t="n">
        <v>7</v>
      </c>
      <c r="S15" s="420" t="n">
        <v>7</v>
      </c>
      <c r="T15" s="420" t="n">
        <v>25</v>
      </c>
      <c r="U15" s="420" t="n">
        <v>50</v>
      </c>
      <c r="V15" s="420" t="n">
        <v>0</v>
      </c>
      <c r="W15" s="420" t="n">
        <v>1</v>
      </c>
    </row>
    <row r="16" customFormat="false" ht="15.75" hidden="false" customHeight="false" outlineLevel="0" collapsed="false">
      <c r="B16" s="6" t="n">
        <v>2018</v>
      </c>
      <c r="C16" s="6" t="n">
        <f aca="false">C15+$A$5/24/3600</f>
        <v>0.0625925925925926</v>
      </c>
      <c r="D16" s="6" t="n">
        <v>400</v>
      </c>
      <c r="E16" s="6" t="n">
        <v>20</v>
      </c>
      <c r="F16" s="6" t="n">
        <v>40</v>
      </c>
      <c r="G16" s="6" t="n">
        <v>0</v>
      </c>
      <c r="H16" s="6" t="n">
        <v>1</v>
      </c>
      <c r="J16" s="420" t="n">
        <v>2018</v>
      </c>
      <c r="K16" s="420" t="n">
        <f aca="false">K15+1/48</f>
        <v>0.708333333333334</v>
      </c>
      <c r="L16" s="420" t="n">
        <v>1500</v>
      </c>
      <c r="M16" s="420" t="n">
        <v>5</v>
      </c>
      <c r="N16" s="420" t="n">
        <v>6</v>
      </c>
      <c r="O16" s="420" t="n">
        <v>7</v>
      </c>
      <c r="P16" s="420" t="n">
        <v>8</v>
      </c>
      <c r="Q16" s="420" t="n">
        <v>-5</v>
      </c>
      <c r="R16" s="420" t="n">
        <v>7</v>
      </c>
      <c r="S16" s="420" t="n">
        <v>7</v>
      </c>
      <c r="T16" s="420" t="n">
        <v>25</v>
      </c>
      <c r="U16" s="420" t="n">
        <v>50</v>
      </c>
      <c r="V16" s="420" t="n">
        <v>0</v>
      </c>
      <c r="W16" s="420" t="n">
        <v>1</v>
      </c>
    </row>
    <row r="17" customFormat="false" ht="15.75" hidden="false" customHeight="false" outlineLevel="0" collapsed="false">
      <c r="B17" s="6" t="n">
        <v>2018</v>
      </c>
      <c r="C17" s="506" t="n">
        <f aca="false">C16+$A$5/24/3600</f>
        <v>0.0626041666666667</v>
      </c>
      <c r="D17" s="506" t="n">
        <v>750</v>
      </c>
      <c r="E17" s="6" t="n">
        <v>20</v>
      </c>
      <c r="F17" s="6" t="n">
        <v>40</v>
      </c>
      <c r="G17" s="6" t="n">
        <v>0</v>
      </c>
      <c r="H17" s="6" t="n">
        <v>1</v>
      </c>
      <c r="J17" s="420" t="n">
        <v>2018</v>
      </c>
      <c r="K17" s="420" t="n">
        <f aca="false">K16+1/48</f>
        <v>0.729166666666667</v>
      </c>
      <c r="L17" s="420" t="n">
        <v>1500</v>
      </c>
      <c r="M17" s="420" t="n">
        <v>5</v>
      </c>
      <c r="N17" s="420" t="n">
        <v>6</v>
      </c>
      <c r="O17" s="420" t="n">
        <v>7</v>
      </c>
      <c r="P17" s="420" t="n">
        <v>8</v>
      </c>
      <c r="Q17" s="420" t="n">
        <v>7</v>
      </c>
      <c r="R17" s="420" t="n">
        <v>7</v>
      </c>
      <c r="S17" s="420" t="n">
        <v>7</v>
      </c>
      <c r="T17" s="420" t="n">
        <v>25</v>
      </c>
      <c r="U17" s="420" t="n">
        <v>50</v>
      </c>
      <c r="V17" s="420" t="n">
        <v>0</v>
      </c>
      <c r="W17" s="420" t="n">
        <v>1</v>
      </c>
    </row>
    <row r="18" customFormat="false" ht="15.75" hidden="false" customHeight="false" outlineLevel="0" collapsed="false">
      <c r="B18" s="6" t="n">
        <v>2018</v>
      </c>
      <c r="C18" s="506" t="n">
        <f aca="false">C17+$A$5/24/3600</f>
        <v>0.0626157407407407</v>
      </c>
      <c r="D18" s="506" t="n">
        <v>1500</v>
      </c>
      <c r="E18" s="6" t="n">
        <v>20</v>
      </c>
      <c r="F18" s="6" t="n">
        <v>40</v>
      </c>
      <c r="G18" s="6" t="n">
        <v>0</v>
      </c>
      <c r="H18" s="6" t="n">
        <v>1</v>
      </c>
      <c r="J18" s="420" t="n">
        <v>2018</v>
      </c>
      <c r="K18" s="420" t="n">
        <f aca="false">K17+1/48</f>
        <v>0.75</v>
      </c>
      <c r="L18" s="420" t="n">
        <v>1500</v>
      </c>
      <c r="M18" s="420" t="n">
        <v>5</v>
      </c>
      <c r="N18" s="420" t="n">
        <v>6</v>
      </c>
      <c r="O18" s="420" t="n">
        <v>7</v>
      </c>
      <c r="P18" s="420" t="n">
        <v>8</v>
      </c>
      <c r="Q18" s="420" t="n">
        <v>7</v>
      </c>
      <c r="R18" s="420" t="n">
        <v>7</v>
      </c>
      <c r="S18" s="420" t="n">
        <v>7</v>
      </c>
      <c r="T18" s="420" t="n">
        <v>25</v>
      </c>
      <c r="U18" s="420" t="n">
        <v>50</v>
      </c>
      <c r="V18" s="420" t="n">
        <v>0</v>
      </c>
      <c r="W18" s="420" t="n">
        <v>1</v>
      </c>
    </row>
    <row r="19" customFormat="false" ht="15.75" hidden="false" customHeight="false" outlineLevel="0" collapsed="false">
      <c r="B19" s="6" t="n">
        <v>2018</v>
      </c>
      <c r="C19" s="506" t="n">
        <f aca="false">C18+1/24/4</f>
        <v>0.0730324074074074</v>
      </c>
      <c r="D19" s="506" t="n">
        <v>1500</v>
      </c>
      <c r="E19" s="6" t="n">
        <v>20</v>
      </c>
      <c r="F19" s="6" t="n">
        <v>40</v>
      </c>
      <c r="G19" s="6" t="n">
        <v>0</v>
      </c>
      <c r="H19" s="6" t="n">
        <v>1</v>
      </c>
      <c r="J19" s="420" t="n">
        <v>2018</v>
      </c>
      <c r="K19" s="420" t="n">
        <f aca="false">K18+1/48</f>
        <v>0.770833333333334</v>
      </c>
      <c r="L19" s="420" t="n">
        <v>1500</v>
      </c>
      <c r="M19" s="420" t="n">
        <v>5</v>
      </c>
      <c r="N19" s="420" t="n">
        <v>6</v>
      </c>
      <c r="O19" s="420" t="n">
        <v>7</v>
      </c>
      <c r="P19" s="420" t="n">
        <v>8</v>
      </c>
      <c r="Q19" s="420" t="n">
        <v>7</v>
      </c>
      <c r="R19" s="420" t="n">
        <v>-5</v>
      </c>
      <c r="S19" s="420" t="n">
        <v>7</v>
      </c>
      <c r="T19" s="420" t="n">
        <v>25</v>
      </c>
      <c r="U19" s="420" t="n">
        <v>50</v>
      </c>
      <c r="V19" s="420" t="n">
        <v>0</v>
      </c>
      <c r="W19" s="420" t="n">
        <v>1</v>
      </c>
    </row>
    <row r="20" customFormat="false" ht="15.75" hidden="false" customHeight="false" outlineLevel="0" collapsed="false">
      <c r="B20" s="6" t="n">
        <v>2018</v>
      </c>
      <c r="C20" s="506" t="n">
        <f aca="false">C19+$A$5/24/3600</f>
        <v>0.0730439814814815</v>
      </c>
      <c r="D20" s="506" t="n">
        <v>1500</v>
      </c>
      <c r="E20" s="6" t="n">
        <v>20</v>
      </c>
      <c r="F20" s="6" t="n">
        <v>40</v>
      </c>
      <c r="G20" s="6" t="n">
        <v>0</v>
      </c>
      <c r="H20" s="6" t="n">
        <v>1</v>
      </c>
      <c r="J20" s="420" t="n">
        <v>2018</v>
      </c>
      <c r="K20" s="420" t="n">
        <f aca="false">K19+1/48</f>
        <v>0.791666666666667</v>
      </c>
      <c r="L20" s="420" t="n">
        <v>1500</v>
      </c>
      <c r="M20" s="420" t="n">
        <v>5</v>
      </c>
      <c r="N20" s="420" t="n">
        <v>6</v>
      </c>
      <c r="O20" s="420" t="n">
        <v>7</v>
      </c>
      <c r="P20" s="420" t="n">
        <v>8</v>
      </c>
      <c r="Q20" s="420" t="n">
        <v>7</v>
      </c>
      <c r="R20" s="420" t="n">
        <v>-5</v>
      </c>
      <c r="S20" s="420" t="n">
        <v>7</v>
      </c>
      <c r="T20" s="420" t="n">
        <v>25</v>
      </c>
      <c r="U20" s="420" t="n">
        <v>50</v>
      </c>
      <c r="V20" s="420" t="n">
        <v>0</v>
      </c>
      <c r="W20" s="420" t="n">
        <v>1</v>
      </c>
    </row>
    <row r="21" customFormat="false" ht="15.75" hidden="false" customHeight="false" outlineLevel="0" collapsed="false">
      <c r="B21" s="6" t="n">
        <v>2018</v>
      </c>
      <c r="C21" s="506" t="n">
        <f aca="false">C20+$A$5/24/3600</f>
        <v>0.0730555555555556</v>
      </c>
      <c r="D21" s="506" t="n">
        <v>750</v>
      </c>
      <c r="E21" s="6" t="n">
        <v>20</v>
      </c>
      <c r="F21" s="6" t="n">
        <v>40</v>
      </c>
      <c r="G21" s="6" t="n">
        <v>0</v>
      </c>
      <c r="H21" s="6" t="n">
        <v>1</v>
      </c>
      <c r="J21" s="420" t="n">
        <v>2018</v>
      </c>
      <c r="K21" s="420" t="n">
        <f aca="false">K20+1/48</f>
        <v>0.812500000000001</v>
      </c>
      <c r="L21" s="420" t="n">
        <v>1500</v>
      </c>
      <c r="M21" s="420" t="n">
        <v>5</v>
      </c>
      <c r="N21" s="420" t="n">
        <v>6</v>
      </c>
      <c r="O21" s="420" t="n">
        <v>7</v>
      </c>
      <c r="P21" s="420" t="n">
        <v>8</v>
      </c>
      <c r="Q21" s="420" t="n">
        <v>7</v>
      </c>
      <c r="R21" s="420" t="n">
        <v>-5</v>
      </c>
      <c r="S21" s="420" t="n">
        <v>7</v>
      </c>
      <c r="T21" s="420" t="n">
        <v>25</v>
      </c>
      <c r="U21" s="420" t="n">
        <v>50</v>
      </c>
      <c r="V21" s="420" t="n">
        <v>0</v>
      </c>
      <c r="W21" s="420" t="n">
        <v>1</v>
      </c>
    </row>
    <row r="22" customFormat="false" ht="15.75" hidden="false" customHeight="false" outlineLevel="0" collapsed="false">
      <c r="B22" s="506" t="n">
        <v>2018</v>
      </c>
      <c r="C22" s="6" t="n">
        <f aca="false">C21+$A$5/24/3600</f>
        <v>0.0730671296296297</v>
      </c>
      <c r="D22" s="6" t="n">
        <v>400</v>
      </c>
      <c r="E22" s="6" t="n">
        <v>20</v>
      </c>
      <c r="F22" s="6" t="n">
        <v>40</v>
      </c>
      <c r="G22" s="506" t="n">
        <v>0</v>
      </c>
      <c r="H22" s="506" t="n">
        <v>1</v>
      </c>
      <c r="J22" s="420" t="n">
        <v>2018</v>
      </c>
      <c r="K22" s="420" t="n">
        <f aca="false">K21+1/48</f>
        <v>0.833333333333334</v>
      </c>
      <c r="L22" s="420" t="n">
        <v>1500</v>
      </c>
      <c r="M22" s="420" t="n">
        <v>5</v>
      </c>
      <c r="N22" s="420" t="n">
        <v>6</v>
      </c>
      <c r="O22" s="420" t="n">
        <v>7</v>
      </c>
      <c r="P22" s="420" t="n">
        <v>8</v>
      </c>
      <c r="Q22" s="420" t="n">
        <v>7</v>
      </c>
      <c r="R22" s="420" t="n">
        <v>-5</v>
      </c>
      <c r="S22" s="420" t="n">
        <v>7</v>
      </c>
      <c r="T22" s="420" t="n">
        <v>25</v>
      </c>
      <c r="U22" s="420" t="n">
        <v>50</v>
      </c>
      <c r="V22" s="420" t="n">
        <v>0</v>
      </c>
      <c r="W22" s="420" t="n">
        <v>1</v>
      </c>
    </row>
    <row r="23" customFormat="false" ht="15.75" hidden="false" customHeight="false" outlineLevel="0" collapsed="false">
      <c r="B23" s="506" t="n">
        <v>2018</v>
      </c>
      <c r="C23" s="6" t="n">
        <f aca="false">C22+1/24/4</f>
        <v>0.0834837962962963</v>
      </c>
      <c r="D23" s="6" t="n">
        <v>400</v>
      </c>
      <c r="E23" s="6" t="n">
        <v>20</v>
      </c>
      <c r="F23" s="6" t="n">
        <v>40</v>
      </c>
      <c r="G23" s="506" t="n">
        <v>0</v>
      </c>
      <c r="H23" s="506" t="n">
        <v>1</v>
      </c>
      <c r="J23" s="420" t="n">
        <v>2018</v>
      </c>
      <c r="K23" s="420" t="n">
        <f aca="false">K22+1/48</f>
        <v>0.854166666666667</v>
      </c>
      <c r="L23" s="420" t="n">
        <v>1500</v>
      </c>
      <c r="M23" s="420" t="n">
        <v>5</v>
      </c>
      <c r="N23" s="420" t="n">
        <v>6</v>
      </c>
      <c r="O23" s="420" t="n">
        <v>7</v>
      </c>
      <c r="P23" s="420" t="n">
        <v>8</v>
      </c>
      <c r="Q23" s="420" t="n">
        <v>7</v>
      </c>
      <c r="R23" s="420" t="n">
        <v>7</v>
      </c>
      <c r="S23" s="420" t="n">
        <v>7</v>
      </c>
      <c r="T23" s="420" t="n">
        <v>25</v>
      </c>
      <c r="U23" s="420" t="n">
        <v>50</v>
      </c>
      <c r="V23" s="420" t="n">
        <v>0</v>
      </c>
      <c r="W23" s="420" t="n">
        <v>1</v>
      </c>
    </row>
    <row r="24" customFormat="false" ht="15.75" hidden="false" customHeight="false" outlineLevel="0" collapsed="false">
      <c r="B24" s="506" t="n">
        <v>2018</v>
      </c>
      <c r="C24" s="6" t="n">
        <f aca="false">C23+$A$5/24/3600</f>
        <v>0.0834953703703704</v>
      </c>
      <c r="D24" s="6" t="n">
        <v>400</v>
      </c>
      <c r="E24" s="6" t="n">
        <v>20</v>
      </c>
      <c r="F24" s="6" t="n">
        <v>40</v>
      </c>
      <c r="G24" s="506" t="n">
        <v>0</v>
      </c>
      <c r="H24" s="506" t="n">
        <v>1</v>
      </c>
      <c r="J24" s="420" t="n">
        <v>2018</v>
      </c>
      <c r="K24" s="420" t="n">
        <f aca="false">K23+1/48</f>
        <v>0.875000000000001</v>
      </c>
      <c r="L24" s="420" t="n">
        <v>1500</v>
      </c>
      <c r="M24" s="420" t="n">
        <v>5</v>
      </c>
      <c r="N24" s="420" t="n">
        <v>6</v>
      </c>
      <c r="O24" s="420" t="n">
        <v>7</v>
      </c>
      <c r="P24" s="420" t="n">
        <v>8</v>
      </c>
      <c r="Q24" s="420" t="n">
        <v>7</v>
      </c>
      <c r="R24" s="420" t="n">
        <v>7</v>
      </c>
      <c r="S24" s="420" t="n">
        <v>-5</v>
      </c>
      <c r="T24" s="420" t="n">
        <v>25</v>
      </c>
      <c r="U24" s="420" t="n">
        <v>50</v>
      </c>
      <c r="V24" s="420" t="n">
        <v>0</v>
      </c>
      <c r="W24" s="420" t="n">
        <v>1</v>
      </c>
    </row>
    <row r="25" customFormat="false" ht="15.75" hidden="false" customHeight="false" outlineLevel="0" collapsed="false">
      <c r="B25" s="506" t="n">
        <v>2018</v>
      </c>
      <c r="C25" s="506" t="n">
        <f aca="false">C24+$A$5/24/3600</f>
        <v>0.0835069444444445</v>
      </c>
      <c r="D25" s="506" t="n">
        <v>750</v>
      </c>
      <c r="E25" s="6" t="n">
        <v>20</v>
      </c>
      <c r="F25" s="6" t="n">
        <v>40</v>
      </c>
      <c r="G25" s="506" t="n">
        <v>0</v>
      </c>
      <c r="H25" s="506" t="n">
        <v>1</v>
      </c>
      <c r="J25" s="420" t="n">
        <v>2018</v>
      </c>
      <c r="K25" s="420" t="n">
        <f aca="false">K24+1/48</f>
        <v>0.895833333333334</v>
      </c>
      <c r="L25" s="420" t="n">
        <v>1500</v>
      </c>
      <c r="M25" s="420" t="n">
        <v>5</v>
      </c>
      <c r="N25" s="420" t="n">
        <v>6</v>
      </c>
      <c r="O25" s="420" t="n">
        <v>7</v>
      </c>
      <c r="P25" s="420" t="n">
        <v>8</v>
      </c>
      <c r="Q25" s="420" t="n">
        <v>7</v>
      </c>
      <c r="R25" s="420" t="n">
        <v>7</v>
      </c>
      <c r="S25" s="420" t="n">
        <v>-5</v>
      </c>
      <c r="T25" s="420" t="n">
        <v>25</v>
      </c>
      <c r="U25" s="420" t="n">
        <v>50</v>
      </c>
      <c r="V25" s="420" t="n">
        <v>0</v>
      </c>
      <c r="W25" s="420" t="n">
        <v>1</v>
      </c>
    </row>
    <row r="26" customFormat="false" ht="15.75" hidden="false" customHeight="false" outlineLevel="0" collapsed="false">
      <c r="B26" s="506" t="n">
        <v>2018</v>
      </c>
      <c r="C26" s="506" t="n">
        <f aca="false">C25+$A$5/24/3600</f>
        <v>0.0835185185185186</v>
      </c>
      <c r="D26" s="506" t="n">
        <v>1500</v>
      </c>
      <c r="E26" s="6" t="n">
        <v>20</v>
      </c>
      <c r="F26" s="6" t="n">
        <v>40</v>
      </c>
      <c r="G26" s="506" t="n">
        <v>0</v>
      </c>
      <c r="H26" s="506" t="n">
        <v>1</v>
      </c>
      <c r="J26" s="420" t="n">
        <v>2018</v>
      </c>
      <c r="K26" s="420" t="n">
        <f aca="false">K25+1/48</f>
        <v>0.916666666666667</v>
      </c>
      <c r="L26" s="420" t="n">
        <v>1500</v>
      </c>
      <c r="M26" s="420" t="n">
        <v>5</v>
      </c>
      <c r="N26" s="420" t="n">
        <v>6</v>
      </c>
      <c r="O26" s="420" t="n">
        <v>7</v>
      </c>
      <c r="P26" s="420" t="n">
        <v>8</v>
      </c>
      <c r="Q26" s="420" t="n">
        <v>7</v>
      </c>
      <c r="R26" s="420" t="n">
        <v>7</v>
      </c>
      <c r="S26" s="420" t="n">
        <v>-5</v>
      </c>
      <c r="T26" s="420" t="n">
        <v>25</v>
      </c>
      <c r="U26" s="420" t="n">
        <v>50</v>
      </c>
      <c r="V26" s="420" t="n">
        <v>0</v>
      </c>
      <c r="W26" s="420" t="n">
        <v>1</v>
      </c>
    </row>
    <row r="27" customFormat="false" ht="15.75" hidden="false" customHeight="false" outlineLevel="0" collapsed="false">
      <c r="B27" s="6" t="n">
        <v>2018</v>
      </c>
      <c r="C27" s="506" t="n">
        <f aca="false">C26+1/24/4</f>
        <v>0.0939351851851852</v>
      </c>
      <c r="D27" s="506" t="n">
        <v>1500</v>
      </c>
      <c r="E27" s="6" t="n">
        <v>20</v>
      </c>
      <c r="F27" s="6" t="n">
        <v>40</v>
      </c>
      <c r="G27" s="6" t="n">
        <v>0</v>
      </c>
      <c r="H27" s="6" t="n">
        <v>1</v>
      </c>
      <c r="J27" s="420" t="n">
        <v>2018</v>
      </c>
      <c r="K27" s="420" t="n">
        <f aca="false">K26+1/48</f>
        <v>0.937500000000001</v>
      </c>
      <c r="L27" s="420" t="n">
        <v>1500</v>
      </c>
      <c r="M27" s="420" t="n">
        <v>5</v>
      </c>
      <c r="N27" s="420" t="n">
        <v>6</v>
      </c>
      <c r="O27" s="420" t="n">
        <v>7</v>
      </c>
      <c r="P27" s="420" t="n">
        <v>8</v>
      </c>
      <c r="Q27" s="420" t="n">
        <v>7</v>
      </c>
      <c r="R27" s="420" t="n">
        <v>7</v>
      </c>
      <c r="S27" s="420" t="n">
        <v>-5</v>
      </c>
      <c r="T27" s="420" t="n">
        <v>25</v>
      </c>
      <c r="U27" s="420" t="n">
        <v>50</v>
      </c>
      <c r="V27" s="420" t="n">
        <v>0</v>
      </c>
      <c r="W27" s="420" t="n">
        <v>1</v>
      </c>
    </row>
    <row r="28" customFormat="false" ht="15.75" hidden="false" customHeight="false" outlineLevel="0" collapsed="false">
      <c r="B28" s="6" t="n">
        <v>2018</v>
      </c>
      <c r="C28" s="506" t="n">
        <f aca="false">C27+$A$5/24/3600</f>
        <v>0.0939467592592593</v>
      </c>
      <c r="D28" s="506" t="n">
        <v>1500</v>
      </c>
      <c r="E28" s="6" t="n">
        <v>20</v>
      </c>
      <c r="F28" s="6" t="n">
        <v>40</v>
      </c>
      <c r="G28" s="6" t="n">
        <v>0</v>
      </c>
      <c r="H28" s="6" t="n">
        <v>1</v>
      </c>
      <c r="J28" s="420" t="n">
        <v>2018</v>
      </c>
      <c r="K28" s="420" t="n">
        <f aca="false">K27+1/48</f>
        <v>0.958333333333334</v>
      </c>
      <c r="L28" s="420" t="n">
        <v>1500</v>
      </c>
      <c r="M28" s="420" t="n">
        <v>5</v>
      </c>
      <c r="N28" s="420" t="n">
        <v>6</v>
      </c>
      <c r="O28" s="420" t="n">
        <v>7</v>
      </c>
      <c r="P28" s="420" t="n">
        <v>8</v>
      </c>
      <c r="Q28" s="420" t="n">
        <v>7</v>
      </c>
      <c r="R28" s="420" t="n">
        <v>7</v>
      </c>
      <c r="S28" s="420" t="n">
        <v>7</v>
      </c>
      <c r="T28" s="420" t="n">
        <v>25</v>
      </c>
      <c r="U28" s="420" t="n">
        <v>50</v>
      </c>
      <c r="V28" s="420" t="n">
        <v>0</v>
      </c>
      <c r="W28" s="420" t="n">
        <v>1</v>
      </c>
    </row>
    <row r="29" customFormat="false" ht="15.75" hidden="false" customHeight="false" outlineLevel="0" collapsed="false">
      <c r="B29" s="6" t="n">
        <v>2018</v>
      </c>
      <c r="C29" s="506" t="n">
        <f aca="false">C28+$A$5/24/3600</f>
        <v>0.0939583333333334</v>
      </c>
      <c r="D29" s="506" t="n">
        <v>750</v>
      </c>
      <c r="E29" s="6" t="n">
        <v>20</v>
      </c>
      <c r="F29" s="6" t="n">
        <v>40</v>
      </c>
      <c r="G29" s="6" t="n">
        <v>0</v>
      </c>
      <c r="H29" s="6" t="n">
        <v>1</v>
      </c>
      <c r="J29" s="420" t="n">
        <v>2018</v>
      </c>
      <c r="K29" s="420" t="n">
        <f aca="false">K28+1/48</f>
        <v>0.979166666666668</v>
      </c>
      <c r="L29" s="420" t="n">
        <v>1500</v>
      </c>
      <c r="M29" s="420" t="n">
        <v>5</v>
      </c>
      <c r="N29" s="420" t="n">
        <v>6</v>
      </c>
      <c r="O29" s="420" t="n">
        <v>7</v>
      </c>
      <c r="P29" s="420" t="n">
        <v>8</v>
      </c>
      <c r="Q29" s="420" t="n">
        <v>7</v>
      </c>
      <c r="R29" s="420" t="n">
        <v>7</v>
      </c>
      <c r="S29" s="420" t="n">
        <v>7</v>
      </c>
      <c r="T29" s="420" t="n">
        <v>-5</v>
      </c>
      <c r="U29" s="420" t="n">
        <v>50</v>
      </c>
      <c r="V29" s="420" t="n">
        <v>0</v>
      </c>
      <c r="W29" s="420" t="n">
        <v>1</v>
      </c>
    </row>
    <row r="30" customFormat="false" ht="15.75" hidden="false" customHeight="false" outlineLevel="0" collapsed="false">
      <c r="B30" s="6" t="n">
        <v>2018</v>
      </c>
      <c r="C30" s="6" t="n">
        <f aca="false">C29+$A$5/24/3600</f>
        <v>0.0939699074074075</v>
      </c>
      <c r="D30" s="6" t="n">
        <v>400</v>
      </c>
      <c r="E30" s="6" t="n">
        <v>20</v>
      </c>
      <c r="F30" s="6" t="n">
        <v>40</v>
      </c>
      <c r="G30" s="6" t="n">
        <v>0</v>
      </c>
      <c r="H30" s="6" t="n">
        <v>1</v>
      </c>
      <c r="J30" s="420" t="n">
        <v>2018</v>
      </c>
      <c r="K30" s="420" t="n">
        <f aca="false">K29+1/48</f>
        <v>1</v>
      </c>
      <c r="L30" s="420" t="n">
        <v>1500</v>
      </c>
      <c r="M30" s="420" t="n">
        <v>5</v>
      </c>
      <c r="N30" s="420" t="n">
        <v>6</v>
      </c>
      <c r="O30" s="420" t="n">
        <v>7</v>
      </c>
      <c r="P30" s="420" t="n">
        <v>8</v>
      </c>
      <c r="Q30" s="420" t="n">
        <v>7</v>
      </c>
      <c r="R30" s="420" t="n">
        <v>7</v>
      </c>
      <c r="S30" s="420" t="n">
        <v>7</v>
      </c>
      <c r="T30" s="420" t="n">
        <v>-5</v>
      </c>
      <c r="U30" s="420" t="n">
        <v>50</v>
      </c>
      <c r="V30" s="420" t="n">
        <v>0</v>
      </c>
      <c r="W30" s="420" t="n">
        <v>1</v>
      </c>
    </row>
    <row r="31" customFormat="false" ht="15.75" hidden="false" customHeight="false" outlineLevel="0" collapsed="false">
      <c r="B31" s="6" t="n">
        <v>2018</v>
      </c>
      <c r="C31" s="6" t="n">
        <f aca="false">C30+1/24/4</f>
        <v>0.104386574074074</v>
      </c>
      <c r="D31" s="6" t="n">
        <v>400</v>
      </c>
      <c r="E31" s="6" t="n">
        <v>20</v>
      </c>
      <c r="F31" s="6" t="n">
        <v>40</v>
      </c>
      <c r="G31" s="6" t="n">
        <v>0</v>
      </c>
      <c r="H31" s="6" t="n">
        <v>1</v>
      </c>
      <c r="J31" s="420" t="n">
        <v>2018</v>
      </c>
      <c r="K31" s="420" t="n">
        <f aca="false">K30+1/48</f>
        <v>1.02083333333333</v>
      </c>
      <c r="L31" s="420" t="n">
        <v>1500</v>
      </c>
      <c r="M31" s="420" t="n">
        <v>5</v>
      </c>
      <c r="N31" s="420" t="n">
        <v>6</v>
      </c>
      <c r="O31" s="420" t="n">
        <v>7</v>
      </c>
      <c r="P31" s="420" t="n">
        <v>8</v>
      </c>
      <c r="Q31" s="420" t="n">
        <v>7</v>
      </c>
      <c r="R31" s="420" t="n">
        <v>7</v>
      </c>
      <c r="S31" s="420" t="n">
        <v>7</v>
      </c>
      <c r="T31" s="420" t="n">
        <v>-5</v>
      </c>
      <c r="U31" s="420" t="n">
        <v>50</v>
      </c>
      <c r="V31" s="420" t="n">
        <v>0</v>
      </c>
      <c r="W31" s="420" t="n">
        <v>1</v>
      </c>
    </row>
    <row r="32" customFormat="false" ht="15.75" hidden="false" customHeight="false" outlineLevel="0" collapsed="false">
      <c r="B32" s="6" t="n">
        <v>2018</v>
      </c>
      <c r="C32" s="6" t="n">
        <f aca="false">C31+$A$5/24/3600</f>
        <v>0.104398148148148</v>
      </c>
      <c r="D32" s="6" t="n">
        <v>400</v>
      </c>
      <c r="E32" s="6" t="n">
        <v>20</v>
      </c>
      <c r="F32" s="6" t="n">
        <v>40</v>
      </c>
      <c r="G32" s="6" t="n">
        <v>0</v>
      </c>
      <c r="H32" s="6" t="n">
        <v>1</v>
      </c>
      <c r="J32" s="420" t="n">
        <v>2018</v>
      </c>
      <c r="K32" s="420" t="n">
        <f aca="false">K31+1/48</f>
        <v>1.04166666666667</v>
      </c>
      <c r="L32" s="420" t="n">
        <v>1500</v>
      </c>
      <c r="M32" s="420" t="n">
        <v>5</v>
      </c>
      <c r="N32" s="420" t="n">
        <v>6</v>
      </c>
      <c r="O32" s="420" t="n">
        <v>7</v>
      </c>
      <c r="P32" s="420" t="n">
        <v>8</v>
      </c>
      <c r="Q32" s="420" t="n">
        <v>7</v>
      </c>
      <c r="R32" s="420" t="n">
        <v>7</v>
      </c>
      <c r="S32" s="420" t="n">
        <v>7</v>
      </c>
      <c r="T32" s="420" t="n">
        <v>-5</v>
      </c>
      <c r="U32" s="420" t="n">
        <v>50</v>
      </c>
      <c r="V32" s="420" t="n">
        <v>0</v>
      </c>
      <c r="W32" s="420" t="n">
        <v>1</v>
      </c>
    </row>
    <row r="33" customFormat="false" ht="15.75" hidden="false" customHeight="false" outlineLevel="0" collapsed="false">
      <c r="B33" s="6" t="n">
        <v>2018</v>
      </c>
      <c r="C33" s="506" t="n">
        <f aca="false">C32+$A$5/24/3600</f>
        <v>0.104409722222222</v>
      </c>
      <c r="D33" s="506" t="n">
        <v>750</v>
      </c>
      <c r="E33" s="6" t="n">
        <v>20</v>
      </c>
      <c r="F33" s="6" t="n">
        <v>40</v>
      </c>
      <c r="G33" s="6" t="n">
        <v>0</v>
      </c>
      <c r="H33" s="6" t="n">
        <v>1</v>
      </c>
      <c r="J33" s="420" t="n">
        <v>2018</v>
      </c>
      <c r="K33" s="420" t="n">
        <f aca="false">K32+1/48</f>
        <v>1.0625</v>
      </c>
      <c r="L33" s="420" t="n">
        <v>1500</v>
      </c>
      <c r="M33" s="420" t="n">
        <v>5</v>
      </c>
      <c r="N33" s="420" t="n">
        <v>6</v>
      </c>
      <c r="O33" s="420" t="n">
        <v>7</v>
      </c>
      <c r="P33" s="420" t="n">
        <v>8</v>
      </c>
      <c r="Q33" s="420" t="n">
        <v>7</v>
      </c>
      <c r="R33" s="420" t="n">
        <v>7</v>
      </c>
      <c r="S33" s="420" t="n">
        <v>7</v>
      </c>
      <c r="T33" s="420" t="n">
        <v>25</v>
      </c>
      <c r="U33" s="420" t="n">
        <v>50</v>
      </c>
      <c r="V33" s="420" t="n">
        <v>0</v>
      </c>
      <c r="W33" s="420" t="n">
        <v>1</v>
      </c>
    </row>
    <row r="34" customFormat="false" ht="15.75" hidden="false" customHeight="false" outlineLevel="0" collapsed="false">
      <c r="B34" s="6" t="n">
        <v>2018</v>
      </c>
      <c r="C34" s="506" t="n">
        <f aca="false">C33+$A$5/24/3600</f>
        <v>0.104421296296296</v>
      </c>
      <c r="D34" s="506" t="n">
        <v>1500</v>
      </c>
      <c r="E34" s="6" t="n">
        <v>20</v>
      </c>
      <c r="F34" s="6" t="n">
        <v>40</v>
      </c>
      <c r="G34" s="6" t="n">
        <v>0</v>
      </c>
      <c r="H34" s="6" t="n">
        <v>1</v>
      </c>
      <c r="J34" s="420" t="n">
        <v>2018</v>
      </c>
      <c r="K34" s="420" t="n">
        <f aca="false">K33+1/48</f>
        <v>1.08333333333333</v>
      </c>
      <c r="L34" s="420" t="n">
        <v>1500</v>
      </c>
      <c r="M34" s="420" t="n">
        <v>5</v>
      </c>
      <c r="N34" s="420" t="n">
        <v>6</v>
      </c>
      <c r="O34" s="420" t="n">
        <v>7</v>
      </c>
      <c r="P34" s="420" t="n">
        <v>8</v>
      </c>
      <c r="Q34" s="420" t="n">
        <v>7</v>
      </c>
      <c r="R34" s="420" t="n">
        <v>7</v>
      </c>
      <c r="S34" s="420" t="n">
        <v>7</v>
      </c>
      <c r="T34" s="420" t="n">
        <v>25</v>
      </c>
      <c r="U34" s="420" t="n">
        <v>50</v>
      </c>
      <c r="V34" s="420" t="n">
        <v>0</v>
      </c>
      <c r="W34" s="420" t="n">
        <v>1</v>
      </c>
    </row>
    <row r="35" customFormat="false" ht="15.75" hidden="false" customHeight="false" outlineLevel="0" collapsed="false">
      <c r="B35" s="6" t="n">
        <v>2018</v>
      </c>
      <c r="C35" s="506" t="n">
        <f aca="false">C34+1/24/4</f>
        <v>0.114837962962963</v>
      </c>
      <c r="D35" s="506" t="n">
        <v>1500</v>
      </c>
      <c r="E35" s="6" t="n">
        <v>20</v>
      </c>
      <c r="F35" s="6" t="n">
        <v>40</v>
      </c>
      <c r="G35" s="6" t="n">
        <v>0</v>
      </c>
      <c r="H35" s="6" t="n">
        <v>1</v>
      </c>
      <c r="J35" s="420" t="n">
        <v>2018</v>
      </c>
      <c r="K35" s="420" t="n">
        <f aca="false">K34+1/48</f>
        <v>1.10416666666667</v>
      </c>
      <c r="L35" s="420" t="n">
        <v>1500</v>
      </c>
      <c r="M35" s="420" t="n">
        <v>5</v>
      </c>
      <c r="N35" s="420" t="n">
        <v>6</v>
      </c>
      <c r="O35" s="420" t="n">
        <v>7</v>
      </c>
      <c r="P35" s="420" t="n">
        <v>8</v>
      </c>
      <c r="Q35" s="420" t="n">
        <v>7</v>
      </c>
      <c r="R35" s="420" t="n">
        <v>7</v>
      </c>
      <c r="S35" s="420" t="n">
        <v>7</v>
      </c>
      <c r="T35" s="420" t="n">
        <v>25</v>
      </c>
      <c r="U35" s="420" t="n">
        <v>50</v>
      </c>
      <c r="V35" s="420" t="n">
        <v>0</v>
      </c>
      <c r="W35" s="420" t="n">
        <v>1</v>
      </c>
    </row>
    <row r="36" customFormat="false" ht="15.75" hidden="false" customHeight="false" outlineLevel="0" collapsed="false">
      <c r="B36" s="6" t="n">
        <v>2018</v>
      </c>
      <c r="C36" s="506" t="n">
        <f aca="false">C35+$A$5/24/3600</f>
        <v>0.114849537037037</v>
      </c>
      <c r="D36" s="506" t="n">
        <v>1500</v>
      </c>
      <c r="E36" s="6" t="n">
        <v>20</v>
      </c>
      <c r="F36" s="6" t="n">
        <v>40</v>
      </c>
      <c r="G36" s="6" t="n">
        <v>0</v>
      </c>
      <c r="H36" s="6" t="n">
        <v>1</v>
      </c>
      <c r="J36" s="420" t="n">
        <v>2018</v>
      </c>
      <c r="K36" s="420" t="n">
        <f aca="false">K35+1/48</f>
        <v>1.125</v>
      </c>
      <c r="L36" s="420" t="n">
        <v>1500</v>
      </c>
      <c r="M36" s="420" t="n">
        <v>5</v>
      </c>
      <c r="N36" s="420" t="n">
        <v>6</v>
      </c>
      <c r="O36" s="420" t="n">
        <v>7</v>
      </c>
      <c r="P36" s="420" t="n">
        <v>8</v>
      </c>
      <c r="Q36" s="420" t="n">
        <v>7</v>
      </c>
      <c r="R36" s="420" t="n">
        <v>7</v>
      </c>
      <c r="S36" s="420" t="n">
        <v>7</v>
      </c>
      <c r="T36" s="420" t="n">
        <v>25</v>
      </c>
      <c r="U36" s="420" t="n">
        <v>50</v>
      </c>
      <c r="V36" s="420" t="n">
        <v>0</v>
      </c>
      <c r="W36" s="420" t="n">
        <v>1</v>
      </c>
    </row>
    <row r="37" customFormat="false" ht="15.75" hidden="false" customHeight="false" outlineLevel="0" collapsed="false">
      <c r="B37" s="6" t="n">
        <v>2018</v>
      </c>
      <c r="C37" s="506" t="n">
        <f aca="false">C36+$A$5/24/3600</f>
        <v>0.114861111111111</v>
      </c>
      <c r="D37" s="506" t="n">
        <v>750</v>
      </c>
      <c r="E37" s="6" t="n">
        <v>20</v>
      </c>
      <c r="F37" s="6" t="n">
        <v>40</v>
      </c>
      <c r="G37" s="6" t="n">
        <v>0</v>
      </c>
      <c r="H37" s="6" t="n">
        <v>1</v>
      </c>
      <c r="J37" s="420" t="n">
        <v>2018</v>
      </c>
      <c r="K37" s="420" t="n">
        <f aca="false">K36+1/48</f>
        <v>1.14583333333333</v>
      </c>
      <c r="L37" s="420" t="n">
        <v>1500</v>
      </c>
      <c r="M37" s="420" t="n">
        <v>5</v>
      </c>
      <c r="N37" s="420" t="n">
        <v>6</v>
      </c>
      <c r="O37" s="420" t="n">
        <v>7</v>
      </c>
      <c r="P37" s="420" t="n">
        <v>8</v>
      </c>
      <c r="Q37" s="420" t="n">
        <v>7</v>
      </c>
      <c r="R37" s="420" t="n">
        <v>7</v>
      </c>
      <c r="S37" s="420" t="n">
        <v>7</v>
      </c>
      <c r="T37" s="420" t="n">
        <v>25</v>
      </c>
      <c r="U37" s="420" t="n">
        <v>50</v>
      </c>
      <c r="V37" s="420" t="n">
        <v>0</v>
      </c>
      <c r="W37" s="420" t="n">
        <v>1</v>
      </c>
    </row>
    <row r="38" customFormat="false" ht="15.75" hidden="false" customHeight="false" outlineLevel="0" collapsed="false">
      <c r="B38" s="420" t="n">
        <v>2018</v>
      </c>
      <c r="C38" s="6" t="n">
        <f aca="false">C37+$A$5/24/3600</f>
        <v>0.114872685185185</v>
      </c>
      <c r="D38" s="6" t="n">
        <v>400</v>
      </c>
      <c r="E38" s="6" t="n">
        <v>20</v>
      </c>
      <c r="F38" s="6" t="n">
        <v>40</v>
      </c>
      <c r="G38" s="6" t="n">
        <v>0</v>
      </c>
      <c r="H38" s="6" t="n">
        <v>1</v>
      </c>
      <c r="J38" s="420" t="n">
        <v>2018</v>
      </c>
      <c r="K38" s="420" t="n">
        <f aca="false">K37+1/48</f>
        <v>1.16666666666667</v>
      </c>
      <c r="L38" s="420" t="n">
        <v>1500</v>
      </c>
      <c r="M38" s="420" t="n">
        <v>-5</v>
      </c>
      <c r="N38" s="420" t="n">
        <v>6</v>
      </c>
      <c r="O38" s="420" t="n">
        <v>7</v>
      </c>
      <c r="P38" s="420" t="n">
        <v>8</v>
      </c>
      <c r="Q38" s="420" t="n">
        <v>7</v>
      </c>
      <c r="R38" s="420" t="n">
        <v>7</v>
      </c>
      <c r="S38" s="420" t="n">
        <v>7</v>
      </c>
      <c r="T38" s="420" t="n">
        <v>25</v>
      </c>
      <c r="U38" s="420" t="n">
        <v>50</v>
      </c>
      <c r="V38" s="420" t="n">
        <v>0</v>
      </c>
      <c r="W38" s="420" t="n">
        <v>1</v>
      </c>
    </row>
    <row r="39" customFormat="false" ht="15.75" hidden="false" customHeight="false" outlineLevel="0" collapsed="false">
      <c r="B39" s="420" t="n">
        <v>2018</v>
      </c>
      <c r="C39" s="6" t="n">
        <f aca="false">C38+1/24/4</f>
        <v>0.125289351851852</v>
      </c>
      <c r="D39" s="6" t="n">
        <v>400</v>
      </c>
      <c r="E39" s="6" t="n">
        <v>20</v>
      </c>
      <c r="F39" s="6" t="n">
        <v>40</v>
      </c>
      <c r="G39" s="6" t="n">
        <v>0</v>
      </c>
      <c r="H39" s="6" t="n">
        <v>1</v>
      </c>
      <c r="J39" s="420" t="n">
        <v>2018</v>
      </c>
      <c r="K39" s="420" t="n">
        <f aca="false">K38+1/48</f>
        <v>1.1875</v>
      </c>
      <c r="L39" s="420" t="n">
        <v>1500</v>
      </c>
      <c r="M39" s="420" t="n">
        <v>-5</v>
      </c>
      <c r="N39" s="420" t="n">
        <v>6</v>
      </c>
      <c r="O39" s="420" t="n">
        <v>7</v>
      </c>
      <c r="P39" s="420" t="n">
        <v>8</v>
      </c>
      <c r="Q39" s="420" t="n">
        <v>7</v>
      </c>
      <c r="R39" s="420" t="n">
        <v>7</v>
      </c>
      <c r="S39" s="420" t="n">
        <v>7</v>
      </c>
      <c r="T39" s="420" t="n">
        <v>25</v>
      </c>
      <c r="U39" s="420" t="n">
        <v>50</v>
      </c>
      <c r="V39" s="420" t="n">
        <v>0</v>
      </c>
      <c r="W39" s="420" t="n">
        <v>1</v>
      </c>
    </row>
    <row r="40" customFormat="false" ht="15.75" hidden="false" customHeight="false" outlineLevel="0" collapsed="false">
      <c r="B40" s="420" t="n">
        <v>2018</v>
      </c>
      <c r="C40" s="6" t="n">
        <f aca="false">C39+$A$5/24/3600</f>
        <v>0.125300925925926</v>
      </c>
      <c r="D40" s="6" t="n">
        <v>400</v>
      </c>
      <c r="E40" s="6" t="n">
        <v>20</v>
      </c>
      <c r="F40" s="6" t="n">
        <v>40</v>
      </c>
      <c r="G40" s="6" t="n">
        <v>0</v>
      </c>
      <c r="H40" s="6" t="n">
        <v>1</v>
      </c>
      <c r="J40" s="420" t="n">
        <v>2018</v>
      </c>
      <c r="K40" s="420" t="n">
        <f aca="false">K39+1/48</f>
        <v>1.20833333333333</v>
      </c>
      <c r="L40" s="420" t="n">
        <v>1500</v>
      </c>
      <c r="M40" s="420" t="n">
        <v>-5</v>
      </c>
      <c r="N40" s="420" t="n">
        <v>6</v>
      </c>
      <c r="O40" s="420" t="n">
        <v>7</v>
      </c>
      <c r="P40" s="420" t="n">
        <v>8</v>
      </c>
      <c r="Q40" s="420" t="n">
        <v>7</v>
      </c>
      <c r="R40" s="420" t="n">
        <v>7</v>
      </c>
      <c r="S40" s="420" t="n">
        <v>7</v>
      </c>
      <c r="T40" s="420" t="n">
        <v>25</v>
      </c>
      <c r="U40" s="420" t="n">
        <v>50</v>
      </c>
      <c r="V40" s="420" t="n">
        <v>0</v>
      </c>
      <c r="W40" s="420" t="n">
        <v>1</v>
      </c>
    </row>
    <row r="41" customFormat="false" ht="15.75" hidden="false" customHeight="false" outlineLevel="0" collapsed="false">
      <c r="B41" s="420" t="n">
        <v>2018</v>
      </c>
      <c r="C41" s="506" t="n">
        <f aca="false">C40+$A$5/24/3600</f>
        <v>0.1253125</v>
      </c>
      <c r="D41" s="506" t="n">
        <v>750</v>
      </c>
      <c r="E41" s="6" t="n">
        <v>20</v>
      </c>
      <c r="F41" s="6" t="n">
        <v>40</v>
      </c>
      <c r="G41" s="6" t="n">
        <v>0</v>
      </c>
      <c r="H41" s="6" t="n">
        <v>1</v>
      </c>
      <c r="J41" s="420" t="n">
        <v>2018</v>
      </c>
      <c r="K41" s="420" t="n">
        <f aca="false">K40+1/48</f>
        <v>1.22916666666667</v>
      </c>
      <c r="L41" s="420" t="n">
        <v>1500</v>
      </c>
      <c r="M41" s="420" t="n">
        <v>-5</v>
      </c>
      <c r="N41" s="420" t="n">
        <v>6</v>
      </c>
      <c r="O41" s="420" t="n">
        <v>7</v>
      </c>
      <c r="P41" s="420" t="n">
        <v>8</v>
      </c>
      <c r="Q41" s="420" t="n">
        <v>7</v>
      </c>
      <c r="R41" s="420" t="n">
        <v>7</v>
      </c>
      <c r="S41" s="420" t="n">
        <v>7</v>
      </c>
      <c r="T41" s="420" t="n">
        <v>25</v>
      </c>
      <c r="U41" s="420" t="n">
        <v>50</v>
      </c>
      <c r="V41" s="420" t="n">
        <v>0</v>
      </c>
      <c r="W41" s="420" t="n">
        <v>1</v>
      </c>
    </row>
    <row r="42" customFormat="false" ht="15.75" hidden="false" customHeight="false" outlineLevel="0" collapsed="false">
      <c r="B42" s="420" t="n">
        <v>2018</v>
      </c>
      <c r="C42" s="506" t="n">
        <f aca="false">C41+$A$5/24/3600</f>
        <v>0.125324074074074</v>
      </c>
      <c r="D42" s="506" t="n">
        <v>1500</v>
      </c>
      <c r="E42" s="6" t="n">
        <v>20</v>
      </c>
      <c r="F42" s="6" t="n">
        <v>40</v>
      </c>
      <c r="G42" s="6" t="n">
        <v>0</v>
      </c>
      <c r="H42" s="6" t="n">
        <v>1</v>
      </c>
      <c r="J42" s="420" t="n">
        <v>2018</v>
      </c>
      <c r="K42" s="420" t="n">
        <f aca="false">K41+1/48</f>
        <v>1.25</v>
      </c>
      <c r="L42" s="420" t="n">
        <v>1500</v>
      </c>
      <c r="M42" s="420" t="n">
        <v>5</v>
      </c>
      <c r="N42" s="420" t="n">
        <v>6</v>
      </c>
      <c r="O42" s="420" t="n">
        <v>7</v>
      </c>
      <c r="P42" s="420" t="n">
        <v>8</v>
      </c>
      <c r="Q42" s="420" t="n">
        <v>7</v>
      </c>
      <c r="R42" s="420" t="n">
        <v>7</v>
      </c>
      <c r="S42" s="420" t="n">
        <v>7</v>
      </c>
      <c r="T42" s="420" t="n">
        <v>25</v>
      </c>
      <c r="U42" s="420" t="n">
        <v>50</v>
      </c>
      <c r="V42" s="420" t="n">
        <v>0</v>
      </c>
      <c r="W42" s="420" t="n">
        <v>1</v>
      </c>
    </row>
    <row r="43" customFormat="false" ht="15.75" hidden="false" customHeight="false" outlineLevel="0" collapsed="false">
      <c r="B43" s="420" t="n">
        <v>2018</v>
      </c>
      <c r="C43" s="506" t="n">
        <f aca="false">C42+1/24/4</f>
        <v>0.135740740740741</v>
      </c>
      <c r="D43" s="506" t="n">
        <v>1500</v>
      </c>
      <c r="E43" s="6" t="n">
        <v>20</v>
      </c>
      <c r="F43" s="6" t="n">
        <v>40</v>
      </c>
      <c r="G43" s="6" t="n">
        <v>0</v>
      </c>
      <c r="H43" s="6" t="n">
        <v>1</v>
      </c>
      <c r="J43" s="420" t="n">
        <v>2018</v>
      </c>
      <c r="K43" s="420" t="n">
        <f aca="false">K42+1/48</f>
        <v>1.27083333333333</v>
      </c>
      <c r="L43" s="420" t="n">
        <v>1500</v>
      </c>
      <c r="M43" s="420" t="n">
        <v>5</v>
      </c>
      <c r="N43" s="420" t="n">
        <v>6</v>
      </c>
      <c r="O43" s="420" t="n">
        <v>7</v>
      </c>
      <c r="P43" s="420" t="n">
        <v>8</v>
      </c>
      <c r="Q43" s="420" t="n">
        <v>7</v>
      </c>
      <c r="R43" s="420" t="n">
        <v>7</v>
      </c>
      <c r="S43" s="420" t="n">
        <v>7</v>
      </c>
      <c r="T43" s="420" t="n">
        <v>25</v>
      </c>
      <c r="U43" s="420" t="n">
        <v>50</v>
      </c>
      <c r="V43" s="420" t="n">
        <v>0</v>
      </c>
      <c r="W43" s="420" t="n">
        <v>1</v>
      </c>
    </row>
    <row r="44" customFormat="false" ht="15.75" hidden="false" customHeight="false" outlineLevel="0" collapsed="false">
      <c r="B44" s="420" t="n">
        <v>2018</v>
      </c>
      <c r="C44" s="506" t="n">
        <f aca="false">C43+$A$5/24/3600</f>
        <v>0.135752314814815</v>
      </c>
      <c r="D44" s="506" t="n">
        <v>1500</v>
      </c>
      <c r="E44" s="6" t="n">
        <v>20</v>
      </c>
      <c r="F44" s="6" t="n">
        <v>40</v>
      </c>
      <c r="G44" s="6" t="n">
        <v>0</v>
      </c>
      <c r="H44" s="6" t="n">
        <v>1</v>
      </c>
      <c r="J44" s="420" t="n">
        <v>2018</v>
      </c>
      <c r="K44" s="420" t="n">
        <f aca="false">K43+1/48</f>
        <v>1.29166666666667</v>
      </c>
      <c r="L44" s="420" t="n">
        <v>1500</v>
      </c>
      <c r="M44" s="420" t="n">
        <v>5</v>
      </c>
      <c r="N44" s="420" t="n">
        <v>6</v>
      </c>
      <c r="O44" s="420" t="n">
        <v>7</v>
      </c>
      <c r="P44" s="420" t="n">
        <v>8</v>
      </c>
      <c r="Q44" s="420" t="n">
        <v>7</v>
      </c>
      <c r="R44" s="420" t="n">
        <v>7</v>
      </c>
      <c r="S44" s="420" t="n">
        <v>7</v>
      </c>
      <c r="T44" s="420" t="n">
        <v>25</v>
      </c>
      <c r="U44" s="420" t="n">
        <v>50</v>
      </c>
      <c r="V44" s="420" t="n">
        <v>0</v>
      </c>
      <c r="W44" s="420" t="n">
        <v>1</v>
      </c>
    </row>
    <row r="45" customFormat="false" ht="15.75" hidden="false" customHeight="false" outlineLevel="0" collapsed="false">
      <c r="B45" s="420" t="n">
        <v>2018</v>
      </c>
      <c r="C45" s="506" t="n">
        <f aca="false">C44+$A$5/24/3600</f>
        <v>0.135763888888889</v>
      </c>
      <c r="D45" s="506" t="n">
        <v>750</v>
      </c>
      <c r="E45" s="6" t="n">
        <v>20</v>
      </c>
      <c r="F45" s="6" t="n">
        <v>40</v>
      </c>
      <c r="G45" s="6" t="n">
        <v>0</v>
      </c>
      <c r="H45" s="6" t="n">
        <v>1</v>
      </c>
      <c r="J45" s="420" t="n">
        <v>2018</v>
      </c>
      <c r="K45" s="420" t="n">
        <f aca="false">K44+1/48</f>
        <v>1.3125</v>
      </c>
      <c r="L45" s="420" t="n">
        <v>1500</v>
      </c>
      <c r="M45" s="420" t="n">
        <v>5</v>
      </c>
      <c r="N45" s="420" t="n">
        <v>6</v>
      </c>
      <c r="O45" s="420" t="n">
        <v>7</v>
      </c>
      <c r="P45" s="420" t="n">
        <v>8</v>
      </c>
      <c r="Q45" s="420" t="n">
        <v>7</v>
      </c>
      <c r="R45" s="420" t="n">
        <v>7</v>
      </c>
      <c r="S45" s="420" t="n">
        <v>7</v>
      </c>
      <c r="T45" s="420" t="n">
        <v>25</v>
      </c>
      <c r="U45" s="420" t="n">
        <v>50</v>
      </c>
      <c r="V45" s="420" t="n">
        <v>0</v>
      </c>
      <c r="W45" s="420" t="n">
        <v>1</v>
      </c>
    </row>
    <row r="46" customFormat="false" ht="15.75" hidden="false" customHeight="false" outlineLevel="0" collapsed="false">
      <c r="B46" s="420" t="n">
        <v>2018</v>
      </c>
      <c r="C46" s="6" t="n">
        <f aca="false">C45+$A$5/24/3600</f>
        <v>0.135775462962963</v>
      </c>
      <c r="D46" s="6" t="n">
        <v>400</v>
      </c>
      <c r="E46" s="6" t="n">
        <v>20</v>
      </c>
      <c r="F46" s="6" t="n">
        <v>40</v>
      </c>
      <c r="G46" s="6" t="n">
        <v>0</v>
      </c>
      <c r="H46" s="6" t="n">
        <v>1</v>
      </c>
      <c r="J46" s="420" t="n">
        <v>2018</v>
      </c>
      <c r="K46" s="420" t="n">
        <f aca="false">K45+1/48</f>
        <v>1.33333333333333</v>
      </c>
      <c r="L46" s="420" t="n">
        <v>1500</v>
      </c>
      <c r="M46" s="420" t="n">
        <v>5</v>
      </c>
      <c r="N46" s="420" t="n">
        <v>6</v>
      </c>
      <c r="O46" s="420" t="n">
        <v>7</v>
      </c>
      <c r="P46" s="420" t="n">
        <v>8</v>
      </c>
      <c r="Q46" s="420" t="n">
        <v>7</v>
      </c>
      <c r="R46" s="420" t="n">
        <v>7</v>
      </c>
      <c r="S46" s="420" t="n">
        <v>7</v>
      </c>
      <c r="T46" s="420" t="n">
        <v>25</v>
      </c>
      <c r="U46" s="420" t="n">
        <v>50</v>
      </c>
      <c r="V46" s="420" t="n">
        <v>0</v>
      </c>
      <c r="W46" s="420" t="n">
        <v>1</v>
      </c>
    </row>
    <row r="47" customFormat="false" ht="15.75" hidden="false" customHeight="false" outlineLevel="0" collapsed="false">
      <c r="B47" s="420" t="n">
        <v>2018</v>
      </c>
      <c r="C47" s="6" t="n">
        <f aca="false">C46+1/24/4</f>
        <v>0.14619212962963</v>
      </c>
      <c r="D47" s="6" t="n">
        <v>400</v>
      </c>
      <c r="E47" s="6" t="n">
        <v>20</v>
      </c>
      <c r="F47" s="6" t="n">
        <v>40</v>
      </c>
      <c r="G47" s="6" t="n">
        <v>0</v>
      </c>
      <c r="H47" s="6" t="n">
        <v>1</v>
      </c>
      <c r="J47" s="420" t="n">
        <v>2018</v>
      </c>
      <c r="K47" s="420" t="n">
        <f aca="false">K46+1/48</f>
        <v>1.35416666666667</v>
      </c>
      <c r="L47" s="420" t="n">
        <v>1500</v>
      </c>
      <c r="M47" s="420" t="n">
        <v>5</v>
      </c>
      <c r="N47" s="420" t="n">
        <v>6</v>
      </c>
      <c r="O47" s="420" t="n">
        <v>7</v>
      </c>
      <c r="P47" s="420" t="n">
        <v>8</v>
      </c>
      <c r="Q47" s="420" t="n">
        <v>7</v>
      </c>
      <c r="R47" s="420" t="n">
        <v>7</v>
      </c>
      <c r="S47" s="420" t="n">
        <v>7</v>
      </c>
      <c r="T47" s="420" t="n">
        <v>25</v>
      </c>
      <c r="U47" s="420" t="n">
        <v>50</v>
      </c>
      <c r="V47" s="420" t="n">
        <v>0</v>
      </c>
      <c r="W47" s="420" t="n">
        <v>1</v>
      </c>
    </row>
    <row r="48" customFormat="false" ht="15.75" hidden="false" customHeight="false" outlineLevel="0" collapsed="false">
      <c r="B48" s="420" t="n">
        <v>2018</v>
      </c>
      <c r="C48" s="6" t="n">
        <f aca="false">C47+$A$5/24/3600</f>
        <v>0.146203703703704</v>
      </c>
      <c r="D48" s="6" t="n">
        <v>400</v>
      </c>
      <c r="E48" s="6" t="n">
        <v>20</v>
      </c>
      <c r="F48" s="6" t="n">
        <v>40</v>
      </c>
      <c r="G48" s="6" t="n">
        <v>0</v>
      </c>
      <c r="H48" s="6" t="n">
        <v>1</v>
      </c>
      <c r="J48" s="420" t="n">
        <v>2018</v>
      </c>
      <c r="K48" s="420" t="n">
        <f aca="false">K47+1/48</f>
        <v>1.375</v>
      </c>
      <c r="L48" s="420" t="n">
        <v>1500</v>
      </c>
      <c r="M48" s="420" t="n">
        <v>5</v>
      </c>
      <c r="N48" s="420" t="n">
        <v>6</v>
      </c>
      <c r="O48" s="420" t="n">
        <v>7</v>
      </c>
      <c r="P48" s="420" t="n">
        <v>8</v>
      </c>
      <c r="Q48" s="420" t="n">
        <v>7</v>
      </c>
      <c r="R48" s="420" t="n">
        <v>7</v>
      </c>
      <c r="S48" s="420" t="n">
        <v>7</v>
      </c>
      <c r="T48" s="420" t="n">
        <v>25</v>
      </c>
      <c r="U48" s="420" t="n">
        <v>50</v>
      </c>
      <c r="V48" s="420" t="n">
        <v>0</v>
      </c>
      <c r="W48" s="420" t="n">
        <v>1</v>
      </c>
    </row>
    <row r="49" customFormat="false" ht="15.75" hidden="false" customHeight="false" outlineLevel="0" collapsed="false">
      <c r="B49" s="420" t="n">
        <v>2018</v>
      </c>
      <c r="C49" s="506" t="n">
        <f aca="false">C48+$A$5/24/3600</f>
        <v>0.146215277777778</v>
      </c>
      <c r="D49" s="506" t="n">
        <v>750</v>
      </c>
      <c r="E49" s="6" t="n">
        <v>20</v>
      </c>
      <c r="F49" s="6" t="n">
        <v>40</v>
      </c>
      <c r="G49" s="6" t="n">
        <v>0</v>
      </c>
      <c r="H49" s="6" t="n">
        <v>1</v>
      </c>
      <c r="J49" s="420" t="n">
        <v>2018</v>
      </c>
      <c r="K49" s="420" t="n">
        <f aca="false">K48+1/48</f>
        <v>1.39583333333333</v>
      </c>
      <c r="L49" s="420" t="n">
        <v>1500</v>
      </c>
      <c r="M49" s="420" t="n">
        <v>5</v>
      </c>
      <c r="N49" s="420" t="n">
        <v>6</v>
      </c>
      <c r="O49" s="420" t="n">
        <v>7</v>
      </c>
      <c r="P49" s="420" t="n">
        <v>8</v>
      </c>
      <c r="Q49" s="420" t="n">
        <v>7</v>
      </c>
      <c r="R49" s="420" t="n">
        <v>7</v>
      </c>
      <c r="S49" s="420" t="n">
        <v>7</v>
      </c>
      <c r="T49" s="420" t="n">
        <v>25</v>
      </c>
      <c r="U49" s="420" t="n">
        <v>50</v>
      </c>
      <c r="V49" s="420" t="n">
        <v>0</v>
      </c>
      <c r="W49" s="420" t="n">
        <v>1</v>
      </c>
    </row>
    <row r="50" customFormat="false" ht="15.75" hidden="false" customHeight="false" outlineLevel="0" collapsed="false">
      <c r="B50" s="420" t="n">
        <v>2018</v>
      </c>
      <c r="C50" s="506" t="n">
        <f aca="false">C49+$A$5/24/3600</f>
        <v>0.146226851851852</v>
      </c>
      <c r="D50" s="506" t="n">
        <v>1500</v>
      </c>
      <c r="E50" s="6" t="n">
        <v>20</v>
      </c>
      <c r="F50" s="6" t="n">
        <v>40</v>
      </c>
      <c r="G50" s="6" t="n">
        <v>0</v>
      </c>
      <c r="H50" s="6" t="n">
        <v>1</v>
      </c>
      <c r="J50" s="420" t="n">
        <v>2018</v>
      </c>
      <c r="K50" s="420" t="n">
        <f aca="false">K49+1/48</f>
        <v>1.41666666666667</v>
      </c>
      <c r="L50" s="420" t="n">
        <v>1500</v>
      </c>
      <c r="M50" s="420" t="n">
        <v>5</v>
      </c>
      <c r="N50" s="420" t="n">
        <v>6</v>
      </c>
      <c r="O50" s="420" t="n">
        <v>7</v>
      </c>
      <c r="P50" s="420" t="n">
        <v>8</v>
      </c>
      <c r="Q50" s="420" t="n">
        <v>7</v>
      </c>
      <c r="R50" s="420" t="n">
        <v>7</v>
      </c>
      <c r="S50" s="420" t="n">
        <v>7</v>
      </c>
      <c r="T50" s="420" t="n">
        <v>25</v>
      </c>
      <c r="U50" s="420" t="n">
        <v>50</v>
      </c>
      <c r="V50" s="420" t="n">
        <v>0</v>
      </c>
      <c r="W50" s="420" t="n">
        <v>1</v>
      </c>
    </row>
    <row r="51" customFormat="false" ht="15.75" hidden="false" customHeight="false" outlineLevel="0" collapsed="false">
      <c r="B51" s="420" t="n">
        <v>2018</v>
      </c>
      <c r="C51" s="506" t="n">
        <f aca="false">C50+1/24/4</f>
        <v>0.156643518518519</v>
      </c>
      <c r="D51" s="506" t="n">
        <v>1500</v>
      </c>
      <c r="E51" s="6" t="n">
        <v>20</v>
      </c>
      <c r="F51" s="6" t="n">
        <v>40</v>
      </c>
      <c r="G51" s="6" t="n">
        <v>0</v>
      </c>
      <c r="H51" s="6" t="n">
        <v>1</v>
      </c>
      <c r="J51" s="420" t="n">
        <v>2018</v>
      </c>
      <c r="K51" s="420" t="n">
        <f aca="false">K50+1/48</f>
        <v>1.4375</v>
      </c>
      <c r="L51" s="420" t="n">
        <v>1500</v>
      </c>
      <c r="M51" s="420" t="n">
        <v>5</v>
      </c>
      <c r="N51" s="420" t="n">
        <v>6</v>
      </c>
      <c r="O51" s="420" t="n">
        <v>7</v>
      </c>
      <c r="P51" s="420" t="n">
        <v>8</v>
      </c>
      <c r="Q51" s="420" t="n">
        <v>7</v>
      </c>
      <c r="R51" s="420" t="n">
        <v>7</v>
      </c>
      <c r="S51" s="420" t="n">
        <v>7</v>
      </c>
      <c r="T51" s="420" t="n">
        <v>25</v>
      </c>
      <c r="U51" s="420" t="n">
        <v>50</v>
      </c>
      <c r="V51" s="420" t="n">
        <v>0</v>
      </c>
      <c r="W51" s="420" t="n">
        <v>1</v>
      </c>
    </row>
    <row r="52" customFormat="false" ht="15.75" hidden="false" customHeight="false" outlineLevel="0" collapsed="false">
      <c r="B52" s="420" t="n">
        <v>2018</v>
      </c>
      <c r="C52" s="506" t="n">
        <f aca="false">C51+$A$5/24/3600</f>
        <v>0.156655092592593</v>
      </c>
      <c r="D52" s="506" t="n">
        <v>1500</v>
      </c>
      <c r="E52" s="6" t="n">
        <v>20</v>
      </c>
      <c r="F52" s="6" t="n">
        <v>40</v>
      </c>
      <c r="G52" s="6" t="n">
        <v>0</v>
      </c>
      <c r="H52" s="6" t="n">
        <v>1</v>
      </c>
      <c r="J52" s="420" t="n">
        <v>2018</v>
      </c>
      <c r="K52" s="420" t="n">
        <f aca="false">K51+1/48</f>
        <v>1.45833333333333</v>
      </c>
      <c r="L52" s="420" t="n">
        <v>1500</v>
      </c>
      <c r="M52" s="420" t="n">
        <v>5</v>
      </c>
      <c r="N52" s="420" t="n">
        <v>6</v>
      </c>
      <c r="O52" s="420" t="n">
        <v>7</v>
      </c>
      <c r="P52" s="420" t="n">
        <v>8</v>
      </c>
      <c r="Q52" s="420" t="n">
        <v>7</v>
      </c>
      <c r="R52" s="420" t="n">
        <v>7</v>
      </c>
      <c r="S52" s="420" t="n">
        <v>7</v>
      </c>
      <c r="T52" s="420" t="n">
        <v>25</v>
      </c>
      <c r="U52" s="420" t="n">
        <v>50</v>
      </c>
      <c r="V52" s="420" t="n">
        <v>0</v>
      </c>
      <c r="W52" s="420" t="n">
        <v>1</v>
      </c>
    </row>
    <row r="53" customFormat="false" ht="15.75" hidden="false" customHeight="false" outlineLevel="0" collapsed="false">
      <c r="B53" s="420" t="n">
        <v>2018</v>
      </c>
      <c r="C53" s="506" t="n">
        <f aca="false">C52+$A$5/24/3600</f>
        <v>0.156666666666667</v>
      </c>
      <c r="D53" s="506" t="n">
        <v>750</v>
      </c>
      <c r="E53" s="6" t="n">
        <v>20</v>
      </c>
      <c r="F53" s="6" t="n">
        <v>40</v>
      </c>
      <c r="G53" s="6" t="n">
        <v>0</v>
      </c>
      <c r="H53" s="6" t="n">
        <v>1</v>
      </c>
      <c r="J53" s="420" t="n">
        <v>2018</v>
      </c>
      <c r="K53" s="420" t="n">
        <f aca="false">K52+1/48</f>
        <v>1.47916666666667</v>
      </c>
      <c r="L53" s="420" t="n">
        <v>1500</v>
      </c>
      <c r="M53" s="420" t="n">
        <v>5</v>
      </c>
      <c r="N53" s="420" t="n">
        <v>6</v>
      </c>
      <c r="O53" s="420" t="n">
        <v>7</v>
      </c>
      <c r="P53" s="420" t="n">
        <v>8</v>
      </c>
      <c r="Q53" s="420" t="n">
        <v>7</v>
      </c>
      <c r="R53" s="420" t="n">
        <v>7</v>
      </c>
      <c r="S53" s="420" t="n">
        <v>7</v>
      </c>
      <c r="T53" s="420" t="n">
        <v>25</v>
      </c>
      <c r="U53" s="420" t="n">
        <v>50</v>
      </c>
      <c r="V53" s="420" t="n">
        <v>0</v>
      </c>
      <c r="W53" s="420" t="n">
        <v>1</v>
      </c>
    </row>
    <row r="54" customFormat="false" ht="15.75" hidden="false" customHeight="false" outlineLevel="0" collapsed="false">
      <c r="B54" s="420" t="n">
        <v>2018</v>
      </c>
      <c r="C54" s="6" t="n">
        <f aca="false">C53+$A$5/24/3600</f>
        <v>0.156678240740741</v>
      </c>
      <c r="D54" s="6" t="n">
        <v>0</v>
      </c>
      <c r="E54" s="6" t="n">
        <v>20</v>
      </c>
      <c r="F54" s="6" t="n">
        <v>40</v>
      </c>
      <c r="G54" s="6" t="n">
        <v>0</v>
      </c>
      <c r="H54" s="6" t="n">
        <v>1</v>
      </c>
    </row>
    <row r="55" customFormat="false" ht="15.75" hidden="false" customHeight="false" outlineLevel="0" collapsed="false">
      <c r="B55" s="420" t="n">
        <v>2018</v>
      </c>
      <c r="C55" s="6" t="n">
        <f aca="false">C54+1/24/4</f>
        <v>0.167094907407407</v>
      </c>
      <c r="D55" s="6" t="n">
        <v>0</v>
      </c>
      <c r="E55" s="6" t="n">
        <v>20</v>
      </c>
      <c r="F55" s="6" t="n">
        <v>40</v>
      </c>
      <c r="G55" s="6" t="n">
        <v>0</v>
      </c>
      <c r="H55" s="6" t="n">
        <v>1</v>
      </c>
    </row>
    <row r="56" customFormat="false" ht="15.75" hidden="false" customHeight="false" outlineLevel="0" collapsed="false">
      <c r="B56" s="420" t="n">
        <v>2018</v>
      </c>
      <c r="C56" s="6" t="n">
        <f aca="false">C55+$A$5/24/3600+1/24</f>
        <v>0.208773148148148</v>
      </c>
      <c r="D56" s="6" t="n">
        <v>0</v>
      </c>
      <c r="E56" s="6" t="n">
        <v>20</v>
      </c>
      <c r="F56" s="6" t="n">
        <v>40</v>
      </c>
      <c r="G56" s="6" t="n">
        <v>0</v>
      </c>
      <c r="H56" s="6" t="n">
        <v>1</v>
      </c>
    </row>
    <row r="57" customFormat="false" ht="15.75" hidden="false" customHeight="false" outlineLevel="0" collapsed="false">
      <c r="B57" s="420"/>
      <c r="C57" s="420"/>
      <c r="D57" s="420"/>
      <c r="E57" s="420"/>
      <c r="F57" s="420"/>
      <c r="G57" s="420"/>
      <c r="H57" s="420"/>
    </row>
    <row r="58" customFormat="false" ht="15.75" hidden="false" customHeight="false" outlineLevel="0" collapsed="false">
      <c r="B58" s="420"/>
      <c r="C58" s="420"/>
      <c r="D58" s="420"/>
      <c r="E58" s="420"/>
      <c r="F58" s="420"/>
      <c r="G58" s="420"/>
      <c r="H58" s="420"/>
    </row>
    <row r="59" customFormat="false" ht="15.75" hidden="false" customHeight="false" outlineLevel="0" collapsed="false">
      <c r="B59" s="420"/>
      <c r="C59" s="420"/>
      <c r="D59" s="420"/>
      <c r="E59" s="420"/>
      <c r="F59" s="420"/>
      <c r="G59" s="420"/>
      <c r="H59" s="420"/>
    </row>
    <row r="60" customFormat="false" ht="15.75" hidden="false" customHeight="false" outlineLevel="0" collapsed="false">
      <c r="B60" s="420"/>
      <c r="C60" s="420"/>
      <c r="D60" s="420"/>
      <c r="E60" s="420"/>
      <c r="F60" s="420"/>
      <c r="G60" s="420"/>
      <c r="H60" s="420"/>
    </row>
    <row r="61" customFormat="false" ht="15.75" hidden="false" customHeight="false" outlineLevel="0" collapsed="false">
      <c r="B61" s="420"/>
      <c r="C61" s="420"/>
      <c r="D61" s="420"/>
      <c r="E61" s="420"/>
      <c r="F61" s="420"/>
      <c r="G61" s="420"/>
      <c r="H61" s="420"/>
    </row>
    <row r="62" customFormat="false" ht="15.75" hidden="false" customHeight="false" outlineLevel="0" collapsed="false">
      <c r="B62" s="420"/>
      <c r="C62" s="420"/>
      <c r="D62" s="420"/>
      <c r="E62" s="420"/>
      <c r="F62" s="420"/>
      <c r="G62" s="420"/>
      <c r="H62" s="420"/>
    </row>
    <row r="63" customFormat="false" ht="15.75" hidden="false" customHeight="false" outlineLevel="0" collapsed="false">
      <c r="B63" s="420"/>
      <c r="C63" s="420"/>
      <c r="D63" s="420"/>
      <c r="E63" s="420"/>
      <c r="F63" s="420"/>
      <c r="G63" s="420"/>
      <c r="H63" s="420"/>
    </row>
    <row r="64" customFormat="false" ht="15.75" hidden="false" customHeight="false" outlineLevel="0" collapsed="false">
      <c r="B64" s="420"/>
      <c r="C64" s="420"/>
      <c r="D64" s="420"/>
      <c r="E64" s="420"/>
      <c r="F64" s="420"/>
      <c r="G64" s="420"/>
      <c r="H64" s="420"/>
    </row>
    <row r="65" customFormat="false" ht="15.75" hidden="false" customHeight="false" outlineLevel="0" collapsed="false">
      <c r="B65" s="420"/>
      <c r="C65" s="420"/>
      <c r="D65" s="420"/>
      <c r="E65" s="420"/>
      <c r="F65" s="420"/>
      <c r="G65" s="420"/>
      <c r="H65" s="420"/>
    </row>
    <row r="66" customFormat="false" ht="15.75" hidden="false" customHeight="false" outlineLevel="0" collapsed="false">
      <c r="B66" s="420"/>
      <c r="C66" s="420"/>
      <c r="D66" s="420"/>
      <c r="E66" s="420"/>
      <c r="F66" s="420"/>
      <c r="G66" s="420"/>
      <c r="H66" s="420"/>
    </row>
    <row r="67" customFormat="false" ht="15.75" hidden="false" customHeight="false" outlineLevel="0" collapsed="false">
      <c r="B67" s="420"/>
      <c r="C67" s="420"/>
      <c r="D67" s="420"/>
      <c r="E67" s="420"/>
      <c r="F67" s="420"/>
      <c r="G67" s="420"/>
      <c r="H67" s="420"/>
    </row>
    <row r="68" customFormat="false" ht="15.75" hidden="false" customHeight="false" outlineLevel="0" collapsed="false">
      <c r="B68" s="420"/>
      <c r="C68" s="420"/>
      <c r="D68" s="420"/>
      <c r="E68" s="420"/>
      <c r="F68" s="420"/>
      <c r="G68" s="420"/>
      <c r="H68" s="420"/>
    </row>
    <row r="69" customFormat="false" ht="15.75" hidden="false" customHeight="false" outlineLevel="0" collapsed="false">
      <c r="B69" s="420"/>
      <c r="C69" s="420"/>
      <c r="D69" s="420"/>
      <c r="E69" s="420"/>
      <c r="F69" s="420"/>
      <c r="G69" s="420"/>
      <c r="H69" s="420"/>
    </row>
    <row r="70" customFormat="false" ht="15.75" hidden="false" customHeight="false" outlineLevel="0" collapsed="false">
      <c r="B70" s="420"/>
      <c r="C70" s="420"/>
      <c r="D70" s="420"/>
      <c r="E70" s="420"/>
      <c r="F70" s="420"/>
      <c r="G70" s="420"/>
      <c r="H70" s="420"/>
    </row>
    <row r="71" customFormat="false" ht="15.75" hidden="false" customHeight="false" outlineLevel="0" collapsed="false">
      <c r="B71" s="420"/>
      <c r="C71" s="420"/>
      <c r="D71" s="420"/>
      <c r="E71" s="420"/>
      <c r="F71" s="420"/>
      <c r="G71" s="420"/>
      <c r="H71" s="420"/>
    </row>
    <row r="72" customFormat="false" ht="15.75" hidden="false" customHeight="false" outlineLevel="0" collapsed="false">
      <c r="B72" s="420"/>
      <c r="C72" s="420"/>
      <c r="D72" s="420"/>
      <c r="E72" s="420"/>
      <c r="F72" s="420"/>
      <c r="G72" s="420"/>
      <c r="H72" s="420"/>
    </row>
    <row r="73" customFormat="false" ht="15.75" hidden="false" customHeight="false" outlineLevel="0" collapsed="false">
      <c r="B73" s="420"/>
      <c r="C73" s="420"/>
      <c r="D73" s="420"/>
      <c r="E73" s="420"/>
      <c r="F73" s="420"/>
      <c r="G73" s="420"/>
      <c r="H73" s="420"/>
    </row>
    <row r="74" customFormat="false" ht="15.75" hidden="false" customHeight="false" outlineLevel="0" collapsed="false">
      <c r="B74" s="420"/>
      <c r="C74" s="420"/>
      <c r="D74" s="420"/>
      <c r="E74" s="420"/>
      <c r="F74" s="420"/>
      <c r="G74" s="420"/>
      <c r="H74" s="420"/>
    </row>
    <row r="75" customFormat="false" ht="15.75" hidden="false" customHeight="false" outlineLevel="0" collapsed="false">
      <c r="B75" s="420"/>
      <c r="C75" s="420"/>
      <c r="D75" s="420"/>
      <c r="E75" s="420"/>
      <c r="F75" s="420"/>
      <c r="G75" s="420"/>
      <c r="H75" s="420"/>
    </row>
    <row r="76" customFormat="false" ht="15.75" hidden="false" customHeight="false" outlineLevel="0" collapsed="false">
      <c r="B76" s="420"/>
      <c r="C76" s="420"/>
      <c r="D76" s="420"/>
      <c r="E76" s="420"/>
      <c r="F76" s="420"/>
      <c r="G76" s="420"/>
      <c r="H76" s="420"/>
    </row>
    <row r="77" customFormat="false" ht="15.75" hidden="false" customHeight="false" outlineLevel="0" collapsed="false">
      <c r="B77" s="420"/>
      <c r="C77" s="420"/>
      <c r="D77" s="420"/>
      <c r="E77" s="420"/>
      <c r="F77" s="420"/>
      <c r="G77" s="420"/>
      <c r="H77" s="420"/>
    </row>
    <row r="78" customFormat="false" ht="15.75" hidden="false" customHeight="false" outlineLevel="0" collapsed="false">
      <c r="B78" s="420"/>
      <c r="C78" s="420"/>
      <c r="D78" s="420"/>
      <c r="E78" s="420"/>
      <c r="F78" s="420"/>
      <c r="G78" s="420"/>
      <c r="H78" s="420"/>
    </row>
    <row r="79" customFormat="false" ht="15.75" hidden="false" customHeight="false" outlineLevel="0" collapsed="false">
      <c r="B79" s="420"/>
      <c r="C79" s="420"/>
      <c r="D79" s="420"/>
      <c r="E79" s="420"/>
      <c r="F79" s="420"/>
      <c r="G79" s="420"/>
      <c r="H79" s="420"/>
    </row>
    <row r="80" customFormat="false" ht="15.75" hidden="false" customHeight="false" outlineLevel="0" collapsed="false">
      <c r="B80" s="420"/>
      <c r="C80" s="420"/>
      <c r="D80" s="420"/>
      <c r="E80" s="420"/>
      <c r="F80" s="420"/>
      <c r="G80" s="420"/>
      <c r="H80" s="420"/>
    </row>
    <row r="81" customFormat="false" ht="15.75" hidden="false" customHeight="false" outlineLevel="0" collapsed="false">
      <c r="B81" s="420"/>
      <c r="C81" s="420"/>
      <c r="D81" s="420"/>
      <c r="E81" s="420"/>
      <c r="F81" s="420"/>
      <c r="G81" s="420"/>
      <c r="H81" s="420"/>
    </row>
    <row r="82" customFormat="false" ht="15.75" hidden="false" customHeight="false" outlineLevel="0" collapsed="false">
      <c r="B82" s="420"/>
      <c r="C82" s="420"/>
      <c r="D82" s="420"/>
      <c r="E82" s="420"/>
      <c r="F82" s="420"/>
      <c r="G82" s="420"/>
      <c r="H82" s="420"/>
    </row>
    <row r="83" customFormat="false" ht="15.75" hidden="false" customHeight="false" outlineLevel="0" collapsed="false">
      <c r="B83" s="420"/>
      <c r="C83" s="420"/>
      <c r="D83" s="420"/>
      <c r="E83" s="420"/>
      <c r="F83" s="420"/>
      <c r="G83" s="420"/>
      <c r="H83" s="420"/>
    </row>
    <row r="84" customFormat="false" ht="15.75" hidden="false" customHeight="false" outlineLevel="0" collapsed="false">
      <c r="B84" s="420"/>
      <c r="C84" s="420"/>
      <c r="D84" s="420"/>
      <c r="E84" s="420"/>
      <c r="F84" s="420"/>
      <c r="G84" s="420"/>
      <c r="H84" s="420"/>
    </row>
    <row r="85" customFormat="false" ht="15.75" hidden="false" customHeight="false" outlineLevel="0" collapsed="false">
      <c r="B85" s="420"/>
      <c r="C85" s="420"/>
      <c r="D85" s="420"/>
      <c r="E85" s="420"/>
      <c r="F85" s="420"/>
      <c r="G85" s="420"/>
      <c r="H85" s="420"/>
    </row>
    <row r="86" customFormat="false" ht="15.75" hidden="false" customHeight="false" outlineLevel="0" collapsed="false">
      <c r="B86" s="420"/>
      <c r="C86" s="420"/>
      <c r="D86" s="420"/>
      <c r="E86" s="420"/>
      <c r="F86" s="420"/>
      <c r="G86" s="420"/>
      <c r="H86" s="420"/>
    </row>
    <row r="87" customFormat="false" ht="15.75" hidden="false" customHeight="false" outlineLevel="0" collapsed="false">
      <c r="B87" s="420"/>
      <c r="C87" s="420"/>
      <c r="D87" s="420"/>
      <c r="E87" s="420"/>
      <c r="F87" s="420"/>
      <c r="G87" s="420"/>
      <c r="H87" s="420"/>
    </row>
    <row r="88" customFormat="false" ht="15.75" hidden="false" customHeight="false" outlineLevel="0" collapsed="false">
      <c r="B88" s="420"/>
      <c r="C88" s="420"/>
      <c r="D88" s="420"/>
      <c r="E88" s="420"/>
      <c r="F88" s="420"/>
      <c r="G88" s="420"/>
      <c r="H88" s="420"/>
    </row>
    <row r="89" customFormat="false" ht="15.75" hidden="false" customHeight="false" outlineLevel="0" collapsed="false">
      <c r="B89" s="420"/>
      <c r="C89" s="420"/>
      <c r="D89" s="420"/>
      <c r="E89" s="420"/>
      <c r="F89" s="420"/>
      <c r="G89" s="420"/>
      <c r="H89" s="420"/>
    </row>
    <row r="90" customFormat="false" ht="15.75" hidden="false" customHeight="false" outlineLevel="0" collapsed="false">
      <c r="B90" s="420"/>
      <c r="C90" s="420"/>
      <c r="D90" s="420"/>
      <c r="E90" s="420"/>
      <c r="F90" s="420"/>
      <c r="G90" s="420"/>
      <c r="H90" s="420"/>
    </row>
    <row r="91" customFormat="false" ht="15.75" hidden="false" customHeight="false" outlineLevel="0" collapsed="false">
      <c r="B91" s="420"/>
      <c r="C91" s="420"/>
      <c r="D91" s="420"/>
      <c r="E91" s="420"/>
      <c r="F91" s="420"/>
      <c r="G91" s="420"/>
      <c r="H91" s="420"/>
    </row>
    <row r="92" customFormat="false" ht="15.75" hidden="false" customHeight="false" outlineLevel="0" collapsed="false">
      <c r="B92" s="420"/>
      <c r="C92" s="420"/>
      <c r="D92" s="420"/>
      <c r="E92" s="420"/>
      <c r="F92" s="420"/>
      <c r="G92" s="420"/>
      <c r="H92" s="420"/>
    </row>
    <row r="93" customFormat="false" ht="15.75" hidden="false" customHeight="false" outlineLevel="0" collapsed="false">
      <c r="B93" s="420"/>
      <c r="C93" s="420"/>
      <c r="D93" s="420"/>
      <c r="E93" s="420"/>
      <c r="F93" s="420"/>
      <c r="G93" s="420"/>
      <c r="H93" s="420"/>
    </row>
    <row r="94" customFormat="false" ht="15.75" hidden="false" customHeight="false" outlineLevel="0" collapsed="false">
      <c r="B94" s="420"/>
      <c r="C94" s="420"/>
      <c r="D94" s="420"/>
      <c r="E94" s="420"/>
      <c r="F94" s="420"/>
      <c r="G94" s="420"/>
      <c r="H94" s="420"/>
    </row>
    <row r="95" customFormat="false" ht="15.75" hidden="false" customHeight="false" outlineLevel="0" collapsed="false">
      <c r="B95" s="420"/>
      <c r="C95" s="420"/>
      <c r="D95" s="420"/>
      <c r="E95" s="420"/>
      <c r="F95" s="420"/>
      <c r="G95" s="420"/>
      <c r="H95" s="420"/>
    </row>
    <row r="96" customFormat="false" ht="15.75" hidden="false" customHeight="false" outlineLevel="0" collapsed="false">
      <c r="B96" s="420"/>
      <c r="C96" s="420"/>
      <c r="D96" s="420"/>
      <c r="E96" s="420"/>
      <c r="F96" s="420"/>
      <c r="G96" s="420"/>
      <c r="H96" s="420"/>
    </row>
    <row r="97" customFormat="false" ht="15.75" hidden="false" customHeight="false" outlineLevel="0" collapsed="false">
      <c r="B97" s="420"/>
      <c r="C97" s="420"/>
      <c r="D97" s="420"/>
      <c r="E97" s="420"/>
      <c r="F97" s="420"/>
      <c r="G97" s="420"/>
      <c r="H97" s="420"/>
    </row>
    <row r="98" customFormat="false" ht="15.75" hidden="false" customHeight="false" outlineLevel="0" collapsed="false">
      <c r="B98" s="420"/>
      <c r="C98" s="420"/>
      <c r="D98" s="420"/>
      <c r="E98" s="420"/>
      <c r="F98" s="420"/>
      <c r="G98" s="420"/>
      <c r="H98" s="420"/>
    </row>
    <row r="99" customFormat="false" ht="15.75" hidden="false" customHeight="false" outlineLevel="0" collapsed="false">
      <c r="B99" s="420"/>
      <c r="C99" s="420"/>
      <c r="D99" s="420"/>
      <c r="E99" s="420"/>
      <c r="F99" s="420"/>
      <c r="G99" s="420"/>
      <c r="H99" s="420"/>
    </row>
    <row r="100" customFormat="false" ht="15.75" hidden="false" customHeight="false" outlineLevel="0" collapsed="false">
      <c r="B100" s="420"/>
      <c r="C100" s="420"/>
      <c r="D100" s="420"/>
      <c r="E100" s="420"/>
      <c r="F100" s="420"/>
      <c r="G100" s="420"/>
      <c r="H100" s="420"/>
    </row>
    <row r="101" customFormat="false" ht="15.75" hidden="false" customHeight="false" outlineLevel="0" collapsed="false">
      <c r="B101" s="420"/>
      <c r="C101" s="420"/>
      <c r="D101" s="420"/>
      <c r="E101" s="420"/>
      <c r="F101" s="420"/>
      <c r="G101" s="420"/>
      <c r="H101" s="420"/>
    </row>
    <row r="102" customFormat="false" ht="15.75" hidden="false" customHeight="false" outlineLevel="0" collapsed="false">
      <c r="B102" s="420"/>
      <c r="C102" s="420"/>
      <c r="D102" s="420"/>
      <c r="E102" s="420"/>
      <c r="F102" s="420"/>
      <c r="G102" s="420"/>
      <c r="H102" s="420"/>
    </row>
    <row r="103" customFormat="false" ht="15.75" hidden="false" customHeight="false" outlineLevel="0" collapsed="false">
      <c r="B103" s="420"/>
      <c r="C103" s="420"/>
      <c r="D103" s="420"/>
      <c r="E103" s="420"/>
      <c r="F103" s="420"/>
      <c r="G103" s="420"/>
      <c r="H103" s="420"/>
    </row>
    <row r="104" customFormat="false" ht="15.75" hidden="false" customHeight="false" outlineLevel="0" collapsed="false">
      <c r="B104" s="420"/>
      <c r="C104" s="420"/>
      <c r="D104" s="420"/>
      <c r="E104" s="420"/>
      <c r="F104" s="420"/>
      <c r="G104" s="420"/>
      <c r="H104" s="420"/>
    </row>
    <row r="105" customFormat="false" ht="15.75" hidden="false" customHeight="false" outlineLevel="0" collapsed="false">
      <c r="B105" s="420"/>
      <c r="C105" s="420"/>
      <c r="D105" s="420"/>
      <c r="E105" s="420"/>
      <c r="F105" s="420"/>
      <c r="G105" s="420"/>
      <c r="H105" s="420"/>
    </row>
    <row r="106" customFormat="false" ht="15.75" hidden="false" customHeight="false" outlineLevel="0" collapsed="false">
      <c r="B106" s="420"/>
      <c r="C106" s="420"/>
      <c r="D106" s="420"/>
      <c r="E106" s="420"/>
      <c r="F106" s="420"/>
      <c r="G106" s="420"/>
      <c r="H106" s="420"/>
    </row>
    <row r="107" customFormat="false" ht="15.75" hidden="false" customHeight="false" outlineLevel="0" collapsed="false">
      <c r="B107" s="420"/>
      <c r="C107" s="420"/>
      <c r="D107" s="420"/>
      <c r="E107" s="420"/>
      <c r="F107" s="420"/>
      <c r="G107" s="420"/>
      <c r="H107" s="420"/>
    </row>
    <row r="108" customFormat="false" ht="15.75" hidden="false" customHeight="false" outlineLevel="0" collapsed="false">
      <c r="B108" s="420"/>
      <c r="C108" s="420"/>
      <c r="D108" s="420"/>
      <c r="E108" s="420"/>
      <c r="F108" s="420"/>
      <c r="G108" s="420"/>
      <c r="H108" s="420"/>
    </row>
    <row r="109" customFormat="false" ht="15.75" hidden="false" customHeight="false" outlineLevel="0" collapsed="false">
      <c r="B109" s="420"/>
      <c r="C109" s="420"/>
      <c r="D109" s="420"/>
      <c r="E109" s="420"/>
      <c r="F109" s="420"/>
      <c r="G109" s="420"/>
      <c r="H109" s="420"/>
    </row>
    <row r="110" customFormat="false" ht="15.75" hidden="false" customHeight="false" outlineLevel="0" collapsed="false">
      <c r="B110" s="420"/>
      <c r="C110" s="420"/>
      <c r="D110" s="420"/>
      <c r="E110" s="420"/>
      <c r="F110" s="420"/>
      <c r="G110" s="420"/>
      <c r="H110" s="420"/>
    </row>
    <row r="111" customFormat="false" ht="15.75" hidden="false" customHeight="false" outlineLevel="0" collapsed="false">
      <c r="B111" s="420"/>
      <c r="C111" s="420"/>
      <c r="D111" s="420"/>
      <c r="E111" s="420"/>
      <c r="F111" s="420"/>
      <c r="G111" s="420"/>
      <c r="H111" s="420"/>
    </row>
    <row r="112" customFormat="false" ht="15.75" hidden="false" customHeight="false" outlineLevel="0" collapsed="false">
      <c r="B112" s="420"/>
      <c r="C112" s="420"/>
      <c r="D112" s="420"/>
      <c r="E112" s="420"/>
      <c r="F112" s="420"/>
      <c r="G112" s="420"/>
      <c r="H112" s="420"/>
    </row>
    <row r="113" customFormat="false" ht="15.75" hidden="false" customHeight="false" outlineLevel="0" collapsed="false">
      <c r="B113" s="420"/>
      <c r="C113" s="420"/>
      <c r="D113" s="420"/>
      <c r="E113" s="420"/>
      <c r="F113" s="420"/>
      <c r="G113" s="420"/>
      <c r="H113" s="420"/>
    </row>
    <row r="114" customFormat="false" ht="15.75" hidden="false" customHeight="false" outlineLevel="0" collapsed="false">
      <c r="B114" s="420"/>
      <c r="C114" s="420"/>
      <c r="D114" s="420"/>
      <c r="E114" s="420"/>
      <c r="F114" s="420"/>
      <c r="G114" s="420"/>
      <c r="H114" s="420"/>
    </row>
    <row r="115" customFormat="false" ht="15.75" hidden="false" customHeight="false" outlineLevel="0" collapsed="false">
      <c r="B115" s="420"/>
      <c r="C115" s="420"/>
      <c r="D115" s="420"/>
      <c r="E115" s="420"/>
      <c r="F115" s="420"/>
      <c r="G115" s="420"/>
      <c r="H115" s="420"/>
    </row>
    <row r="116" customFormat="false" ht="15.75" hidden="false" customHeight="false" outlineLevel="0" collapsed="false">
      <c r="B116" s="420"/>
      <c r="C116" s="420"/>
      <c r="D116" s="420"/>
      <c r="E116" s="420"/>
      <c r="F116" s="420"/>
      <c r="G116" s="420"/>
      <c r="H116" s="420"/>
    </row>
    <row r="117" customFormat="false" ht="15.75" hidden="false" customHeight="false" outlineLevel="0" collapsed="false">
      <c r="B117" s="420"/>
      <c r="C117" s="420"/>
      <c r="D117" s="420"/>
      <c r="E117" s="420"/>
      <c r="F117" s="420"/>
      <c r="G117" s="420"/>
      <c r="H117" s="420"/>
    </row>
    <row r="118" customFormat="false" ht="15.75" hidden="false" customHeight="false" outlineLevel="0" collapsed="false">
      <c r="B118" s="420"/>
      <c r="C118" s="420"/>
      <c r="D118" s="420"/>
      <c r="E118" s="420"/>
      <c r="F118" s="420"/>
      <c r="G118" s="420"/>
      <c r="H118" s="420"/>
    </row>
    <row r="119" customFormat="false" ht="15.75" hidden="false" customHeight="false" outlineLevel="0" collapsed="false">
      <c r="B119" s="420"/>
      <c r="C119" s="420"/>
      <c r="D119" s="420"/>
      <c r="E119" s="420"/>
      <c r="F119" s="420"/>
      <c r="G119" s="420"/>
      <c r="H119" s="420"/>
    </row>
    <row r="120" customFormat="false" ht="15.75" hidden="false" customHeight="false" outlineLevel="0" collapsed="false">
      <c r="B120" s="420"/>
      <c r="C120" s="420"/>
      <c r="D120" s="420"/>
      <c r="E120" s="420"/>
      <c r="F120" s="420"/>
      <c r="G120" s="420"/>
      <c r="H120" s="420"/>
    </row>
    <row r="121" customFormat="false" ht="15.75" hidden="false" customHeight="false" outlineLevel="0" collapsed="false">
      <c r="B121" s="420"/>
      <c r="C121" s="420"/>
      <c r="D121" s="420"/>
      <c r="E121" s="420"/>
      <c r="F121" s="420"/>
      <c r="G121" s="420"/>
      <c r="H121" s="420"/>
    </row>
    <row r="122" customFormat="false" ht="15.75" hidden="false" customHeight="false" outlineLevel="0" collapsed="false">
      <c r="B122" s="420"/>
      <c r="C122" s="420"/>
      <c r="D122" s="420"/>
      <c r="E122" s="420"/>
      <c r="F122" s="420"/>
      <c r="G122" s="420"/>
      <c r="H122" s="420"/>
    </row>
    <row r="123" customFormat="false" ht="15.75" hidden="false" customHeight="false" outlineLevel="0" collapsed="false">
      <c r="B123" s="420"/>
      <c r="C123" s="420"/>
      <c r="D123" s="420"/>
      <c r="E123" s="420"/>
      <c r="F123" s="420"/>
      <c r="G123" s="420"/>
      <c r="H123" s="420"/>
    </row>
    <row r="124" customFormat="false" ht="15.75" hidden="false" customHeight="false" outlineLevel="0" collapsed="false">
      <c r="B124" s="420"/>
      <c r="C124" s="420"/>
      <c r="D124" s="420"/>
      <c r="E124" s="420"/>
      <c r="F124" s="420"/>
      <c r="G124" s="420"/>
      <c r="H124" s="420"/>
    </row>
    <row r="125" customFormat="false" ht="15.75" hidden="false" customHeight="false" outlineLevel="0" collapsed="false">
      <c r="B125" s="420"/>
      <c r="C125" s="420"/>
      <c r="D125" s="420"/>
      <c r="E125" s="420"/>
      <c r="F125" s="420"/>
      <c r="G125" s="420"/>
      <c r="H125" s="420"/>
    </row>
    <row r="126" customFormat="false" ht="15.75" hidden="false" customHeight="false" outlineLevel="0" collapsed="false">
      <c r="B126" s="420"/>
      <c r="C126" s="420"/>
      <c r="D126" s="420"/>
      <c r="E126" s="420"/>
      <c r="F126" s="420"/>
      <c r="G126" s="420"/>
      <c r="H126" s="420"/>
    </row>
    <row r="127" customFormat="false" ht="15.75" hidden="false" customHeight="false" outlineLevel="0" collapsed="false">
      <c r="B127" s="420"/>
      <c r="C127" s="420"/>
      <c r="D127" s="420"/>
      <c r="E127" s="420"/>
      <c r="F127" s="420"/>
      <c r="G127" s="420"/>
      <c r="H127" s="420"/>
    </row>
    <row r="128" customFormat="false" ht="15.75" hidden="false" customHeight="false" outlineLevel="0" collapsed="false">
      <c r="B128" s="420"/>
      <c r="C128" s="420"/>
      <c r="D128" s="420"/>
      <c r="E128" s="420"/>
      <c r="F128" s="420"/>
      <c r="G128" s="420"/>
      <c r="H128" s="420"/>
    </row>
    <row r="129" customFormat="false" ht="15.75" hidden="false" customHeight="false" outlineLevel="0" collapsed="false">
      <c r="B129" s="420"/>
      <c r="C129" s="420"/>
      <c r="D129" s="420"/>
      <c r="E129" s="420"/>
      <c r="F129" s="420"/>
      <c r="G129" s="420"/>
      <c r="H129" s="420"/>
    </row>
    <row r="130" customFormat="false" ht="15.75" hidden="false" customHeight="false" outlineLevel="0" collapsed="false">
      <c r="B130" s="420"/>
      <c r="C130" s="420"/>
      <c r="D130" s="420"/>
      <c r="E130" s="420"/>
      <c r="F130" s="420"/>
      <c r="G130" s="420"/>
      <c r="H130" s="420"/>
    </row>
    <row r="131" customFormat="false" ht="15.75" hidden="false" customHeight="false" outlineLevel="0" collapsed="false">
      <c r="B131" s="420"/>
      <c r="C131" s="420"/>
      <c r="D131" s="420"/>
      <c r="E131" s="420"/>
      <c r="F131" s="420"/>
      <c r="G131" s="420"/>
      <c r="H131" s="420"/>
    </row>
    <row r="132" customFormat="false" ht="15.75" hidden="false" customHeight="false" outlineLevel="0" collapsed="false">
      <c r="B132" s="420"/>
      <c r="C132" s="420"/>
      <c r="D132" s="420"/>
      <c r="E132" s="420"/>
      <c r="F132" s="420"/>
      <c r="G132" s="420"/>
      <c r="H132" s="420"/>
    </row>
    <row r="133" customFormat="false" ht="15.75" hidden="false" customHeight="false" outlineLevel="0" collapsed="false">
      <c r="B133" s="420"/>
      <c r="C133" s="420"/>
      <c r="D133" s="420"/>
      <c r="E133" s="420"/>
      <c r="F133" s="420"/>
      <c r="G133" s="420"/>
      <c r="H133" s="420"/>
    </row>
    <row r="134" customFormat="false" ht="15.75" hidden="false" customHeight="false" outlineLevel="0" collapsed="false">
      <c r="B134" s="420"/>
      <c r="C134" s="420"/>
      <c r="D134" s="420"/>
      <c r="E134" s="420"/>
      <c r="F134" s="420"/>
      <c r="G134" s="420"/>
      <c r="H134" s="420"/>
    </row>
    <row r="135" customFormat="false" ht="15.75" hidden="false" customHeight="false" outlineLevel="0" collapsed="false">
      <c r="B135" s="420"/>
      <c r="C135" s="420"/>
      <c r="D135" s="420"/>
      <c r="E135" s="420"/>
      <c r="F135" s="420"/>
      <c r="G135" s="420"/>
      <c r="H135" s="420"/>
    </row>
    <row r="136" customFormat="false" ht="15.75" hidden="false" customHeight="false" outlineLevel="0" collapsed="false">
      <c r="B136" s="420"/>
      <c r="C136" s="420"/>
      <c r="D136" s="420"/>
      <c r="E136" s="420"/>
      <c r="F136" s="420"/>
      <c r="G136" s="420"/>
      <c r="H136" s="420"/>
    </row>
    <row r="137" customFormat="false" ht="15.75" hidden="false" customHeight="false" outlineLevel="0" collapsed="false">
      <c r="B137" s="420"/>
      <c r="C137" s="420"/>
      <c r="D137" s="420"/>
      <c r="E137" s="420"/>
      <c r="F137" s="420"/>
      <c r="G137" s="420"/>
      <c r="H137" s="420"/>
    </row>
    <row r="138" customFormat="false" ht="15.75" hidden="false" customHeight="false" outlineLevel="0" collapsed="false">
      <c r="B138" s="420"/>
      <c r="C138" s="420"/>
      <c r="D138" s="420"/>
      <c r="E138" s="420"/>
      <c r="F138" s="420"/>
      <c r="G138" s="420"/>
      <c r="H138" s="420"/>
    </row>
    <row r="139" customFormat="false" ht="15.75" hidden="false" customHeight="false" outlineLevel="0" collapsed="false">
      <c r="B139" s="420"/>
      <c r="C139" s="420"/>
      <c r="D139" s="420"/>
      <c r="E139" s="420"/>
      <c r="F139" s="420"/>
      <c r="G139" s="420"/>
      <c r="H139" s="420"/>
    </row>
    <row r="140" customFormat="false" ht="15.75" hidden="false" customHeight="false" outlineLevel="0" collapsed="false">
      <c r="B140" s="420"/>
      <c r="C140" s="420"/>
      <c r="D140" s="420"/>
      <c r="E140" s="420"/>
      <c r="F140" s="420"/>
      <c r="G140" s="420"/>
      <c r="H140" s="420"/>
    </row>
    <row r="141" customFormat="false" ht="15.75" hidden="false" customHeight="false" outlineLevel="0" collapsed="false">
      <c r="B141" s="420"/>
      <c r="C141" s="420"/>
      <c r="D141" s="420"/>
      <c r="E141" s="420"/>
      <c r="F141" s="420"/>
      <c r="G141" s="420"/>
      <c r="H141" s="420"/>
    </row>
    <row r="142" customFormat="false" ht="15.75" hidden="false" customHeight="false" outlineLevel="0" collapsed="false">
      <c r="B142" s="420"/>
      <c r="C142" s="420"/>
      <c r="D142" s="420"/>
      <c r="E142" s="420"/>
      <c r="F142" s="420"/>
      <c r="G142" s="420"/>
      <c r="H142" s="420"/>
    </row>
    <row r="143" customFormat="false" ht="15.75" hidden="false" customHeight="false" outlineLevel="0" collapsed="false">
      <c r="B143" s="420"/>
      <c r="C143" s="420"/>
      <c r="D143" s="420"/>
      <c r="E143" s="420"/>
      <c r="F143" s="420"/>
      <c r="G143" s="420"/>
      <c r="H143" s="420"/>
    </row>
    <row r="144" customFormat="false" ht="15.75" hidden="false" customHeight="false" outlineLevel="0" collapsed="false">
      <c r="B144" s="420"/>
      <c r="C144" s="420"/>
      <c r="D144" s="420"/>
      <c r="E144" s="420"/>
      <c r="F144" s="420"/>
      <c r="G144" s="420"/>
      <c r="H144" s="420"/>
    </row>
    <row r="145" customFormat="false" ht="15.75" hidden="false" customHeight="false" outlineLevel="0" collapsed="false">
      <c r="B145" s="420"/>
      <c r="C145" s="420"/>
      <c r="D145" s="420"/>
      <c r="E145" s="420"/>
      <c r="F145" s="420"/>
      <c r="G145" s="420"/>
      <c r="H145" s="420"/>
    </row>
    <row r="146" customFormat="false" ht="15.75" hidden="false" customHeight="false" outlineLevel="0" collapsed="false">
      <c r="B146" s="420"/>
      <c r="C146" s="420"/>
      <c r="D146" s="420"/>
      <c r="E146" s="420"/>
      <c r="F146" s="420"/>
      <c r="G146" s="420"/>
      <c r="H146" s="420"/>
    </row>
    <row r="147" customFormat="false" ht="15.75" hidden="false" customHeight="false" outlineLevel="0" collapsed="false">
      <c r="B147" s="420"/>
      <c r="C147" s="420"/>
      <c r="D147" s="420"/>
      <c r="E147" s="420"/>
      <c r="F147" s="420"/>
      <c r="G147" s="420"/>
      <c r="H147" s="420"/>
    </row>
    <row r="148" customFormat="false" ht="15.75" hidden="false" customHeight="false" outlineLevel="0" collapsed="false">
      <c r="B148" s="420"/>
      <c r="C148" s="420"/>
      <c r="D148" s="420"/>
      <c r="E148" s="420"/>
      <c r="F148" s="420"/>
      <c r="G148" s="420"/>
      <c r="H148" s="420"/>
    </row>
    <row r="149" customFormat="false" ht="15.75" hidden="false" customHeight="false" outlineLevel="0" collapsed="false">
      <c r="B149" s="420"/>
      <c r="C149" s="420"/>
      <c r="D149" s="420"/>
      <c r="E149" s="420"/>
      <c r="F149" s="420"/>
      <c r="G149" s="420"/>
      <c r="H149" s="420"/>
    </row>
    <row r="150" customFormat="false" ht="15.75" hidden="false" customHeight="false" outlineLevel="0" collapsed="false">
      <c r="B150" s="420"/>
      <c r="C150" s="420"/>
      <c r="D150" s="420"/>
      <c r="E150" s="420"/>
      <c r="F150" s="420"/>
      <c r="G150" s="420"/>
      <c r="H150" s="420"/>
    </row>
    <row r="151" customFormat="false" ht="15.75" hidden="false" customHeight="false" outlineLevel="0" collapsed="false">
      <c r="B151" s="420"/>
      <c r="C151" s="420"/>
      <c r="D151" s="420"/>
      <c r="E151" s="420"/>
      <c r="F151" s="420"/>
      <c r="G151" s="420"/>
      <c r="H151" s="420"/>
    </row>
    <row r="152" customFormat="false" ht="15.75" hidden="false" customHeight="false" outlineLevel="0" collapsed="false">
      <c r="B152" s="420"/>
      <c r="C152" s="420"/>
      <c r="D152" s="420"/>
      <c r="E152" s="420"/>
      <c r="F152" s="420"/>
      <c r="G152" s="420"/>
      <c r="H152" s="420"/>
    </row>
    <row r="153" customFormat="false" ht="15.75" hidden="false" customHeight="false" outlineLevel="0" collapsed="false">
      <c r="B153" s="420"/>
      <c r="C153" s="420"/>
      <c r="D153" s="420"/>
      <c r="E153" s="420"/>
      <c r="F153" s="420"/>
      <c r="G153" s="420"/>
      <c r="H153" s="420"/>
    </row>
    <row r="154" customFormat="false" ht="15.75" hidden="false" customHeight="false" outlineLevel="0" collapsed="false">
      <c r="B154" s="420"/>
      <c r="C154" s="420"/>
      <c r="D154" s="420"/>
      <c r="E154" s="420"/>
      <c r="F154" s="420"/>
      <c r="G154" s="420"/>
      <c r="H154" s="420"/>
    </row>
    <row r="155" customFormat="false" ht="15.75" hidden="false" customHeight="false" outlineLevel="0" collapsed="false">
      <c r="B155" s="420"/>
      <c r="C155" s="420"/>
      <c r="D155" s="420"/>
      <c r="E155" s="420"/>
      <c r="F155" s="420"/>
      <c r="G155" s="420"/>
      <c r="H155" s="420"/>
    </row>
    <row r="156" customFormat="false" ht="15.75" hidden="false" customHeight="false" outlineLevel="0" collapsed="false">
      <c r="B156" s="420"/>
      <c r="C156" s="420"/>
      <c r="D156" s="420"/>
      <c r="E156" s="420"/>
      <c r="F156" s="420"/>
      <c r="G156" s="420"/>
      <c r="H156" s="420"/>
    </row>
    <row r="157" customFormat="false" ht="15.75" hidden="false" customHeight="false" outlineLevel="0" collapsed="false">
      <c r="B157" s="420"/>
      <c r="C157" s="420"/>
      <c r="D157" s="420"/>
      <c r="E157" s="420"/>
      <c r="F157" s="420"/>
      <c r="G157" s="420"/>
      <c r="H157" s="420"/>
    </row>
    <row r="158" customFormat="false" ht="15.75" hidden="false" customHeight="false" outlineLevel="0" collapsed="false">
      <c r="B158" s="420"/>
      <c r="C158" s="420"/>
      <c r="D158" s="420"/>
      <c r="E158" s="420"/>
      <c r="F158" s="420"/>
      <c r="G158" s="420"/>
      <c r="H158" s="420"/>
    </row>
    <row r="159" customFormat="false" ht="15.75" hidden="false" customHeight="false" outlineLevel="0" collapsed="false">
      <c r="B159" s="420"/>
      <c r="C159" s="420"/>
      <c r="D159" s="420"/>
      <c r="E159" s="420"/>
      <c r="F159" s="420"/>
      <c r="G159" s="420"/>
      <c r="H159" s="420"/>
    </row>
    <row r="160" customFormat="false" ht="15.75" hidden="false" customHeight="false" outlineLevel="0" collapsed="false">
      <c r="B160" s="420"/>
      <c r="C160" s="420"/>
      <c r="D160" s="420"/>
      <c r="E160" s="420"/>
      <c r="F160" s="420"/>
      <c r="G160" s="420"/>
      <c r="H160" s="420"/>
    </row>
    <row r="161" customFormat="false" ht="15.75" hidden="false" customHeight="false" outlineLevel="0" collapsed="false">
      <c r="B161" s="420"/>
      <c r="C161" s="420"/>
      <c r="D161" s="420"/>
      <c r="E161" s="420"/>
      <c r="F161" s="420"/>
      <c r="G161" s="420"/>
      <c r="H161" s="420"/>
    </row>
    <row r="162" customFormat="false" ht="15.75" hidden="false" customHeight="false" outlineLevel="0" collapsed="false">
      <c r="B162" s="420"/>
      <c r="C162" s="420"/>
      <c r="D162" s="420"/>
      <c r="E162" s="420"/>
      <c r="F162" s="420"/>
      <c r="G162" s="420"/>
      <c r="H162" s="420"/>
    </row>
    <row r="163" customFormat="false" ht="15.75" hidden="false" customHeight="false" outlineLevel="0" collapsed="false">
      <c r="B163" s="420"/>
      <c r="C163" s="420"/>
      <c r="D163" s="420"/>
      <c r="E163" s="420"/>
      <c r="F163" s="420"/>
      <c r="G163" s="420"/>
      <c r="H163" s="420"/>
    </row>
    <row r="164" customFormat="false" ht="15.75" hidden="false" customHeight="false" outlineLevel="0" collapsed="false">
      <c r="B164" s="420"/>
      <c r="C164" s="420"/>
      <c r="D164" s="420"/>
      <c r="E164" s="420"/>
      <c r="F164" s="420"/>
      <c r="G164" s="420"/>
      <c r="H164" s="420"/>
    </row>
    <row r="165" customFormat="false" ht="15.75" hidden="false" customHeight="false" outlineLevel="0" collapsed="false">
      <c r="B165" s="420"/>
      <c r="C165" s="420"/>
      <c r="D165" s="420"/>
      <c r="E165" s="420"/>
      <c r="F165" s="420"/>
      <c r="G165" s="420"/>
      <c r="H165" s="420"/>
    </row>
    <row r="166" customFormat="false" ht="15.75" hidden="false" customHeight="false" outlineLevel="0" collapsed="false">
      <c r="B166" s="420"/>
      <c r="C166" s="420"/>
      <c r="D166" s="420"/>
      <c r="E166" s="420"/>
      <c r="F166" s="420"/>
      <c r="G166" s="420"/>
      <c r="H166" s="420"/>
    </row>
    <row r="167" customFormat="false" ht="15.75" hidden="false" customHeight="false" outlineLevel="0" collapsed="false">
      <c r="B167" s="420"/>
      <c r="C167" s="420"/>
      <c r="D167" s="420"/>
      <c r="E167" s="420"/>
      <c r="F167" s="420"/>
      <c r="G167" s="420"/>
      <c r="H167" s="420"/>
    </row>
    <row r="168" customFormat="false" ht="15.75" hidden="false" customHeight="false" outlineLevel="0" collapsed="false">
      <c r="B168" s="420"/>
      <c r="C168" s="420"/>
      <c r="D168" s="420"/>
      <c r="E168" s="420"/>
      <c r="F168" s="420"/>
      <c r="G168" s="420"/>
      <c r="H168" s="420"/>
    </row>
    <row r="169" customFormat="false" ht="15.75" hidden="false" customHeight="false" outlineLevel="0" collapsed="false">
      <c r="B169" s="420"/>
      <c r="C169" s="420"/>
      <c r="D169" s="420"/>
      <c r="E169" s="420"/>
      <c r="F169" s="420"/>
      <c r="G169" s="420"/>
      <c r="H169" s="420"/>
    </row>
    <row r="170" customFormat="false" ht="15.75" hidden="false" customHeight="false" outlineLevel="0" collapsed="false">
      <c r="B170" s="420"/>
      <c r="C170" s="420"/>
      <c r="D170" s="420"/>
      <c r="E170" s="420"/>
      <c r="F170" s="420"/>
      <c r="G170" s="420"/>
      <c r="H170" s="420"/>
    </row>
    <row r="171" customFormat="false" ht="15.75" hidden="false" customHeight="false" outlineLevel="0" collapsed="false">
      <c r="B171" s="420"/>
      <c r="C171" s="420"/>
      <c r="D171" s="420"/>
      <c r="E171" s="420"/>
      <c r="F171" s="420"/>
      <c r="G171" s="420"/>
      <c r="H171" s="420"/>
    </row>
    <row r="172" customFormat="false" ht="15.75" hidden="false" customHeight="false" outlineLevel="0" collapsed="false">
      <c r="B172" s="420"/>
      <c r="C172" s="420"/>
      <c r="D172" s="420"/>
      <c r="E172" s="420"/>
      <c r="F172" s="420"/>
      <c r="G172" s="420"/>
      <c r="H172" s="420"/>
    </row>
    <row r="173" customFormat="false" ht="15.75" hidden="false" customHeight="false" outlineLevel="0" collapsed="false">
      <c r="B173" s="420"/>
      <c r="C173" s="420"/>
      <c r="D173" s="420"/>
      <c r="E173" s="420"/>
      <c r="F173" s="420"/>
      <c r="G173" s="420"/>
      <c r="H173" s="420"/>
    </row>
    <row r="174" customFormat="false" ht="15.75" hidden="false" customHeight="false" outlineLevel="0" collapsed="false">
      <c r="B174" s="420"/>
      <c r="C174" s="420"/>
      <c r="D174" s="420"/>
      <c r="E174" s="420"/>
      <c r="F174" s="420"/>
      <c r="G174" s="420"/>
      <c r="H174" s="420"/>
    </row>
    <row r="175" customFormat="false" ht="15.75" hidden="false" customHeight="false" outlineLevel="0" collapsed="false">
      <c r="B175" s="420"/>
      <c r="C175" s="420"/>
      <c r="D175" s="420"/>
      <c r="E175" s="420"/>
      <c r="F175" s="420"/>
      <c r="G175" s="420"/>
      <c r="H175" s="420"/>
    </row>
    <row r="176" customFormat="false" ht="15.75" hidden="false" customHeight="false" outlineLevel="0" collapsed="false">
      <c r="B176" s="420"/>
      <c r="C176" s="420"/>
      <c r="D176" s="420"/>
      <c r="E176" s="420"/>
      <c r="F176" s="420"/>
      <c r="G176" s="420"/>
      <c r="H176" s="420"/>
    </row>
    <row r="177" customFormat="false" ht="15.75" hidden="false" customHeight="false" outlineLevel="0" collapsed="false">
      <c r="B177" s="420"/>
      <c r="C177" s="420"/>
      <c r="D177" s="420"/>
      <c r="E177" s="420"/>
      <c r="F177" s="420"/>
      <c r="G177" s="420"/>
      <c r="H177" s="420"/>
    </row>
    <row r="178" customFormat="false" ht="15.75" hidden="false" customHeight="false" outlineLevel="0" collapsed="false">
      <c r="B178" s="420"/>
      <c r="C178" s="420"/>
      <c r="D178" s="420"/>
      <c r="E178" s="420"/>
      <c r="F178" s="420"/>
      <c r="G178" s="420"/>
      <c r="H178" s="420"/>
    </row>
    <row r="179" customFormat="false" ht="15.75" hidden="false" customHeight="false" outlineLevel="0" collapsed="false">
      <c r="B179" s="420"/>
      <c r="C179" s="420"/>
      <c r="D179" s="420"/>
      <c r="E179" s="420"/>
      <c r="F179" s="420"/>
      <c r="G179" s="420"/>
      <c r="H179" s="420"/>
    </row>
    <row r="180" customFormat="false" ht="15.75" hidden="false" customHeight="false" outlineLevel="0" collapsed="false">
      <c r="B180" s="420"/>
      <c r="C180" s="420"/>
      <c r="D180" s="420"/>
      <c r="E180" s="420"/>
      <c r="F180" s="420"/>
      <c r="G180" s="420"/>
      <c r="H180" s="420"/>
    </row>
    <row r="181" customFormat="false" ht="15.75" hidden="false" customHeight="false" outlineLevel="0" collapsed="false">
      <c r="B181" s="420"/>
      <c r="C181" s="420"/>
      <c r="D181" s="420"/>
      <c r="E181" s="420"/>
      <c r="F181" s="420"/>
      <c r="G181" s="420"/>
      <c r="H181" s="420"/>
    </row>
    <row r="182" customFormat="false" ht="15.75" hidden="false" customHeight="false" outlineLevel="0" collapsed="false">
      <c r="B182" s="420"/>
      <c r="C182" s="420"/>
      <c r="D182" s="420"/>
      <c r="E182" s="420"/>
      <c r="F182" s="420"/>
      <c r="G182" s="420"/>
      <c r="H182" s="420"/>
    </row>
    <row r="183" customFormat="false" ht="15.75" hidden="false" customHeight="false" outlineLevel="0" collapsed="false">
      <c r="B183" s="420"/>
      <c r="C183" s="420"/>
      <c r="D183" s="420"/>
      <c r="E183" s="420"/>
      <c r="F183" s="420"/>
      <c r="G183" s="420"/>
      <c r="H183" s="420"/>
    </row>
    <row r="184" customFormat="false" ht="15.75" hidden="false" customHeight="false" outlineLevel="0" collapsed="false">
      <c r="B184" s="420"/>
      <c r="C184" s="420"/>
      <c r="D184" s="420"/>
      <c r="E184" s="420"/>
      <c r="F184" s="420"/>
      <c r="G184" s="420"/>
      <c r="H184" s="420"/>
    </row>
    <row r="185" customFormat="false" ht="15.75" hidden="false" customHeight="false" outlineLevel="0" collapsed="false">
      <c r="B185" s="420"/>
      <c r="C185" s="420"/>
      <c r="D185" s="420"/>
      <c r="E185" s="420"/>
      <c r="F185" s="420"/>
      <c r="G185" s="420"/>
      <c r="H185" s="420"/>
    </row>
    <row r="186" customFormat="false" ht="15.75" hidden="false" customHeight="false" outlineLevel="0" collapsed="false">
      <c r="B186" s="420"/>
      <c r="C186" s="420"/>
      <c r="D186" s="420"/>
      <c r="E186" s="420"/>
      <c r="F186" s="420"/>
      <c r="G186" s="420"/>
      <c r="H186" s="420"/>
    </row>
    <row r="187" customFormat="false" ht="15.75" hidden="false" customHeight="false" outlineLevel="0" collapsed="false">
      <c r="B187" s="420"/>
      <c r="C187" s="420"/>
      <c r="D187" s="420"/>
      <c r="E187" s="420"/>
      <c r="F187" s="420"/>
      <c r="G187" s="420"/>
      <c r="H187" s="420"/>
    </row>
    <row r="188" customFormat="false" ht="15.75" hidden="false" customHeight="false" outlineLevel="0" collapsed="false">
      <c r="B188" s="420"/>
      <c r="C188" s="420"/>
      <c r="D188" s="420"/>
      <c r="E188" s="420"/>
      <c r="F188" s="420"/>
      <c r="G188" s="420"/>
      <c r="H188" s="420"/>
    </row>
    <row r="189" customFormat="false" ht="15.75" hidden="false" customHeight="false" outlineLevel="0" collapsed="false">
      <c r="B189" s="420"/>
      <c r="C189" s="420"/>
      <c r="D189" s="420"/>
      <c r="E189" s="420"/>
      <c r="F189" s="420"/>
      <c r="G189" s="420"/>
      <c r="H189" s="420"/>
    </row>
    <row r="190" customFormat="false" ht="15.75" hidden="false" customHeight="false" outlineLevel="0" collapsed="false">
      <c r="B190" s="420"/>
      <c r="C190" s="420"/>
      <c r="D190" s="420"/>
      <c r="E190" s="420"/>
      <c r="F190" s="420"/>
      <c r="G190" s="420"/>
      <c r="H190" s="420"/>
    </row>
    <row r="191" customFormat="false" ht="15.75" hidden="false" customHeight="false" outlineLevel="0" collapsed="false">
      <c r="B191" s="420"/>
      <c r="C191" s="420"/>
      <c r="D191" s="420"/>
      <c r="E191" s="420"/>
      <c r="F191" s="420"/>
      <c r="G191" s="420"/>
      <c r="H191" s="420"/>
    </row>
    <row r="192" customFormat="false" ht="15.75" hidden="false" customHeight="false" outlineLevel="0" collapsed="false">
      <c r="B192" s="420"/>
      <c r="C192" s="420"/>
      <c r="D192" s="420"/>
      <c r="E192" s="420"/>
      <c r="F192" s="420"/>
      <c r="G192" s="420"/>
      <c r="H192" s="420"/>
    </row>
    <row r="193" customFormat="false" ht="15.75" hidden="false" customHeight="false" outlineLevel="0" collapsed="false">
      <c r="B193" s="420"/>
      <c r="C193" s="420"/>
      <c r="D193" s="420"/>
      <c r="E193" s="420"/>
      <c r="F193" s="420"/>
      <c r="G193" s="420"/>
      <c r="H193" s="420"/>
    </row>
    <row r="194" customFormat="false" ht="15.75" hidden="false" customHeight="false" outlineLevel="0" collapsed="false">
      <c r="B194" s="420"/>
      <c r="C194" s="420"/>
      <c r="D194" s="420"/>
      <c r="E194" s="420"/>
      <c r="F194" s="420"/>
      <c r="G194" s="420"/>
      <c r="H194" s="420"/>
    </row>
    <row r="195" customFormat="false" ht="15.75" hidden="false" customHeight="false" outlineLevel="0" collapsed="false">
      <c r="B195" s="420"/>
      <c r="C195" s="420"/>
      <c r="D195" s="420"/>
      <c r="E195" s="420"/>
      <c r="F195" s="420"/>
      <c r="G195" s="420"/>
      <c r="H195" s="420"/>
    </row>
    <row r="196" customFormat="false" ht="15.75" hidden="false" customHeight="false" outlineLevel="0" collapsed="false">
      <c r="B196" s="420"/>
      <c r="C196" s="420"/>
      <c r="D196" s="420"/>
      <c r="E196" s="420"/>
      <c r="F196" s="420"/>
      <c r="G196" s="420"/>
      <c r="H196" s="420"/>
    </row>
    <row r="197" customFormat="false" ht="15.75" hidden="false" customHeight="false" outlineLevel="0" collapsed="false">
      <c r="B197" s="420"/>
      <c r="C197" s="420"/>
      <c r="D197" s="420"/>
      <c r="E197" s="420"/>
      <c r="F197" s="420"/>
      <c r="G197" s="420"/>
      <c r="H197" s="420"/>
    </row>
    <row r="198" customFormat="false" ht="15.75" hidden="false" customHeight="false" outlineLevel="0" collapsed="false">
      <c r="B198" s="420"/>
      <c r="C198" s="420"/>
      <c r="D198" s="420"/>
      <c r="E198" s="420"/>
      <c r="F198" s="420"/>
      <c r="G198" s="420"/>
      <c r="H198" s="420"/>
    </row>
    <row r="199" customFormat="false" ht="15.75" hidden="false" customHeight="false" outlineLevel="0" collapsed="false">
      <c r="B199" s="420"/>
      <c r="C199" s="420"/>
      <c r="D199" s="420"/>
      <c r="E199" s="420"/>
      <c r="F199" s="420"/>
      <c r="G199" s="420"/>
      <c r="H199" s="420"/>
    </row>
    <row r="200" customFormat="false" ht="15.75" hidden="false" customHeight="false" outlineLevel="0" collapsed="false">
      <c r="B200" s="420"/>
      <c r="C200" s="420"/>
      <c r="D200" s="420"/>
      <c r="E200" s="420"/>
      <c r="F200" s="420"/>
      <c r="G200" s="420"/>
      <c r="H200" s="420"/>
    </row>
    <row r="201" customFormat="false" ht="15.75" hidden="false" customHeight="false" outlineLevel="0" collapsed="false">
      <c r="B201" s="420"/>
      <c r="C201" s="420"/>
      <c r="D201" s="420"/>
      <c r="E201" s="420"/>
      <c r="F201" s="420"/>
      <c r="G201" s="420"/>
      <c r="H201" s="420"/>
    </row>
    <row r="202" customFormat="false" ht="15.75" hidden="false" customHeight="false" outlineLevel="0" collapsed="false">
      <c r="B202" s="420"/>
      <c r="C202" s="420"/>
      <c r="D202" s="420"/>
      <c r="E202" s="420"/>
      <c r="F202" s="420"/>
      <c r="G202" s="420"/>
      <c r="H202" s="420"/>
    </row>
    <row r="203" customFormat="false" ht="15.75" hidden="false" customHeight="false" outlineLevel="0" collapsed="false">
      <c r="B203" s="420"/>
      <c r="C203" s="420"/>
      <c r="D203" s="420"/>
      <c r="E203" s="420"/>
      <c r="F203" s="420"/>
      <c r="G203" s="420"/>
      <c r="H203" s="420"/>
    </row>
    <row r="204" customFormat="false" ht="15.75" hidden="false" customHeight="false" outlineLevel="0" collapsed="false">
      <c r="B204" s="420"/>
      <c r="C204" s="420"/>
      <c r="D204" s="420"/>
      <c r="E204" s="420"/>
      <c r="F204" s="420"/>
      <c r="G204" s="420"/>
      <c r="H204" s="420"/>
    </row>
    <row r="205" customFormat="false" ht="15.75" hidden="false" customHeight="false" outlineLevel="0" collapsed="false">
      <c r="B205" s="420"/>
      <c r="C205" s="420"/>
      <c r="D205" s="420"/>
      <c r="E205" s="420"/>
      <c r="F205" s="420"/>
      <c r="G205" s="420"/>
      <c r="H205" s="420"/>
    </row>
    <row r="206" customFormat="false" ht="15.75" hidden="false" customHeight="false" outlineLevel="0" collapsed="false">
      <c r="B206" s="420"/>
      <c r="C206" s="420"/>
      <c r="D206" s="420"/>
      <c r="E206" s="420"/>
      <c r="F206" s="420"/>
      <c r="G206" s="420"/>
      <c r="H206" s="420"/>
    </row>
    <row r="207" customFormat="false" ht="15.75" hidden="false" customHeight="false" outlineLevel="0" collapsed="false">
      <c r="B207" s="420"/>
      <c r="C207" s="420"/>
      <c r="D207" s="420"/>
      <c r="E207" s="420"/>
      <c r="F207" s="420"/>
      <c r="G207" s="420"/>
      <c r="H207" s="420"/>
    </row>
    <row r="208" customFormat="false" ht="15.75" hidden="false" customHeight="false" outlineLevel="0" collapsed="false">
      <c r="B208" s="420"/>
      <c r="C208" s="420"/>
      <c r="D208" s="420"/>
      <c r="E208" s="420"/>
      <c r="F208" s="420"/>
      <c r="G208" s="420"/>
      <c r="H208" s="420"/>
    </row>
    <row r="209" customFormat="false" ht="15.75" hidden="false" customHeight="false" outlineLevel="0" collapsed="false">
      <c r="B209" s="420"/>
      <c r="C209" s="420"/>
      <c r="D209" s="420"/>
      <c r="E209" s="420"/>
      <c r="F209" s="420"/>
      <c r="G209" s="420"/>
      <c r="H209" s="420"/>
    </row>
    <row r="210" customFormat="false" ht="15.75" hidden="false" customHeight="false" outlineLevel="0" collapsed="false">
      <c r="B210" s="420"/>
      <c r="C210" s="420"/>
      <c r="D210" s="420"/>
      <c r="E210" s="420"/>
      <c r="F210" s="420"/>
      <c r="G210" s="420"/>
      <c r="H210" s="420"/>
    </row>
    <row r="211" customFormat="false" ht="15.75" hidden="false" customHeight="false" outlineLevel="0" collapsed="false">
      <c r="B211" s="420"/>
      <c r="C211" s="420"/>
      <c r="D211" s="420"/>
      <c r="E211" s="420"/>
      <c r="F211" s="420"/>
      <c r="G211" s="420"/>
      <c r="H211" s="420"/>
    </row>
    <row r="212" customFormat="false" ht="15.75" hidden="false" customHeight="false" outlineLevel="0" collapsed="false">
      <c r="B212" s="420"/>
      <c r="C212" s="420"/>
      <c r="D212" s="420"/>
      <c r="E212" s="420"/>
      <c r="F212" s="420"/>
      <c r="G212" s="420"/>
      <c r="H212" s="420"/>
    </row>
    <row r="213" customFormat="false" ht="15.75" hidden="false" customHeight="false" outlineLevel="0" collapsed="false">
      <c r="B213" s="420"/>
      <c r="C213" s="420"/>
      <c r="D213" s="420"/>
      <c r="E213" s="420"/>
      <c r="F213" s="420"/>
      <c r="G213" s="420"/>
      <c r="H213" s="420"/>
    </row>
    <row r="214" customFormat="false" ht="15.75" hidden="false" customHeight="false" outlineLevel="0" collapsed="false">
      <c r="B214" s="420"/>
      <c r="C214" s="420"/>
      <c r="D214" s="420"/>
      <c r="E214" s="420"/>
      <c r="F214" s="420"/>
      <c r="G214" s="420"/>
      <c r="H214" s="420"/>
    </row>
    <row r="215" customFormat="false" ht="15.75" hidden="false" customHeight="false" outlineLevel="0" collapsed="false">
      <c r="B215" s="420"/>
      <c r="C215" s="420"/>
      <c r="D215" s="420"/>
      <c r="E215" s="420"/>
      <c r="F215" s="420"/>
      <c r="G215" s="420"/>
      <c r="H215" s="420"/>
    </row>
    <row r="216" customFormat="false" ht="15.75" hidden="false" customHeight="false" outlineLevel="0" collapsed="false">
      <c r="B216" s="420"/>
      <c r="C216" s="420"/>
      <c r="D216" s="420"/>
      <c r="E216" s="420"/>
      <c r="F216" s="420"/>
      <c r="G216" s="420"/>
      <c r="H216" s="420"/>
    </row>
    <row r="217" customFormat="false" ht="15.75" hidden="false" customHeight="false" outlineLevel="0" collapsed="false">
      <c r="B217" s="420"/>
      <c r="C217" s="420"/>
      <c r="D217" s="420"/>
      <c r="E217" s="420"/>
      <c r="F217" s="420"/>
      <c r="G217" s="420"/>
      <c r="H217" s="420"/>
    </row>
    <row r="218" customFormat="false" ht="15.75" hidden="false" customHeight="false" outlineLevel="0" collapsed="false">
      <c r="B218" s="420"/>
      <c r="C218" s="420"/>
      <c r="D218" s="420"/>
      <c r="E218" s="420"/>
      <c r="F218" s="420"/>
      <c r="G218" s="420"/>
      <c r="H218" s="420"/>
    </row>
    <row r="219" customFormat="false" ht="15.75" hidden="false" customHeight="false" outlineLevel="0" collapsed="false">
      <c r="B219" s="420"/>
      <c r="C219" s="420"/>
      <c r="D219" s="420"/>
      <c r="E219" s="420"/>
      <c r="F219" s="420"/>
      <c r="G219" s="420"/>
      <c r="H219" s="420"/>
    </row>
    <row r="220" customFormat="false" ht="15.75" hidden="false" customHeight="false" outlineLevel="0" collapsed="false">
      <c r="B220" s="420"/>
      <c r="C220" s="420"/>
      <c r="D220" s="420"/>
      <c r="E220" s="420"/>
      <c r="F220" s="420"/>
      <c r="G220" s="420"/>
      <c r="H220" s="420"/>
    </row>
    <row r="221" customFormat="false" ht="15.75" hidden="false" customHeight="false" outlineLevel="0" collapsed="false">
      <c r="B221" s="420"/>
      <c r="C221" s="420"/>
      <c r="D221" s="420"/>
      <c r="E221" s="420"/>
      <c r="F221" s="420"/>
      <c r="G221" s="420"/>
      <c r="H221" s="420"/>
    </row>
    <row r="222" customFormat="false" ht="15.75" hidden="false" customHeight="false" outlineLevel="0" collapsed="false">
      <c r="B222" s="420"/>
      <c r="C222" s="420"/>
      <c r="D222" s="420"/>
      <c r="E222" s="420"/>
      <c r="F222" s="420"/>
      <c r="G222" s="420"/>
      <c r="H222" s="420"/>
    </row>
    <row r="223" customFormat="false" ht="15.75" hidden="false" customHeight="false" outlineLevel="0" collapsed="false">
      <c r="B223" s="420"/>
      <c r="C223" s="420"/>
      <c r="D223" s="420"/>
      <c r="E223" s="420"/>
      <c r="F223" s="420"/>
      <c r="G223" s="420"/>
      <c r="H223" s="420"/>
    </row>
    <row r="224" customFormat="false" ht="15.75" hidden="false" customHeight="false" outlineLevel="0" collapsed="false">
      <c r="B224" s="420"/>
      <c r="C224" s="420"/>
      <c r="D224" s="420"/>
      <c r="E224" s="420"/>
      <c r="F224" s="420"/>
      <c r="G224" s="420"/>
      <c r="H224" s="420"/>
    </row>
    <row r="225" customFormat="false" ht="15.75" hidden="false" customHeight="false" outlineLevel="0" collapsed="false">
      <c r="B225" s="420"/>
      <c r="C225" s="420"/>
      <c r="D225" s="420"/>
      <c r="E225" s="420"/>
      <c r="F225" s="420"/>
      <c r="G225" s="420"/>
      <c r="H225" s="420"/>
    </row>
    <row r="226" customFormat="false" ht="15.75" hidden="false" customHeight="false" outlineLevel="0" collapsed="false">
      <c r="B226" s="420"/>
      <c r="C226" s="420"/>
      <c r="D226" s="420"/>
      <c r="E226" s="420"/>
      <c r="F226" s="420"/>
      <c r="G226" s="420"/>
      <c r="H226" s="420"/>
    </row>
    <row r="227" customFormat="false" ht="15.75" hidden="false" customHeight="false" outlineLevel="0" collapsed="false">
      <c r="B227" s="420"/>
      <c r="C227" s="420"/>
      <c r="D227" s="420"/>
      <c r="E227" s="420"/>
      <c r="F227" s="420"/>
      <c r="G227" s="420"/>
      <c r="H227" s="420"/>
    </row>
    <row r="228" customFormat="false" ht="15.75" hidden="false" customHeight="false" outlineLevel="0" collapsed="false">
      <c r="B228" s="420"/>
      <c r="C228" s="420"/>
      <c r="D228" s="420"/>
      <c r="E228" s="420"/>
      <c r="F228" s="420"/>
      <c r="G228" s="420"/>
      <c r="H228" s="420"/>
    </row>
    <row r="229" customFormat="false" ht="15.75" hidden="false" customHeight="false" outlineLevel="0" collapsed="false">
      <c r="B229" s="420"/>
      <c r="C229" s="420"/>
      <c r="D229" s="420"/>
      <c r="E229" s="420"/>
      <c r="F229" s="420"/>
      <c r="G229" s="420"/>
      <c r="H229" s="420"/>
    </row>
    <row r="230" customFormat="false" ht="15.75" hidden="false" customHeight="false" outlineLevel="0" collapsed="false">
      <c r="B230" s="420"/>
      <c r="C230" s="420"/>
      <c r="D230" s="420"/>
      <c r="E230" s="420"/>
      <c r="F230" s="420"/>
      <c r="G230" s="420"/>
      <c r="H230" s="420"/>
    </row>
    <row r="231" customFormat="false" ht="15.75" hidden="false" customHeight="false" outlineLevel="0" collapsed="false">
      <c r="B231" s="420"/>
      <c r="C231" s="420"/>
      <c r="D231" s="420"/>
      <c r="E231" s="420"/>
      <c r="F231" s="420"/>
      <c r="G231" s="420"/>
      <c r="H231" s="420"/>
    </row>
    <row r="232" customFormat="false" ht="15.75" hidden="false" customHeight="false" outlineLevel="0" collapsed="false">
      <c r="B232" s="420"/>
      <c r="C232" s="420"/>
      <c r="D232" s="420"/>
      <c r="E232" s="420"/>
      <c r="F232" s="420"/>
      <c r="G232" s="420"/>
      <c r="H232" s="420"/>
    </row>
    <row r="233" customFormat="false" ht="15.75" hidden="false" customHeight="false" outlineLevel="0" collapsed="false">
      <c r="B233" s="420"/>
      <c r="C233" s="420"/>
      <c r="D233" s="420"/>
      <c r="E233" s="420"/>
      <c r="F233" s="420"/>
      <c r="G233" s="420"/>
      <c r="H233" s="420"/>
    </row>
    <row r="234" customFormat="false" ht="15.75" hidden="false" customHeight="false" outlineLevel="0" collapsed="false">
      <c r="B234" s="420"/>
      <c r="C234" s="420"/>
      <c r="D234" s="420"/>
      <c r="E234" s="420"/>
      <c r="F234" s="420"/>
      <c r="G234" s="420"/>
      <c r="H234" s="420"/>
    </row>
    <row r="235" customFormat="false" ht="15.75" hidden="false" customHeight="false" outlineLevel="0" collapsed="false">
      <c r="B235" s="420"/>
      <c r="C235" s="420"/>
      <c r="D235" s="420"/>
      <c r="E235" s="420"/>
      <c r="F235" s="420"/>
      <c r="G235" s="420"/>
      <c r="H235" s="420"/>
    </row>
    <row r="236" customFormat="false" ht="15.75" hidden="false" customHeight="false" outlineLevel="0" collapsed="false">
      <c r="B236" s="420"/>
      <c r="C236" s="420"/>
      <c r="D236" s="420"/>
      <c r="E236" s="420"/>
      <c r="F236" s="420"/>
      <c r="G236" s="420"/>
      <c r="H236" s="420"/>
    </row>
    <row r="237" customFormat="false" ht="15.75" hidden="false" customHeight="false" outlineLevel="0" collapsed="false">
      <c r="B237" s="420"/>
      <c r="C237" s="420"/>
      <c r="D237" s="420"/>
      <c r="E237" s="420"/>
      <c r="F237" s="420"/>
      <c r="G237" s="420"/>
      <c r="H237" s="420"/>
    </row>
    <row r="238" customFormat="false" ht="15.75" hidden="false" customHeight="false" outlineLevel="0" collapsed="false">
      <c r="B238" s="420"/>
      <c r="C238" s="420"/>
      <c r="D238" s="420"/>
      <c r="E238" s="420"/>
      <c r="F238" s="420"/>
      <c r="G238" s="420"/>
      <c r="H238" s="420"/>
    </row>
    <row r="239" customFormat="false" ht="15.75" hidden="false" customHeight="false" outlineLevel="0" collapsed="false">
      <c r="B239" s="420"/>
      <c r="C239" s="420"/>
      <c r="D239" s="420"/>
      <c r="E239" s="420"/>
      <c r="F239" s="420"/>
      <c r="G239" s="420"/>
      <c r="H239" s="420"/>
    </row>
    <row r="240" customFormat="false" ht="15.75" hidden="false" customHeight="false" outlineLevel="0" collapsed="false">
      <c r="B240" s="420"/>
      <c r="C240" s="420"/>
      <c r="D240" s="420"/>
      <c r="E240" s="420"/>
      <c r="F240" s="420"/>
      <c r="G240" s="420"/>
      <c r="H240" s="420"/>
    </row>
    <row r="241" customFormat="false" ht="15.75" hidden="false" customHeight="false" outlineLevel="0" collapsed="false">
      <c r="B241" s="420"/>
      <c r="C241" s="420"/>
      <c r="D241" s="420"/>
      <c r="E241" s="420"/>
      <c r="F241" s="420"/>
      <c r="G241" s="420"/>
      <c r="H241" s="420"/>
    </row>
    <row r="242" customFormat="false" ht="15.75" hidden="false" customHeight="false" outlineLevel="0" collapsed="false">
      <c r="B242" s="420"/>
      <c r="C242" s="420"/>
      <c r="D242" s="420"/>
      <c r="E242" s="420"/>
      <c r="F242" s="420"/>
      <c r="G242" s="420"/>
      <c r="H242" s="420"/>
    </row>
    <row r="243" customFormat="false" ht="15.75" hidden="false" customHeight="false" outlineLevel="0" collapsed="false">
      <c r="B243" s="420"/>
      <c r="C243" s="420"/>
      <c r="D243" s="420"/>
      <c r="E243" s="420"/>
      <c r="F243" s="420"/>
      <c r="G243" s="420"/>
      <c r="H243" s="420"/>
    </row>
    <row r="244" customFormat="false" ht="15.75" hidden="false" customHeight="false" outlineLevel="0" collapsed="false">
      <c r="B244" s="420"/>
      <c r="C244" s="420"/>
      <c r="D244" s="420"/>
      <c r="E244" s="420"/>
      <c r="F244" s="420"/>
      <c r="G244" s="420"/>
      <c r="H244" s="420"/>
    </row>
    <row r="245" customFormat="false" ht="15.75" hidden="false" customHeight="false" outlineLevel="0" collapsed="false">
      <c r="B245" s="420"/>
      <c r="C245" s="420"/>
      <c r="D245" s="420"/>
      <c r="E245" s="420"/>
      <c r="F245" s="420"/>
      <c r="G245" s="420"/>
      <c r="H245" s="420"/>
    </row>
    <row r="246" customFormat="false" ht="15.75" hidden="false" customHeight="false" outlineLevel="0" collapsed="false">
      <c r="B246" s="420"/>
      <c r="C246" s="420"/>
      <c r="D246" s="420"/>
      <c r="E246" s="420"/>
      <c r="F246" s="420"/>
      <c r="G246" s="420"/>
      <c r="H246" s="420"/>
    </row>
    <row r="247" customFormat="false" ht="15.75" hidden="false" customHeight="false" outlineLevel="0" collapsed="false">
      <c r="B247" s="420"/>
      <c r="C247" s="420"/>
      <c r="D247" s="420"/>
      <c r="E247" s="420"/>
      <c r="F247" s="420"/>
      <c r="G247" s="420"/>
      <c r="H247" s="420"/>
    </row>
    <row r="248" customFormat="false" ht="15.75" hidden="false" customHeight="false" outlineLevel="0" collapsed="false">
      <c r="B248" s="420"/>
      <c r="C248" s="420"/>
      <c r="D248" s="420"/>
      <c r="E248" s="420"/>
      <c r="F248" s="420"/>
      <c r="G248" s="420"/>
      <c r="H248" s="420"/>
    </row>
    <row r="249" customFormat="false" ht="15.75" hidden="false" customHeight="false" outlineLevel="0" collapsed="false">
      <c r="B249" s="420"/>
      <c r="C249" s="420"/>
      <c r="D249" s="420"/>
      <c r="E249" s="420"/>
      <c r="F249" s="420"/>
      <c r="G249" s="420"/>
      <c r="H249" s="420"/>
    </row>
    <row r="250" customFormat="false" ht="15.75" hidden="false" customHeight="false" outlineLevel="0" collapsed="false">
      <c r="B250" s="420"/>
      <c r="C250" s="420"/>
      <c r="D250" s="420"/>
      <c r="E250" s="420"/>
      <c r="F250" s="420"/>
      <c r="G250" s="420"/>
      <c r="H250" s="420"/>
    </row>
    <row r="251" customFormat="false" ht="15.75" hidden="false" customHeight="false" outlineLevel="0" collapsed="false">
      <c r="B251" s="420"/>
      <c r="C251" s="420"/>
      <c r="D251" s="420"/>
      <c r="E251" s="420"/>
      <c r="F251" s="420"/>
      <c r="G251" s="420"/>
      <c r="H251" s="420"/>
    </row>
    <row r="252" customFormat="false" ht="15.75" hidden="false" customHeight="false" outlineLevel="0" collapsed="false">
      <c r="B252" s="420"/>
      <c r="C252" s="420"/>
      <c r="D252" s="420"/>
      <c r="E252" s="420"/>
      <c r="F252" s="420"/>
      <c r="G252" s="420"/>
      <c r="H252" s="420"/>
    </row>
    <row r="253" customFormat="false" ht="15.75" hidden="false" customHeight="false" outlineLevel="0" collapsed="false">
      <c r="B253" s="420"/>
      <c r="C253" s="420"/>
      <c r="D253" s="420"/>
      <c r="E253" s="420"/>
      <c r="F253" s="420"/>
      <c r="G253" s="420"/>
      <c r="H253" s="420"/>
    </row>
    <row r="254" customFormat="false" ht="15.75" hidden="false" customHeight="false" outlineLevel="0" collapsed="false">
      <c r="B254" s="420"/>
      <c r="C254" s="420"/>
      <c r="D254" s="420"/>
      <c r="E254" s="420"/>
      <c r="F254" s="420"/>
      <c r="G254" s="420"/>
      <c r="H254" s="420"/>
    </row>
    <row r="255" customFormat="false" ht="15.75" hidden="false" customHeight="false" outlineLevel="0" collapsed="false">
      <c r="B255" s="420"/>
      <c r="C255" s="420"/>
      <c r="D255" s="420"/>
      <c r="E255" s="420"/>
      <c r="F255" s="420"/>
      <c r="G255" s="420"/>
      <c r="H255" s="420"/>
    </row>
    <row r="256" customFormat="false" ht="15.75" hidden="false" customHeight="false" outlineLevel="0" collapsed="false">
      <c r="B256" s="420"/>
      <c r="C256" s="420"/>
      <c r="D256" s="420"/>
      <c r="E256" s="420"/>
      <c r="F256" s="420"/>
      <c r="G256" s="420"/>
      <c r="H256" s="420"/>
    </row>
    <row r="257" customFormat="false" ht="15.75" hidden="false" customHeight="false" outlineLevel="0" collapsed="false">
      <c r="B257" s="420"/>
      <c r="C257" s="420"/>
      <c r="D257" s="420"/>
      <c r="E257" s="420"/>
      <c r="F257" s="420"/>
      <c r="G257" s="420"/>
      <c r="H257" s="420"/>
    </row>
    <row r="258" customFormat="false" ht="15.75" hidden="false" customHeight="false" outlineLevel="0" collapsed="false">
      <c r="B258" s="420"/>
      <c r="C258" s="420"/>
      <c r="D258" s="420"/>
      <c r="E258" s="420"/>
      <c r="F258" s="420"/>
      <c r="G258" s="420"/>
      <c r="H258" s="420"/>
    </row>
    <row r="259" customFormat="false" ht="15.75" hidden="false" customHeight="false" outlineLevel="0" collapsed="false">
      <c r="B259" s="420"/>
      <c r="C259" s="420"/>
      <c r="D259" s="420"/>
      <c r="E259" s="420"/>
      <c r="F259" s="420"/>
      <c r="G259" s="420"/>
      <c r="H259" s="420"/>
    </row>
    <row r="260" customFormat="false" ht="15.75" hidden="false" customHeight="false" outlineLevel="0" collapsed="false">
      <c r="B260" s="420"/>
      <c r="C260" s="420"/>
      <c r="D260" s="420"/>
      <c r="E260" s="420"/>
      <c r="F260" s="420"/>
      <c r="G260" s="420"/>
      <c r="H260" s="420"/>
    </row>
    <row r="261" customFormat="false" ht="15.75" hidden="false" customHeight="false" outlineLevel="0" collapsed="false">
      <c r="B261" s="420"/>
      <c r="C261" s="420"/>
      <c r="D261" s="420"/>
      <c r="E261" s="420"/>
      <c r="F261" s="420"/>
      <c r="G261" s="420"/>
      <c r="H261" s="420"/>
    </row>
    <row r="262" customFormat="false" ht="15.75" hidden="false" customHeight="false" outlineLevel="0" collapsed="false">
      <c r="B262" s="420"/>
      <c r="C262" s="420"/>
      <c r="D262" s="420"/>
      <c r="E262" s="420"/>
      <c r="F262" s="420"/>
      <c r="G262" s="420"/>
      <c r="H262" s="420"/>
    </row>
    <row r="263" customFormat="false" ht="15.75" hidden="false" customHeight="false" outlineLevel="0" collapsed="false">
      <c r="B263" s="420"/>
      <c r="C263" s="420"/>
      <c r="D263" s="420"/>
      <c r="E263" s="420"/>
      <c r="F263" s="420"/>
      <c r="G263" s="420"/>
      <c r="H263" s="420"/>
    </row>
    <row r="264" customFormat="false" ht="15.75" hidden="false" customHeight="false" outlineLevel="0" collapsed="false">
      <c r="B264" s="420"/>
      <c r="C264" s="420"/>
      <c r="D264" s="420"/>
      <c r="E264" s="420"/>
      <c r="F264" s="420"/>
      <c r="G264" s="420"/>
      <c r="H264" s="420"/>
    </row>
    <row r="265" customFormat="false" ht="15.75" hidden="false" customHeight="false" outlineLevel="0" collapsed="false">
      <c r="B265" s="420"/>
      <c r="C265" s="420"/>
      <c r="D265" s="420"/>
      <c r="E265" s="420"/>
      <c r="F265" s="420"/>
      <c r="G265" s="420"/>
      <c r="H265" s="420"/>
    </row>
    <row r="266" customFormat="false" ht="15.75" hidden="false" customHeight="false" outlineLevel="0" collapsed="false">
      <c r="B266" s="420"/>
      <c r="C266" s="420"/>
      <c r="D266" s="420"/>
      <c r="E266" s="420"/>
      <c r="F266" s="420"/>
      <c r="G266" s="420"/>
      <c r="H266" s="420"/>
    </row>
    <row r="267" customFormat="false" ht="15.75" hidden="false" customHeight="false" outlineLevel="0" collapsed="false">
      <c r="B267" s="420"/>
      <c r="C267" s="420"/>
      <c r="D267" s="420"/>
      <c r="E267" s="420"/>
      <c r="F267" s="420"/>
      <c r="G267" s="420"/>
      <c r="H267" s="420"/>
    </row>
    <row r="268" customFormat="false" ht="15.75" hidden="false" customHeight="false" outlineLevel="0" collapsed="false">
      <c r="B268" s="420"/>
      <c r="C268" s="420"/>
      <c r="D268" s="420"/>
      <c r="E268" s="420"/>
      <c r="F268" s="420"/>
      <c r="G268" s="420"/>
      <c r="H268" s="420"/>
    </row>
    <row r="269" customFormat="false" ht="15.75" hidden="false" customHeight="false" outlineLevel="0" collapsed="false">
      <c r="B269" s="420"/>
      <c r="C269" s="420"/>
      <c r="D269" s="420"/>
      <c r="E269" s="420"/>
      <c r="F269" s="420"/>
      <c r="G269" s="420"/>
      <c r="H269" s="420"/>
    </row>
    <row r="270" customFormat="false" ht="15.75" hidden="false" customHeight="false" outlineLevel="0" collapsed="false">
      <c r="B270" s="420"/>
      <c r="C270" s="420"/>
      <c r="D270" s="420"/>
      <c r="E270" s="420"/>
      <c r="F270" s="420"/>
      <c r="G270" s="420"/>
      <c r="H270" s="420"/>
    </row>
    <row r="271" customFormat="false" ht="15.75" hidden="false" customHeight="false" outlineLevel="0" collapsed="false">
      <c r="B271" s="420"/>
      <c r="C271" s="420"/>
      <c r="D271" s="420"/>
      <c r="E271" s="420"/>
      <c r="F271" s="420"/>
      <c r="G271" s="420"/>
      <c r="H271" s="420"/>
    </row>
    <row r="272" customFormat="false" ht="15.75" hidden="false" customHeight="false" outlineLevel="0" collapsed="false">
      <c r="B272" s="420"/>
      <c r="C272" s="420"/>
      <c r="D272" s="420"/>
      <c r="E272" s="420"/>
      <c r="F272" s="420"/>
      <c r="G272" s="420"/>
      <c r="H272" s="420"/>
    </row>
    <row r="273" customFormat="false" ht="15.75" hidden="false" customHeight="false" outlineLevel="0" collapsed="false">
      <c r="B273" s="420"/>
      <c r="C273" s="420"/>
      <c r="D273" s="420"/>
      <c r="E273" s="420"/>
      <c r="F273" s="420"/>
      <c r="G273" s="420"/>
      <c r="H273" s="420"/>
    </row>
    <row r="274" customFormat="false" ht="15.75" hidden="false" customHeight="false" outlineLevel="0" collapsed="false">
      <c r="B274" s="420"/>
      <c r="C274" s="420"/>
      <c r="D274" s="420"/>
      <c r="E274" s="420"/>
      <c r="F274" s="420"/>
      <c r="G274" s="420"/>
      <c r="H274" s="420"/>
    </row>
    <row r="275" customFormat="false" ht="15.75" hidden="false" customHeight="false" outlineLevel="0" collapsed="false">
      <c r="B275" s="420"/>
      <c r="C275" s="420"/>
      <c r="D275" s="420"/>
      <c r="E275" s="420"/>
      <c r="F275" s="420"/>
      <c r="G275" s="420"/>
      <c r="H275" s="420"/>
    </row>
    <row r="276" customFormat="false" ht="15.75" hidden="false" customHeight="false" outlineLevel="0" collapsed="false">
      <c r="B276" s="420"/>
      <c r="C276" s="420"/>
      <c r="D276" s="420"/>
      <c r="E276" s="420"/>
      <c r="F276" s="420"/>
      <c r="G276" s="420"/>
      <c r="H276" s="420"/>
    </row>
    <row r="277" customFormat="false" ht="15.75" hidden="false" customHeight="false" outlineLevel="0" collapsed="false">
      <c r="B277" s="420"/>
      <c r="C277" s="420"/>
      <c r="D277" s="420"/>
      <c r="E277" s="420"/>
      <c r="F277" s="420"/>
      <c r="G277" s="420"/>
      <c r="H277" s="420"/>
    </row>
    <row r="278" customFormat="false" ht="15.75" hidden="false" customHeight="false" outlineLevel="0" collapsed="false">
      <c r="B278" s="420"/>
      <c r="C278" s="420"/>
      <c r="D278" s="420"/>
      <c r="E278" s="420"/>
      <c r="F278" s="420"/>
      <c r="G278" s="420"/>
      <c r="H278" s="420"/>
    </row>
    <row r="279" customFormat="false" ht="15.75" hidden="false" customHeight="false" outlineLevel="0" collapsed="false">
      <c r="B279" s="420"/>
      <c r="C279" s="420"/>
      <c r="D279" s="420"/>
      <c r="E279" s="420"/>
      <c r="F279" s="420"/>
      <c r="G279" s="420"/>
      <c r="H279" s="420"/>
    </row>
    <row r="280" customFormat="false" ht="15.75" hidden="false" customHeight="false" outlineLevel="0" collapsed="false">
      <c r="B280" s="420"/>
      <c r="C280" s="420"/>
      <c r="D280" s="420"/>
      <c r="E280" s="420"/>
      <c r="F280" s="420"/>
      <c r="G280" s="420"/>
      <c r="H280" s="420"/>
    </row>
    <row r="281" customFormat="false" ht="15.75" hidden="false" customHeight="false" outlineLevel="0" collapsed="false">
      <c r="B281" s="420"/>
      <c r="C281" s="420"/>
      <c r="D281" s="420"/>
      <c r="E281" s="420"/>
      <c r="F281" s="420"/>
      <c r="G281" s="420"/>
      <c r="H281" s="420"/>
    </row>
    <row r="282" customFormat="false" ht="15.75" hidden="false" customHeight="false" outlineLevel="0" collapsed="false">
      <c r="B282" s="420"/>
      <c r="C282" s="420"/>
      <c r="D282" s="420"/>
      <c r="E282" s="420"/>
      <c r="F282" s="420"/>
      <c r="G282" s="420"/>
      <c r="H282" s="420"/>
    </row>
    <row r="283" customFormat="false" ht="15.75" hidden="false" customHeight="false" outlineLevel="0" collapsed="false">
      <c r="B283" s="420"/>
      <c r="C283" s="420"/>
      <c r="D283" s="420"/>
      <c r="E283" s="420"/>
      <c r="F283" s="420"/>
      <c r="G283" s="420"/>
      <c r="H283" s="420"/>
    </row>
    <row r="284" customFormat="false" ht="15.75" hidden="false" customHeight="false" outlineLevel="0" collapsed="false">
      <c r="B284" s="420"/>
      <c r="C284" s="420"/>
      <c r="D284" s="420"/>
      <c r="E284" s="420"/>
      <c r="F284" s="420"/>
      <c r="G284" s="420"/>
      <c r="H284" s="420"/>
    </row>
    <row r="285" customFormat="false" ht="15.75" hidden="false" customHeight="false" outlineLevel="0" collapsed="false">
      <c r="B285" s="420"/>
      <c r="C285" s="420"/>
      <c r="D285" s="420"/>
      <c r="E285" s="420"/>
      <c r="F285" s="420"/>
      <c r="G285" s="420"/>
      <c r="H285" s="420"/>
    </row>
    <row r="286" customFormat="false" ht="15.75" hidden="false" customHeight="false" outlineLevel="0" collapsed="false">
      <c r="B286" s="420"/>
      <c r="C286" s="420"/>
      <c r="D286" s="420"/>
      <c r="E286" s="420"/>
      <c r="F286" s="420"/>
      <c r="G286" s="420"/>
      <c r="H286" s="420"/>
    </row>
    <row r="287" customFormat="false" ht="15.75" hidden="false" customHeight="false" outlineLevel="0" collapsed="false">
      <c r="B287" s="420"/>
      <c r="C287" s="420"/>
      <c r="D287" s="420"/>
      <c r="E287" s="420"/>
      <c r="F287" s="420"/>
      <c r="G287" s="420"/>
      <c r="H287" s="420"/>
    </row>
    <row r="288" customFormat="false" ht="15.75" hidden="false" customHeight="false" outlineLevel="0" collapsed="false">
      <c r="B288" s="420"/>
      <c r="C288" s="420"/>
      <c r="D288" s="420"/>
      <c r="E288" s="420"/>
      <c r="F288" s="420"/>
      <c r="G288" s="420"/>
      <c r="H288" s="420"/>
    </row>
    <row r="289" customFormat="false" ht="15.75" hidden="false" customHeight="false" outlineLevel="0" collapsed="false">
      <c r="B289" s="420"/>
      <c r="C289" s="420"/>
      <c r="D289" s="420"/>
      <c r="E289" s="420"/>
      <c r="F289" s="420"/>
      <c r="G289" s="420"/>
      <c r="H289" s="420"/>
    </row>
    <row r="290" customFormat="false" ht="15.75" hidden="false" customHeight="false" outlineLevel="0" collapsed="false">
      <c r="B290" s="420"/>
      <c r="C290" s="420"/>
      <c r="D290" s="420"/>
      <c r="E290" s="420"/>
      <c r="F290" s="420"/>
      <c r="G290" s="420"/>
      <c r="H290" s="420"/>
    </row>
    <row r="291" customFormat="false" ht="15.75" hidden="false" customHeight="false" outlineLevel="0" collapsed="false">
      <c r="B291" s="420"/>
      <c r="C291" s="420"/>
      <c r="D291" s="420"/>
      <c r="E291" s="420"/>
      <c r="F291" s="420"/>
      <c r="G291" s="420"/>
      <c r="H291" s="420"/>
    </row>
    <row r="292" customFormat="false" ht="15.75" hidden="false" customHeight="false" outlineLevel="0" collapsed="false">
      <c r="B292" s="420"/>
      <c r="C292" s="420"/>
      <c r="D292" s="420"/>
      <c r="E292" s="420"/>
      <c r="F292" s="420"/>
      <c r="G292" s="420"/>
      <c r="H292" s="420"/>
    </row>
    <row r="293" customFormat="false" ht="15.75" hidden="false" customHeight="false" outlineLevel="0" collapsed="false">
      <c r="B293" s="420"/>
      <c r="C293" s="420"/>
      <c r="D293" s="420"/>
      <c r="E293" s="420"/>
      <c r="F293" s="420"/>
      <c r="G293" s="420"/>
      <c r="H293" s="420"/>
    </row>
    <row r="294" customFormat="false" ht="15.75" hidden="false" customHeight="false" outlineLevel="0" collapsed="false">
      <c r="B294" s="420"/>
      <c r="C294" s="420"/>
      <c r="D294" s="420"/>
      <c r="E294" s="420"/>
      <c r="F294" s="420"/>
      <c r="G294" s="420"/>
      <c r="H294" s="420"/>
    </row>
    <row r="295" customFormat="false" ht="15.75" hidden="false" customHeight="false" outlineLevel="0" collapsed="false">
      <c r="B295" s="420"/>
      <c r="C295" s="420"/>
      <c r="D295" s="420"/>
      <c r="E295" s="420"/>
      <c r="F295" s="420"/>
      <c r="G295" s="420"/>
      <c r="H295" s="420"/>
    </row>
    <row r="296" customFormat="false" ht="15.75" hidden="false" customHeight="false" outlineLevel="0" collapsed="false">
      <c r="B296" s="420"/>
      <c r="C296" s="420"/>
      <c r="D296" s="420"/>
      <c r="E296" s="420"/>
      <c r="F296" s="420"/>
      <c r="G296" s="420"/>
      <c r="H296" s="420"/>
    </row>
    <row r="297" customFormat="false" ht="15.75" hidden="false" customHeight="false" outlineLevel="0" collapsed="false">
      <c r="B297" s="420"/>
      <c r="C297" s="420"/>
      <c r="D297" s="420"/>
      <c r="E297" s="420"/>
      <c r="F297" s="420"/>
      <c r="G297" s="420"/>
      <c r="H297" s="420"/>
    </row>
    <row r="298" customFormat="false" ht="15.75" hidden="false" customHeight="false" outlineLevel="0" collapsed="false">
      <c r="B298" s="420"/>
      <c r="C298" s="420"/>
      <c r="D298" s="420"/>
      <c r="E298" s="420"/>
      <c r="F298" s="420"/>
      <c r="G298" s="420"/>
      <c r="H298" s="420"/>
    </row>
    <row r="299" customFormat="false" ht="15.75" hidden="false" customHeight="false" outlineLevel="0" collapsed="false">
      <c r="B299" s="420"/>
      <c r="C299" s="420"/>
      <c r="D299" s="420"/>
      <c r="E299" s="420"/>
      <c r="F299" s="420"/>
      <c r="G299" s="420"/>
      <c r="H299" s="420"/>
    </row>
    <row r="300" customFormat="false" ht="15.75" hidden="false" customHeight="false" outlineLevel="0" collapsed="false">
      <c r="B300" s="420"/>
      <c r="C300" s="420"/>
      <c r="D300" s="420"/>
      <c r="E300" s="420"/>
      <c r="F300" s="420"/>
      <c r="G300" s="420"/>
      <c r="H300" s="420"/>
    </row>
    <row r="301" customFormat="false" ht="15.75" hidden="false" customHeight="false" outlineLevel="0" collapsed="false">
      <c r="B301" s="420"/>
      <c r="C301" s="420"/>
      <c r="D301" s="420"/>
      <c r="E301" s="420"/>
      <c r="F301" s="420"/>
      <c r="G301" s="420"/>
      <c r="H301" s="420"/>
    </row>
    <row r="302" customFormat="false" ht="15.75" hidden="false" customHeight="false" outlineLevel="0" collapsed="false">
      <c r="B302" s="420"/>
      <c r="C302" s="420"/>
      <c r="D302" s="420"/>
      <c r="E302" s="420"/>
      <c r="F302" s="420"/>
      <c r="G302" s="420"/>
      <c r="H302" s="420"/>
    </row>
    <row r="303" customFormat="false" ht="15.75" hidden="false" customHeight="false" outlineLevel="0" collapsed="false">
      <c r="B303" s="420"/>
      <c r="C303" s="420"/>
      <c r="D303" s="420"/>
      <c r="E303" s="420"/>
      <c r="F303" s="420"/>
      <c r="G303" s="420"/>
      <c r="H303" s="420"/>
    </row>
    <row r="304" customFormat="false" ht="15.75" hidden="false" customHeight="false" outlineLevel="0" collapsed="false">
      <c r="B304" s="420"/>
      <c r="C304" s="420"/>
      <c r="D304" s="420"/>
      <c r="E304" s="420"/>
      <c r="F304" s="420"/>
      <c r="G304" s="420"/>
      <c r="H304" s="420"/>
    </row>
    <row r="305" customFormat="false" ht="15.75" hidden="false" customHeight="false" outlineLevel="0" collapsed="false">
      <c r="B305" s="420"/>
      <c r="C305" s="420"/>
      <c r="D305" s="420"/>
      <c r="E305" s="420"/>
      <c r="F305" s="420"/>
      <c r="G305" s="420"/>
      <c r="H305" s="420"/>
    </row>
    <row r="306" customFormat="false" ht="15.75" hidden="false" customHeight="false" outlineLevel="0" collapsed="false">
      <c r="B306" s="420"/>
      <c r="C306" s="420"/>
      <c r="D306" s="420"/>
      <c r="E306" s="420"/>
      <c r="F306" s="420"/>
      <c r="G306" s="420"/>
      <c r="H306" s="420"/>
    </row>
    <row r="307" customFormat="false" ht="15.75" hidden="false" customHeight="false" outlineLevel="0" collapsed="false">
      <c r="B307" s="420"/>
      <c r="C307" s="420"/>
      <c r="D307" s="420"/>
      <c r="E307" s="420"/>
      <c r="F307" s="420"/>
      <c r="G307" s="420"/>
      <c r="H307" s="420"/>
    </row>
    <row r="308" customFormat="false" ht="15.75" hidden="false" customHeight="false" outlineLevel="0" collapsed="false">
      <c r="B308" s="420"/>
      <c r="C308" s="420"/>
      <c r="D308" s="420"/>
      <c r="E308" s="420"/>
      <c r="F308" s="420"/>
      <c r="G308" s="420"/>
      <c r="H308" s="420"/>
    </row>
    <row r="309" customFormat="false" ht="15.75" hidden="false" customHeight="false" outlineLevel="0" collapsed="false">
      <c r="B309" s="420"/>
      <c r="C309" s="420"/>
      <c r="D309" s="420"/>
      <c r="E309" s="420"/>
      <c r="F309" s="420"/>
      <c r="G309" s="420"/>
      <c r="H309" s="420"/>
    </row>
    <row r="310" customFormat="false" ht="15.75" hidden="false" customHeight="false" outlineLevel="0" collapsed="false">
      <c r="B310" s="420"/>
      <c r="C310" s="420"/>
      <c r="D310" s="420"/>
      <c r="E310" s="420"/>
      <c r="F310" s="420"/>
      <c r="G310" s="420"/>
      <c r="H310" s="420"/>
    </row>
    <row r="311" customFormat="false" ht="15.75" hidden="false" customHeight="false" outlineLevel="0" collapsed="false">
      <c r="B311" s="420"/>
      <c r="C311" s="420"/>
      <c r="D311" s="420"/>
      <c r="E311" s="420"/>
      <c r="F311" s="420"/>
      <c r="G311" s="420"/>
      <c r="H311" s="420"/>
    </row>
    <row r="312" customFormat="false" ht="15.75" hidden="false" customHeight="false" outlineLevel="0" collapsed="false">
      <c r="B312" s="420"/>
      <c r="C312" s="420"/>
      <c r="D312" s="420"/>
      <c r="E312" s="420"/>
      <c r="F312" s="420"/>
      <c r="G312" s="420"/>
      <c r="H312" s="420"/>
    </row>
    <row r="313" customFormat="false" ht="15.75" hidden="false" customHeight="false" outlineLevel="0" collapsed="false">
      <c r="B313" s="420"/>
      <c r="C313" s="420"/>
      <c r="D313" s="420"/>
      <c r="E313" s="420"/>
      <c r="F313" s="420"/>
      <c r="G313" s="420"/>
      <c r="H313" s="420"/>
    </row>
    <row r="314" customFormat="false" ht="15.75" hidden="false" customHeight="false" outlineLevel="0" collapsed="false">
      <c r="B314" s="420"/>
      <c r="C314" s="420"/>
      <c r="D314" s="420"/>
      <c r="E314" s="420"/>
      <c r="F314" s="420"/>
      <c r="G314" s="420"/>
      <c r="H314" s="420"/>
    </row>
    <row r="315" customFormat="false" ht="15.75" hidden="false" customHeight="false" outlineLevel="0" collapsed="false">
      <c r="B315" s="420"/>
      <c r="C315" s="420"/>
      <c r="D315" s="420"/>
      <c r="E315" s="420"/>
      <c r="F315" s="420"/>
      <c r="G315" s="420"/>
      <c r="H315" s="420"/>
    </row>
    <row r="316" customFormat="false" ht="15.75" hidden="false" customHeight="false" outlineLevel="0" collapsed="false">
      <c r="B316" s="420"/>
      <c r="C316" s="420"/>
      <c r="D316" s="420"/>
      <c r="E316" s="420"/>
      <c r="F316" s="420"/>
      <c r="G316" s="420"/>
      <c r="H316" s="420"/>
    </row>
    <row r="317" customFormat="false" ht="15.75" hidden="false" customHeight="false" outlineLevel="0" collapsed="false">
      <c r="B317" s="420"/>
      <c r="C317" s="420"/>
      <c r="D317" s="420"/>
      <c r="E317" s="420"/>
      <c r="F317" s="420"/>
      <c r="G317" s="420"/>
      <c r="H317" s="420"/>
    </row>
    <row r="318" customFormat="false" ht="15.75" hidden="false" customHeight="false" outlineLevel="0" collapsed="false">
      <c r="B318" s="420"/>
      <c r="C318" s="420"/>
      <c r="D318" s="420"/>
      <c r="E318" s="420"/>
      <c r="F318" s="420"/>
      <c r="G318" s="420"/>
      <c r="H318" s="420"/>
    </row>
    <row r="319" customFormat="false" ht="15.75" hidden="false" customHeight="false" outlineLevel="0" collapsed="false">
      <c r="B319" s="420"/>
      <c r="C319" s="420"/>
      <c r="D319" s="420"/>
      <c r="E319" s="420"/>
      <c r="F319" s="420"/>
      <c r="G319" s="420"/>
      <c r="H319" s="420"/>
    </row>
    <row r="320" customFormat="false" ht="15.75" hidden="false" customHeight="false" outlineLevel="0" collapsed="false">
      <c r="B320" s="420"/>
      <c r="C320" s="420"/>
      <c r="D320" s="420"/>
      <c r="E320" s="420"/>
      <c r="F320" s="420"/>
      <c r="G320" s="420"/>
      <c r="H320" s="420"/>
    </row>
    <row r="321" customFormat="false" ht="15.75" hidden="false" customHeight="false" outlineLevel="0" collapsed="false">
      <c r="B321" s="420"/>
      <c r="C321" s="420"/>
      <c r="D321" s="420"/>
      <c r="E321" s="420"/>
      <c r="F321" s="420"/>
      <c r="G321" s="420"/>
      <c r="H321" s="420"/>
    </row>
    <row r="322" customFormat="false" ht="15.75" hidden="false" customHeight="false" outlineLevel="0" collapsed="false">
      <c r="B322" s="420"/>
      <c r="C322" s="420"/>
      <c r="D322" s="420"/>
      <c r="E322" s="420"/>
      <c r="F322" s="420"/>
      <c r="G322" s="420"/>
      <c r="H322" s="420"/>
    </row>
    <row r="323" customFormat="false" ht="15.75" hidden="false" customHeight="false" outlineLevel="0" collapsed="false">
      <c r="B323" s="420"/>
      <c r="C323" s="420"/>
      <c r="D323" s="420"/>
      <c r="E323" s="420"/>
      <c r="F323" s="420"/>
      <c r="G323" s="420"/>
      <c r="H323" s="420"/>
    </row>
    <row r="324" customFormat="false" ht="15.75" hidden="false" customHeight="false" outlineLevel="0" collapsed="false">
      <c r="B324" s="420"/>
      <c r="C324" s="420"/>
      <c r="D324" s="420"/>
      <c r="E324" s="420"/>
      <c r="F324" s="420"/>
      <c r="G324" s="420"/>
      <c r="H324" s="420"/>
    </row>
    <row r="325" customFormat="false" ht="15.75" hidden="false" customHeight="false" outlineLevel="0" collapsed="false">
      <c r="B325" s="420"/>
      <c r="C325" s="420"/>
      <c r="D325" s="420"/>
      <c r="E325" s="420"/>
      <c r="F325" s="420"/>
      <c r="G325" s="420"/>
      <c r="H325" s="420"/>
    </row>
    <row r="326" customFormat="false" ht="15.75" hidden="false" customHeight="false" outlineLevel="0" collapsed="false">
      <c r="B326" s="420"/>
      <c r="C326" s="420"/>
      <c r="D326" s="420"/>
      <c r="E326" s="420"/>
      <c r="F326" s="420"/>
      <c r="G326" s="420"/>
      <c r="H326" s="420"/>
    </row>
    <row r="327" customFormat="false" ht="15.75" hidden="false" customHeight="false" outlineLevel="0" collapsed="false">
      <c r="B327" s="420"/>
      <c r="C327" s="420"/>
      <c r="D327" s="420"/>
      <c r="E327" s="420"/>
      <c r="F327" s="420"/>
      <c r="G327" s="420"/>
      <c r="H327" s="420"/>
    </row>
    <row r="328" customFormat="false" ht="15.75" hidden="false" customHeight="false" outlineLevel="0" collapsed="false">
      <c r="B328" s="420"/>
      <c r="C328" s="420"/>
      <c r="D328" s="420"/>
      <c r="E328" s="420"/>
      <c r="F328" s="420"/>
      <c r="G328" s="420"/>
      <c r="H328" s="420"/>
    </row>
    <row r="329" customFormat="false" ht="15.75" hidden="false" customHeight="false" outlineLevel="0" collapsed="false">
      <c r="B329" s="420"/>
      <c r="C329" s="420"/>
      <c r="D329" s="420"/>
      <c r="E329" s="420"/>
      <c r="F329" s="420"/>
      <c r="G329" s="420"/>
      <c r="H329" s="420"/>
    </row>
    <row r="330" customFormat="false" ht="15.75" hidden="false" customHeight="false" outlineLevel="0" collapsed="false">
      <c r="B330" s="420"/>
      <c r="C330" s="420"/>
      <c r="D330" s="420"/>
      <c r="E330" s="420"/>
      <c r="F330" s="420"/>
      <c r="G330" s="420"/>
      <c r="H330" s="420"/>
    </row>
    <row r="331" customFormat="false" ht="15.75" hidden="false" customHeight="false" outlineLevel="0" collapsed="false">
      <c r="B331" s="420"/>
      <c r="C331" s="420"/>
      <c r="D331" s="420"/>
      <c r="E331" s="420"/>
      <c r="F331" s="420"/>
      <c r="G331" s="420"/>
      <c r="H331" s="420"/>
    </row>
    <row r="332" customFormat="false" ht="15.75" hidden="false" customHeight="false" outlineLevel="0" collapsed="false">
      <c r="B332" s="420"/>
      <c r="C332" s="420"/>
      <c r="D332" s="420"/>
      <c r="E332" s="420"/>
      <c r="F332" s="420"/>
      <c r="G332" s="420"/>
      <c r="H332" s="420"/>
    </row>
    <row r="333" customFormat="false" ht="15.75" hidden="false" customHeight="false" outlineLevel="0" collapsed="false">
      <c r="B333" s="420"/>
      <c r="C333" s="420"/>
      <c r="D333" s="420"/>
      <c r="E333" s="420"/>
      <c r="F333" s="420"/>
      <c r="G333" s="420"/>
      <c r="H333" s="420"/>
    </row>
    <row r="334" customFormat="false" ht="15.75" hidden="false" customHeight="false" outlineLevel="0" collapsed="false">
      <c r="B334" s="420"/>
      <c r="C334" s="420"/>
      <c r="D334" s="420"/>
      <c r="E334" s="420"/>
      <c r="F334" s="420"/>
      <c r="G334" s="420"/>
      <c r="H334" s="420"/>
    </row>
    <row r="335" customFormat="false" ht="15.75" hidden="false" customHeight="false" outlineLevel="0" collapsed="false">
      <c r="B335" s="420"/>
      <c r="C335" s="420"/>
      <c r="D335" s="420"/>
      <c r="E335" s="420"/>
      <c r="F335" s="420"/>
      <c r="G335" s="420"/>
      <c r="H335" s="420"/>
    </row>
    <row r="336" customFormat="false" ht="15.75" hidden="false" customHeight="false" outlineLevel="0" collapsed="false">
      <c r="B336" s="420"/>
      <c r="C336" s="420"/>
      <c r="D336" s="420"/>
      <c r="E336" s="420"/>
      <c r="F336" s="420"/>
      <c r="G336" s="420"/>
      <c r="H336" s="420"/>
    </row>
    <row r="337" customFormat="false" ht="15.75" hidden="false" customHeight="false" outlineLevel="0" collapsed="false">
      <c r="B337" s="420"/>
      <c r="C337" s="420"/>
      <c r="D337" s="420"/>
      <c r="E337" s="420"/>
      <c r="F337" s="420"/>
      <c r="G337" s="420"/>
      <c r="H337" s="420"/>
    </row>
    <row r="338" customFormat="false" ht="15.75" hidden="false" customHeight="false" outlineLevel="0" collapsed="false">
      <c r="B338" s="420"/>
      <c r="C338" s="420"/>
      <c r="D338" s="420"/>
      <c r="E338" s="420"/>
      <c r="F338" s="420"/>
      <c r="G338" s="420"/>
      <c r="H338" s="420"/>
    </row>
    <row r="339" customFormat="false" ht="15.75" hidden="false" customHeight="false" outlineLevel="0" collapsed="false">
      <c r="B339" s="420"/>
      <c r="C339" s="420"/>
      <c r="D339" s="420"/>
      <c r="E339" s="420"/>
      <c r="F339" s="420"/>
      <c r="G339" s="420"/>
      <c r="H339" s="420"/>
    </row>
    <row r="340" customFormat="false" ht="15.75" hidden="false" customHeight="false" outlineLevel="0" collapsed="false">
      <c r="B340" s="420"/>
      <c r="C340" s="420"/>
      <c r="D340" s="420"/>
      <c r="E340" s="420"/>
      <c r="F340" s="420"/>
      <c r="G340" s="420"/>
      <c r="H340" s="420"/>
    </row>
    <row r="341" customFormat="false" ht="15.75" hidden="false" customHeight="false" outlineLevel="0" collapsed="false">
      <c r="B341" s="420"/>
      <c r="C341" s="420"/>
      <c r="D341" s="420"/>
      <c r="E341" s="420"/>
      <c r="F341" s="420"/>
      <c r="G341" s="420"/>
      <c r="H341" s="420"/>
    </row>
    <row r="342" customFormat="false" ht="15.75" hidden="false" customHeight="false" outlineLevel="0" collapsed="false">
      <c r="B342" s="420"/>
      <c r="C342" s="420"/>
      <c r="D342" s="420"/>
      <c r="E342" s="420"/>
      <c r="F342" s="420"/>
      <c r="G342" s="420"/>
      <c r="H342" s="420"/>
    </row>
    <row r="343" customFormat="false" ht="15.75" hidden="false" customHeight="false" outlineLevel="0" collapsed="false">
      <c r="B343" s="420"/>
      <c r="C343" s="420"/>
      <c r="D343" s="420"/>
      <c r="E343" s="420"/>
      <c r="F343" s="420"/>
      <c r="G343" s="420"/>
      <c r="H343" s="420"/>
    </row>
    <row r="344" customFormat="false" ht="15.75" hidden="false" customHeight="false" outlineLevel="0" collapsed="false">
      <c r="B344" s="420"/>
      <c r="C344" s="420"/>
      <c r="D344" s="420"/>
      <c r="E344" s="420"/>
      <c r="F344" s="420"/>
      <c r="G344" s="420"/>
      <c r="H344" s="420"/>
    </row>
    <row r="345" customFormat="false" ht="15.75" hidden="false" customHeight="false" outlineLevel="0" collapsed="false">
      <c r="B345" s="420"/>
      <c r="C345" s="420"/>
      <c r="D345" s="420"/>
      <c r="E345" s="420"/>
      <c r="F345" s="420"/>
      <c r="G345" s="420"/>
      <c r="H345" s="420"/>
    </row>
    <row r="346" customFormat="false" ht="15.75" hidden="false" customHeight="false" outlineLevel="0" collapsed="false">
      <c r="B346" s="420"/>
      <c r="C346" s="420"/>
      <c r="D346" s="420"/>
      <c r="E346" s="420"/>
      <c r="F346" s="420"/>
      <c r="G346" s="420"/>
      <c r="H346" s="420"/>
    </row>
    <row r="347" customFormat="false" ht="15.75" hidden="false" customHeight="false" outlineLevel="0" collapsed="false">
      <c r="B347" s="420"/>
      <c r="C347" s="420"/>
      <c r="D347" s="420"/>
      <c r="E347" s="420"/>
      <c r="F347" s="420"/>
      <c r="G347" s="420"/>
      <c r="H347" s="420"/>
    </row>
    <row r="348" customFormat="false" ht="15.75" hidden="false" customHeight="false" outlineLevel="0" collapsed="false">
      <c r="B348" s="420"/>
      <c r="C348" s="420"/>
      <c r="D348" s="420"/>
      <c r="E348" s="420"/>
      <c r="F348" s="420"/>
      <c r="G348" s="420"/>
      <c r="H348" s="420"/>
    </row>
    <row r="349" customFormat="false" ht="15.75" hidden="false" customHeight="false" outlineLevel="0" collapsed="false">
      <c r="B349" s="420"/>
      <c r="C349" s="420"/>
      <c r="D349" s="420"/>
      <c r="E349" s="420"/>
      <c r="F349" s="420"/>
      <c r="G349" s="420"/>
      <c r="H349" s="420"/>
    </row>
    <row r="350" customFormat="false" ht="15.75" hidden="false" customHeight="false" outlineLevel="0" collapsed="false">
      <c r="B350" s="420"/>
      <c r="C350" s="420"/>
      <c r="D350" s="420"/>
      <c r="E350" s="420"/>
      <c r="F350" s="420"/>
      <c r="G350" s="420"/>
      <c r="H350" s="420"/>
    </row>
    <row r="351" customFormat="false" ht="15.75" hidden="false" customHeight="false" outlineLevel="0" collapsed="false">
      <c r="B351" s="420"/>
      <c r="C351" s="420"/>
      <c r="D351" s="420"/>
      <c r="E351" s="420"/>
      <c r="F351" s="420"/>
      <c r="G351" s="420"/>
      <c r="H351" s="420"/>
    </row>
    <row r="352" customFormat="false" ht="15.75" hidden="false" customHeight="false" outlineLevel="0" collapsed="false">
      <c r="B352" s="420"/>
      <c r="C352" s="420"/>
      <c r="D352" s="420"/>
      <c r="E352" s="420"/>
      <c r="F352" s="420"/>
      <c r="G352" s="420"/>
      <c r="H352" s="420"/>
    </row>
    <row r="353" customFormat="false" ht="15.75" hidden="false" customHeight="false" outlineLevel="0" collapsed="false">
      <c r="B353" s="420"/>
      <c r="C353" s="420"/>
      <c r="D353" s="420"/>
      <c r="E353" s="420"/>
      <c r="F353" s="420"/>
      <c r="G353" s="420"/>
      <c r="H353" s="420"/>
    </row>
    <row r="354" customFormat="false" ht="15.75" hidden="false" customHeight="false" outlineLevel="0" collapsed="false">
      <c r="B354" s="420"/>
      <c r="C354" s="420"/>
      <c r="D354" s="420"/>
      <c r="E354" s="420"/>
      <c r="F354" s="420"/>
      <c r="G354" s="420"/>
      <c r="H354" s="420"/>
    </row>
    <row r="355" customFormat="false" ht="15.75" hidden="false" customHeight="false" outlineLevel="0" collapsed="false">
      <c r="B355" s="420"/>
      <c r="C355" s="420"/>
      <c r="D355" s="420"/>
      <c r="E355" s="420"/>
      <c r="F355" s="420"/>
      <c r="G355" s="420"/>
      <c r="H355" s="420"/>
    </row>
    <row r="356" customFormat="false" ht="15.75" hidden="false" customHeight="false" outlineLevel="0" collapsed="false">
      <c r="B356" s="420"/>
      <c r="C356" s="420"/>
      <c r="D356" s="420"/>
      <c r="E356" s="420"/>
      <c r="F356" s="420"/>
      <c r="G356" s="420"/>
      <c r="H356" s="420"/>
    </row>
    <row r="357" customFormat="false" ht="15.75" hidden="false" customHeight="false" outlineLevel="0" collapsed="false">
      <c r="B357" s="420"/>
      <c r="C357" s="420"/>
      <c r="D357" s="420"/>
      <c r="E357" s="420"/>
      <c r="F357" s="420"/>
      <c r="G357" s="420"/>
      <c r="H357" s="420"/>
    </row>
    <row r="358" customFormat="false" ht="15.75" hidden="false" customHeight="false" outlineLevel="0" collapsed="false">
      <c r="B358" s="420"/>
      <c r="C358" s="420"/>
      <c r="D358" s="420"/>
      <c r="E358" s="420"/>
      <c r="F358" s="420"/>
      <c r="G358" s="420"/>
      <c r="H358" s="420"/>
    </row>
    <row r="359" customFormat="false" ht="15.75" hidden="false" customHeight="false" outlineLevel="0" collapsed="false">
      <c r="B359" s="420"/>
      <c r="C359" s="420"/>
      <c r="D359" s="420"/>
      <c r="E359" s="420"/>
      <c r="F359" s="420"/>
      <c r="G359" s="420"/>
      <c r="H359" s="420"/>
    </row>
    <row r="360" customFormat="false" ht="15.75" hidden="false" customHeight="false" outlineLevel="0" collapsed="false">
      <c r="B360" s="420"/>
      <c r="C360" s="420"/>
      <c r="D360" s="420"/>
      <c r="E360" s="420"/>
      <c r="F360" s="420"/>
      <c r="G360" s="420"/>
      <c r="H360" s="420"/>
    </row>
    <row r="361" customFormat="false" ht="15.75" hidden="false" customHeight="false" outlineLevel="0" collapsed="false">
      <c r="B361" s="420"/>
      <c r="C361" s="420"/>
      <c r="D361" s="420"/>
      <c r="E361" s="420"/>
      <c r="F361" s="420"/>
      <c r="G361" s="420"/>
      <c r="H361" s="420"/>
    </row>
    <row r="362" customFormat="false" ht="15.75" hidden="false" customHeight="false" outlineLevel="0" collapsed="false">
      <c r="B362" s="420"/>
      <c r="C362" s="420"/>
      <c r="D362" s="420"/>
      <c r="E362" s="420"/>
      <c r="F362" s="420"/>
      <c r="G362" s="420"/>
      <c r="H362" s="420"/>
    </row>
    <row r="363" customFormat="false" ht="15.75" hidden="false" customHeight="false" outlineLevel="0" collapsed="false">
      <c r="B363" s="420"/>
      <c r="C363" s="420"/>
      <c r="D363" s="420"/>
      <c r="E363" s="420"/>
      <c r="F363" s="420"/>
      <c r="G363" s="420"/>
      <c r="H363" s="420"/>
    </row>
    <row r="364" customFormat="false" ht="15.75" hidden="false" customHeight="false" outlineLevel="0" collapsed="false">
      <c r="B364" s="420"/>
      <c r="C364" s="420"/>
      <c r="D364" s="420"/>
      <c r="E364" s="420"/>
      <c r="F364" s="420"/>
      <c r="G364" s="420"/>
      <c r="H364" s="420"/>
    </row>
    <row r="365" customFormat="false" ht="15.75" hidden="false" customHeight="false" outlineLevel="0" collapsed="false">
      <c r="B365" s="420"/>
      <c r="C365" s="420"/>
      <c r="D365" s="420"/>
      <c r="E365" s="420"/>
      <c r="F365" s="420"/>
      <c r="G365" s="420"/>
      <c r="H365" s="420"/>
    </row>
    <row r="366" customFormat="false" ht="15.75" hidden="false" customHeight="false" outlineLevel="0" collapsed="false">
      <c r="B366" s="420"/>
      <c r="C366" s="420"/>
      <c r="D366" s="420"/>
      <c r="E366" s="420"/>
      <c r="F366" s="420"/>
      <c r="G366" s="420"/>
      <c r="H366" s="420"/>
    </row>
    <row r="367" customFormat="false" ht="15.75" hidden="false" customHeight="false" outlineLevel="0" collapsed="false">
      <c r="B367" s="420"/>
      <c r="C367" s="420"/>
      <c r="D367" s="420"/>
      <c r="E367" s="420"/>
      <c r="F367" s="420"/>
      <c r="G367" s="420"/>
      <c r="H367" s="420"/>
    </row>
    <row r="368" customFormat="false" ht="15.75" hidden="false" customHeight="false" outlineLevel="0" collapsed="false">
      <c r="B368" s="420"/>
      <c r="C368" s="420"/>
      <c r="D368" s="420"/>
      <c r="E368" s="420"/>
      <c r="F368" s="420"/>
      <c r="G368" s="420"/>
      <c r="H368" s="420"/>
    </row>
    <row r="369" customFormat="false" ht="15.75" hidden="false" customHeight="false" outlineLevel="0" collapsed="false">
      <c r="B369" s="420"/>
      <c r="C369" s="420"/>
      <c r="D369" s="420"/>
      <c r="E369" s="420"/>
      <c r="F369" s="420"/>
      <c r="G369" s="420"/>
      <c r="H369" s="420"/>
    </row>
    <row r="370" customFormat="false" ht="15.75" hidden="false" customHeight="false" outlineLevel="0" collapsed="false">
      <c r="B370" s="420"/>
      <c r="C370" s="420"/>
      <c r="D370" s="420"/>
      <c r="E370" s="420"/>
      <c r="F370" s="420"/>
      <c r="G370" s="420"/>
      <c r="H370" s="420"/>
    </row>
    <row r="371" customFormat="false" ht="15.75" hidden="false" customHeight="false" outlineLevel="0" collapsed="false">
      <c r="B371" s="420"/>
      <c r="C371" s="420"/>
      <c r="D371" s="420"/>
      <c r="E371" s="420"/>
      <c r="F371" s="420"/>
      <c r="G371" s="420"/>
      <c r="H371" s="420"/>
    </row>
    <row r="372" customFormat="false" ht="15.75" hidden="false" customHeight="false" outlineLevel="0" collapsed="false">
      <c r="B372" s="420"/>
      <c r="C372" s="420"/>
      <c r="D372" s="420"/>
      <c r="E372" s="420"/>
      <c r="F372" s="420"/>
      <c r="G372" s="420"/>
      <c r="H372" s="420"/>
    </row>
    <row r="373" customFormat="false" ht="15.75" hidden="false" customHeight="false" outlineLevel="0" collapsed="false">
      <c r="B373" s="420"/>
      <c r="C373" s="420"/>
      <c r="D373" s="420"/>
      <c r="E373" s="420"/>
      <c r="F373" s="420"/>
      <c r="G373" s="420"/>
      <c r="H373" s="420"/>
    </row>
    <row r="374" customFormat="false" ht="15.75" hidden="false" customHeight="false" outlineLevel="0" collapsed="false">
      <c r="B374" s="420"/>
      <c r="C374" s="420"/>
      <c r="D374" s="420"/>
      <c r="E374" s="420"/>
      <c r="F374" s="420"/>
      <c r="G374" s="420"/>
      <c r="H374" s="420"/>
    </row>
    <row r="375" customFormat="false" ht="15.75" hidden="false" customHeight="false" outlineLevel="0" collapsed="false">
      <c r="B375" s="420"/>
      <c r="C375" s="420"/>
      <c r="D375" s="420"/>
      <c r="E375" s="420"/>
      <c r="F375" s="420"/>
      <c r="G375" s="420"/>
      <c r="H375" s="420"/>
    </row>
    <row r="376" customFormat="false" ht="15.75" hidden="false" customHeight="false" outlineLevel="0" collapsed="false">
      <c r="B376" s="420"/>
      <c r="C376" s="420"/>
      <c r="D376" s="420"/>
      <c r="E376" s="420"/>
      <c r="F376" s="420"/>
      <c r="G376" s="420"/>
      <c r="H376" s="420"/>
    </row>
    <row r="377" customFormat="false" ht="15.75" hidden="false" customHeight="false" outlineLevel="0" collapsed="false">
      <c r="B377" s="420"/>
      <c r="C377" s="420"/>
      <c r="D377" s="420"/>
      <c r="E377" s="420"/>
      <c r="F377" s="420"/>
      <c r="G377" s="420"/>
      <c r="H377" s="420"/>
    </row>
    <row r="378" customFormat="false" ht="15.75" hidden="false" customHeight="false" outlineLevel="0" collapsed="false">
      <c r="B378" s="420"/>
      <c r="C378" s="420"/>
      <c r="D378" s="420"/>
      <c r="E378" s="420"/>
      <c r="F378" s="420"/>
      <c r="G378" s="420"/>
      <c r="H378" s="420"/>
    </row>
    <row r="379" customFormat="false" ht="15.75" hidden="false" customHeight="false" outlineLevel="0" collapsed="false">
      <c r="B379" s="420"/>
      <c r="C379" s="420"/>
      <c r="D379" s="420"/>
      <c r="E379" s="420"/>
      <c r="F379" s="420"/>
      <c r="G379" s="420"/>
      <c r="H379" s="420"/>
    </row>
    <row r="380" customFormat="false" ht="15.75" hidden="false" customHeight="false" outlineLevel="0" collapsed="false">
      <c r="B380" s="420"/>
      <c r="C380" s="420"/>
      <c r="D380" s="420"/>
      <c r="E380" s="420"/>
      <c r="F380" s="420"/>
      <c r="G380" s="420"/>
      <c r="H380" s="420"/>
    </row>
    <row r="381" customFormat="false" ht="15.75" hidden="false" customHeight="false" outlineLevel="0" collapsed="false">
      <c r="B381" s="420"/>
      <c r="C381" s="420"/>
      <c r="D381" s="420"/>
      <c r="E381" s="420"/>
      <c r="F381" s="420"/>
      <c r="G381" s="420"/>
      <c r="H381" s="420"/>
    </row>
    <row r="382" customFormat="false" ht="15.75" hidden="false" customHeight="false" outlineLevel="0" collapsed="false">
      <c r="B382" s="420"/>
      <c r="C382" s="420"/>
      <c r="D382" s="420"/>
      <c r="E382" s="420"/>
      <c r="F382" s="420"/>
      <c r="G382" s="420"/>
      <c r="H382" s="420"/>
    </row>
    <row r="383" customFormat="false" ht="15.75" hidden="false" customHeight="false" outlineLevel="0" collapsed="false">
      <c r="B383" s="420"/>
      <c r="C383" s="420"/>
      <c r="D383" s="420"/>
      <c r="E383" s="420"/>
      <c r="F383" s="420"/>
      <c r="G383" s="420"/>
      <c r="H383" s="420"/>
    </row>
    <row r="384" customFormat="false" ht="15.75" hidden="false" customHeight="false" outlineLevel="0" collapsed="false">
      <c r="B384" s="420"/>
      <c r="C384" s="420"/>
      <c r="D384" s="420"/>
      <c r="E384" s="420"/>
      <c r="F384" s="420"/>
      <c r="G384" s="420"/>
      <c r="H384" s="420"/>
    </row>
    <row r="385" customFormat="false" ht="15.75" hidden="false" customHeight="false" outlineLevel="0" collapsed="false">
      <c r="B385" s="420"/>
      <c r="C385" s="420"/>
      <c r="D385" s="420"/>
      <c r="E385" s="420"/>
      <c r="F385" s="420"/>
      <c r="G385" s="420"/>
      <c r="H385" s="420"/>
    </row>
    <row r="386" customFormat="false" ht="15.75" hidden="false" customHeight="false" outlineLevel="0" collapsed="false">
      <c r="B386" s="420"/>
      <c r="C386" s="420"/>
      <c r="D386" s="420"/>
      <c r="E386" s="420"/>
      <c r="F386" s="420"/>
      <c r="G386" s="420"/>
      <c r="H386" s="420"/>
    </row>
    <row r="387" customFormat="false" ht="15.75" hidden="false" customHeight="false" outlineLevel="0" collapsed="false">
      <c r="B387" s="420"/>
      <c r="C387" s="420"/>
      <c r="D387" s="420"/>
      <c r="E387" s="420"/>
      <c r="F387" s="420"/>
      <c r="G387" s="420"/>
      <c r="H387" s="420"/>
    </row>
    <row r="388" customFormat="false" ht="15.75" hidden="false" customHeight="false" outlineLevel="0" collapsed="false">
      <c r="B388" s="420"/>
      <c r="C388" s="420"/>
      <c r="D388" s="420"/>
      <c r="E388" s="420"/>
      <c r="F388" s="420"/>
      <c r="G388" s="420"/>
      <c r="H388" s="420"/>
    </row>
    <row r="389" customFormat="false" ht="15.75" hidden="false" customHeight="false" outlineLevel="0" collapsed="false">
      <c r="B389" s="420"/>
      <c r="C389" s="420"/>
      <c r="D389" s="420"/>
      <c r="E389" s="420"/>
      <c r="F389" s="420"/>
      <c r="G389" s="420"/>
      <c r="H389" s="420"/>
    </row>
    <row r="390" customFormat="false" ht="15.75" hidden="false" customHeight="false" outlineLevel="0" collapsed="false">
      <c r="B390" s="420"/>
      <c r="C390" s="420"/>
      <c r="D390" s="420"/>
      <c r="E390" s="420"/>
      <c r="F390" s="420"/>
      <c r="G390" s="420"/>
      <c r="H390" s="420"/>
    </row>
    <row r="391" customFormat="false" ht="15.75" hidden="false" customHeight="false" outlineLevel="0" collapsed="false">
      <c r="B391" s="420"/>
      <c r="C391" s="420"/>
      <c r="D391" s="420"/>
      <c r="E391" s="420"/>
      <c r="F391" s="420"/>
      <c r="G391" s="420"/>
      <c r="H391" s="420"/>
    </row>
    <row r="392" customFormat="false" ht="15.75" hidden="false" customHeight="false" outlineLevel="0" collapsed="false">
      <c r="B392" s="420"/>
      <c r="C392" s="420"/>
      <c r="D392" s="420"/>
      <c r="E392" s="420"/>
      <c r="F392" s="420"/>
      <c r="G392" s="420"/>
      <c r="H392" s="420"/>
    </row>
    <row r="393" customFormat="false" ht="15.75" hidden="false" customHeight="false" outlineLevel="0" collapsed="false">
      <c r="B393" s="420"/>
      <c r="C393" s="420"/>
      <c r="D393" s="420"/>
      <c r="E393" s="420"/>
      <c r="F393" s="420"/>
      <c r="G393" s="420"/>
      <c r="H393" s="420"/>
    </row>
    <row r="394" customFormat="false" ht="15.75" hidden="false" customHeight="false" outlineLevel="0" collapsed="false">
      <c r="B394" s="420"/>
      <c r="C394" s="420"/>
      <c r="D394" s="420"/>
      <c r="E394" s="420"/>
      <c r="F394" s="420"/>
      <c r="G394" s="420"/>
      <c r="H394" s="420"/>
    </row>
    <row r="395" customFormat="false" ht="15.75" hidden="false" customHeight="false" outlineLevel="0" collapsed="false">
      <c r="B395" s="420"/>
      <c r="C395" s="420"/>
      <c r="D395" s="420"/>
      <c r="E395" s="420"/>
      <c r="F395" s="420"/>
      <c r="G395" s="420"/>
      <c r="H395" s="420"/>
    </row>
    <row r="396" customFormat="false" ht="15.75" hidden="false" customHeight="false" outlineLevel="0" collapsed="false">
      <c r="B396" s="420"/>
      <c r="C396" s="420"/>
      <c r="D396" s="420"/>
      <c r="E396" s="420"/>
      <c r="F396" s="420"/>
      <c r="G396" s="420"/>
      <c r="H396" s="420"/>
    </row>
    <row r="397" customFormat="false" ht="15.75" hidden="false" customHeight="false" outlineLevel="0" collapsed="false">
      <c r="B397" s="420"/>
      <c r="C397" s="420"/>
      <c r="D397" s="420"/>
      <c r="E397" s="420"/>
      <c r="F397" s="420"/>
      <c r="G397" s="420"/>
      <c r="H397" s="420"/>
    </row>
    <row r="398" customFormat="false" ht="15.75" hidden="false" customHeight="false" outlineLevel="0" collapsed="false">
      <c r="B398" s="420"/>
      <c r="C398" s="420"/>
      <c r="D398" s="420"/>
      <c r="E398" s="420"/>
      <c r="F398" s="420"/>
      <c r="G398" s="420"/>
      <c r="H398" s="420"/>
    </row>
    <row r="399" customFormat="false" ht="15.75" hidden="false" customHeight="false" outlineLevel="0" collapsed="false">
      <c r="B399" s="420"/>
      <c r="C399" s="420"/>
      <c r="D399" s="420"/>
      <c r="E399" s="420"/>
      <c r="F399" s="420"/>
      <c r="G399" s="420"/>
      <c r="H399" s="420"/>
    </row>
    <row r="400" customFormat="false" ht="15.75" hidden="false" customHeight="false" outlineLevel="0" collapsed="false">
      <c r="B400" s="420"/>
      <c r="C400" s="420"/>
      <c r="D400" s="420"/>
      <c r="E400" s="420"/>
      <c r="F400" s="420"/>
      <c r="G400" s="420"/>
      <c r="H400" s="420"/>
    </row>
    <row r="401" customFormat="false" ht="15.75" hidden="false" customHeight="false" outlineLevel="0" collapsed="false">
      <c r="B401" s="420"/>
      <c r="C401" s="420"/>
      <c r="D401" s="420"/>
      <c r="E401" s="420"/>
      <c r="F401" s="420"/>
      <c r="G401" s="420"/>
      <c r="H401" s="420"/>
    </row>
    <row r="402" customFormat="false" ht="15.75" hidden="false" customHeight="false" outlineLevel="0" collapsed="false">
      <c r="B402" s="420"/>
      <c r="C402" s="420"/>
      <c r="D402" s="420"/>
      <c r="E402" s="420"/>
      <c r="F402" s="420"/>
      <c r="G402" s="420"/>
      <c r="H402" s="420"/>
    </row>
    <row r="403" customFormat="false" ht="15.75" hidden="false" customHeight="false" outlineLevel="0" collapsed="false">
      <c r="B403" s="420"/>
      <c r="C403" s="420"/>
      <c r="D403" s="420"/>
      <c r="E403" s="420"/>
      <c r="F403" s="420"/>
      <c r="G403" s="420"/>
      <c r="H403" s="420"/>
    </row>
    <row r="404" customFormat="false" ht="15.75" hidden="false" customHeight="false" outlineLevel="0" collapsed="false">
      <c r="B404" s="420"/>
      <c r="C404" s="420"/>
      <c r="D404" s="420"/>
      <c r="E404" s="420"/>
      <c r="F404" s="420"/>
      <c r="G404" s="420"/>
      <c r="H404" s="420"/>
    </row>
    <row r="405" customFormat="false" ht="15.75" hidden="false" customHeight="false" outlineLevel="0" collapsed="false">
      <c r="B405" s="420"/>
      <c r="C405" s="420"/>
      <c r="D405" s="420"/>
      <c r="E405" s="420"/>
      <c r="F405" s="420"/>
      <c r="G405" s="420"/>
      <c r="H405" s="420"/>
    </row>
    <row r="406" customFormat="false" ht="15.75" hidden="false" customHeight="false" outlineLevel="0" collapsed="false">
      <c r="B406" s="420"/>
      <c r="C406" s="420"/>
      <c r="D406" s="420"/>
      <c r="E406" s="420"/>
      <c r="F406" s="420"/>
      <c r="G406" s="420"/>
      <c r="H406" s="420"/>
    </row>
    <row r="407" customFormat="false" ht="15.75" hidden="false" customHeight="false" outlineLevel="0" collapsed="false">
      <c r="B407" s="420"/>
      <c r="C407" s="420"/>
      <c r="D407" s="420"/>
      <c r="E407" s="420"/>
      <c r="F407" s="420"/>
      <c r="G407" s="420"/>
      <c r="H407" s="420"/>
    </row>
    <row r="408" customFormat="false" ht="15.75" hidden="false" customHeight="false" outlineLevel="0" collapsed="false">
      <c r="B408" s="420"/>
      <c r="C408" s="420"/>
      <c r="D408" s="420"/>
      <c r="E408" s="420"/>
      <c r="F408" s="420"/>
      <c r="G408" s="420"/>
      <c r="H408" s="420"/>
    </row>
    <row r="409" customFormat="false" ht="15.75" hidden="false" customHeight="false" outlineLevel="0" collapsed="false">
      <c r="B409" s="420"/>
      <c r="C409" s="420"/>
      <c r="D409" s="420"/>
      <c r="E409" s="420"/>
      <c r="F409" s="420"/>
      <c r="G409" s="420"/>
      <c r="H409" s="420"/>
    </row>
    <row r="410" customFormat="false" ht="15.75" hidden="false" customHeight="false" outlineLevel="0" collapsed="false">
      <c r="B410" s="420"/>
      <c r="C410" s="420"/>
      <c r="D410" s="420"/>
      <c r="E410" s="420"/>
      <c r="F410" s="420"/>
      <c r="G410" s="420"/>
      <c r="H410" s="420"/>
    </row>
    <row r="411" customFormat="false" ht="15.75" hidden="false" customHeight="false" outlineLevel="0" collapsed="false">
      <c r="B411" s="420"/>
      <c r="C411" s="420"/>
      <c r="D411" s="420"/>
      <c r="E411" s="420"/>
      <c r="F411" s="420"/>
      <c r="G411" s="420"/>
      <c r="H411" s="420"/>
    </row>
    <row r="412" customFormat="false" ht="15.75" hidden="false" customHeight="false" outlineLevel="0" collapsed="false">
      <c r="B412" s="420"/>
      <c r="C412" s="420"/>
      <c r="D412" s="420"/>
      <c r="E412" s="420"/>
      <c r="F412" s="420"/>
      <c r="G412" s="420"/>
      <c r="H412" s="420"/>
    </row>
    <row r="413" customFormat="false" ht="15.75" hidden="false" customHeight="false" outlineLevel="0" collapsed="false">
      <c r="B413" s="420"/>
      <c r="C413" s="420"/>
      <c r="D413" s="420"/>
      <c r="E413" s="420"/>
      <c r="F413" s="420"/>
      <c r="G413" s="420"/>
      <c r="H413" s="420"/>
    </row>
    <row r="414" customFormat="false" ht="15.75" hidden="false" customHeight="false" outlineLevel="0" collapsed="false">
      <c r="B414" s="420"/>
      <c r="C414" s="420"/>
      <c r="D414" s="420"/>
      <c r="E414" s="420"/>
      <c r="F414" s="420"/>
      <c r="G414" s="420"/>
      <c r="H414" s="420"/>
    </row>
    <row r="415" customFormat="false" ht="15.75" hidden="false" customHeight="false" outlineLevel="0" collapsed="false">
      <c r="B415" s="420"/>
      <c r="C415" s="420"/>
      <c r="D415" s="420"/>
      <c r="E415" s="420"/>
      <c r="F415" s="420"/>
      <c r="G415" s="420"/>
      <c r="H415" s="420"/>
    </row>
    <row r="416" customFormat="false" ht="15.75" hidden="false" customHeight="false" outlineLevel="0" collapsed="false">
      <c r="B416" s="420"/>
      <c r="C416" s="420"/>
      <c r="D416" s="420"/>
      <c r="E416" s="420"/>
      <c r="F416" s="420"/>
      <c r="G416" s="420"/>
      <c r="H416" s="420"/>
    </row>
    <row r="417" customFormat="false" ht="15.75" hidden="false" customHeight="false" outlineLevel="0" collapsed="false">
      <c r="B417" s="420"/>
      <c r="C417" s="420"/>
      <c r="D417" s="420"/>
      <c r="E417" s="420"/>
      <c r="F417" s="420"/>
      <c r="G417" s="420"/>
      <c r="H417" s="420"/>
    </row>
    <row r="418" customFormat="false" ht="15.75" hidden="false" customHeight="false" outlineLevel="0" collapsed="false">
      <c r="B418" s="420"/>
      <c r="C418" s="420"/>
      <c r="D418" s="420"/>
      <c r="E418" s="420"/>
      <c r="F418" s="420"/>
      <c r="G418" s="420"/>
      <c r="H418" s="420"/>
    </row>
    <row r="419" customFormat="false" ht="15.75" hidden="false" customHeight="false" outlineLevel="0" collapsed="false">
      <c r="B419" s="420"/>
      <c r="C419" s="420"/>
      <c r="D419" s="420"/>
      <c r="E419" s="420"/>
      <c r="F419" s="420"/>
      <c r="G419" s="420"/>
      <c r="H419" s="420"/>
    </row>
    <row r="420" customFormat="false" ht="15.75" hidden="false" customHeight="false" outlineLevel="0" collapsed="false">
      <c r="B420" s="420"/>
      <c r="C420" s="420"/>
      <c r="D420" s="420"/>
      <c r="E420" s="420"/>
      <c r="F420" s="420"/>
      <c r="G420" s="420"/>
      <c r="H420" s="420"/>
    </row>
    <row r="421" customFormat="false" ht="15.75" hidden="false" customHeight="false" outlineLevel="0" collapsed="false">
      <c r="B421" s="420"/>
      <c r="C421" s="420"/>
      <c r="D421" s="420"/>
      <c r="E421" s="420"/>
      <c r="F421" s="420"/>
      <c r="G421" s="420"/>
      <c r="H421" s="420"/>
    </row>
    <row r="422" customFormat="false" ht="15.75" hidden="false" customHeight="false" outlineLevel="0" collapsed="false">
      <c r="B422" s="420"/>
      <c r="C422" s="420"/>
      <c r="D422" s="420"/>
      <c r="E422" s="420"/>
      <c r="F422" s="420"/>
      <c r="G422" s="420"/>
      <c r="H422" s="420"/>
    </row>
    <row r="423" customFormat="false" ht="15.75" hidden="false" customHeight="false" outlineLevel="0" collapsed="false">
      <c r="B423" s="420"/>
      <c r="C423" s="420"/>
      <c r="D423" s="420"/>
      <c r="E423" s="420"/>
      <c r="F423" s="420"/>
      <c r="G423" s="420"/>
      <c r="H423" s="420"/>
    </row>
    <row r="424" customFormat="false" ht="15.75" hidden="false" customHeight="false" outlineLevel="0" collapsed="false">
      <c r="B424" s="420"/>
      <c r="C424" s="420"/>
      <c r="D424" s="420"/>
      <c r="E424" s="420"/>
      <c r="F424" s="420"/>
      <c r="G424" s="420"/>
      <c r="H424" s="420"/>
    </row>
    <row r="425" customFormat="false" ht="15.75" hidden="false" customHeight="false" outlineLevel="0" collapsed="false">
      <c r="B425" s="420"/>
      <c r="C425" s="420"/>
      <c r="D425" s="420"/>
      <c r="E425" s="420"/>
      <c r="F425" s="420"/>
      <c r="G425" s="420"/>
      <c r="H425" s="420"/>
    </row>
    <row r="426" customFormat="false" ht="15.75" hidden="false" customHeight="false" outlineLevel="0" collapsed="false">
      <c r="B426" s="420"/>
      <c r="C426" s="420"/>
      <c r="D426" s="420"/>
      <c r="E426" s="420"/>
      <c r="F426" s="420"/>
      <c r="G426" s="420"/>
      <c r="H426" s="420"/>
    </row>
    <row r="427" customFormat="false" ht="15.75" hidden="false" customHeight="false" outlineLevel="0" collapsed="false">
      <c r="B427" s="420"/>
      <c r="C427" s="420"/>
      <c r="D427" s="420"/>
      <c r="E427" s="420"/>
      <c r="F427" s="420"/>
      <c r="G427" s="420"/>
      <c r="H427" s="420"/>
    </row>
    <row r="428" customFormat="false" ht="15.75" hidden="false" customHeight="false" outlineLevel="0" collapsed="false">
      <c r="B428" s="420"/>
      <c r="C428" s="420"/>
      <c r="D428" s="420"/>
      <c r="E428" s="420"/>
      <c r="F428" s="420"/>
      <c r="G428" s="420"/>
      <c r="H428" s="420"/>
    </row>
    <row r="429" customFormat="false" ht="15.75" hidden="false" customHeight="false" outlineLevel="0" collapsed="false">
      <c r="B429" s="420"/>
      <c r="C429" s="420"/>
      <c r="D429" s="420"/>
      <c r="E429" s="420"/>
      <c r="F429" s="420"/>
      <c r="G429" s="420"/>
      <c r="H429" s="420"/>
    </row>
    <row r="430" customFormat="false" ht="15.75" hidden="false" customHeight="false" outlineLevel="0" collapsed="false">
      <c r="B430" s="420"/>
      <c r="C430" s="420"/>
      <c r="D430" s="420"/>
      <c r="E430" s="420"/>
      <c r="F430" s="420"/>
      <c r="G430" s="420"/>
      <c r="H430" s="420"/>
    </row>
    <row r="431" customFormat="false" ht="15.75" hidden="false" customHeight="false" outlineLevel="0" collapsed="false">
      <c r="B431" s="420"/>
      <c r="C431" s="420"/>
      <c r="D431" s="420"/>
      <c r="E431" s="420"/>
      <c r="F431" s="420"/>
      <c r="G431" s="420"/>
      <c r="H431" s="420"/>
    </row>
    <row r="432" customFormat="false" ht="15.75" hidden="false" customHeight="false" outlineLevel="0" collapsed="false">
      <c r="B432" s="420"/>
      <c r="C432" s="420"/>
      <c r="D432" s="420"/>
      <c r="E432" s="420"/>
      <c r="F432" s="420"/>
      <c r="G432" s="420"/>
      <c r="H432" s="420"/>
    </row>
    <row r="433" customFormat="false" ht="15.75" hidden="false" customHeight="false" outlineLevel="0" collapsed="false">
      <c r="B433" s="420"/>
      <c r="C433" s="420"/>
      <c r="D433" s="420"/>
      <c r="E433" s="420"/>
      <c r="F433" s="420"/>
      <c r="G433" s="420"/>
      <c r="H433" s="420"/>
    </row>
    <row r="434" customFormat="false" ht="15.75" hidden="false" customHeight="false" outlineLevel="0" collapsed="false">
      <c r="B434" s="420"/>
      <c r="C434" s="420"/>
      <c r="D434" s="420"/>
      <c r="E434" s="420"/>
      <c r="F434" s="420"/>
      <c r="G434" s="420"/>
      <c r="H434" s="420"/>
    </row>
    <row r="435" customFormat="false" ht="15.75" hidden="false" customHeight="false" outlineLevel="0" collapsed="false">
      <c r="B435" s="420"/>
      <c r="C435" s="420"/>
      <c r="D435" s="420"/>
      <c r="E435" s="420"/>
      <c r="F435" s="420"/>
      <c r="G435" s="420"/>
      <c r="H435" s="420"/>
    </row>
    <row r="436" customFormat="false" ht="15.75" hidden="false" customHeight="false" outlineLevel="0" collapsed="false">
      <c r="B436" s="420"/>
      <c r="C436" s="420"/>
      <c r="D436" s="420"/>
      <c r="E436" s="420"/>
      <c r="F436" s="420"/>
      <c r="G436" s="420"/>
      <c r="H436" s="420"/>
    </row>
    <row r="437" customFormat="false" ht="15.75" hidden="false" customHeight="false" outlineLevel="0" collapsed="false">
      <c r="B437" s="420"/>
      <c r="C437" s="420"/>
      <c r="D437" s="420"/>
      <c r="E437" s="420"/>
      <c r="F437" s="420"/>
      <c r="G437" s="420"/>
      <c r="H437" s="420"/>
    </row>
    <row r="438" customFormat="false" ht="15.75" hidden="false" customHeight="false" outlineLevel="0" collapsed="false">
      <c r="B438" s="420"/>
      <c r="C438" s="420"/>
      <c r="D438" s="420"/>
      <c r="E438" s="420"/>
      <c r="F438" s="420"/>
      <c r="G438" s="420"/>
      <c r="H438" s="420"/>
    </row>
    <row r="439" customFormat="false" ht="15.75" hidden="false" customHeight="false" outlineLevel="0" collapsed="false">
      <c r="B439" s="420"/>
      <c r="C439" s="420"/>
      <c r="D439" s="420"/>
      <c r="E439" s="420"/>
      <c r="F439" s="420"/>
      <c r="G439" s="420"/>
      <c r="H439" s="420"/>
    </row>
    <row r="440" customFormat="false" ht="15.75" hidden="false" customHeight="false" outlineLevel="0" collapsed="false">
      <c r="B440" s="420"/>
      <c r="C440" s="420"/>
      <c r="D440" s="420"/>
      <c r="E440" s="420"/>
      <c r="F440" s="420"/>
      <c r="G440" s="420"/>
      <c r="H440" s="420"/>
    </row>
    <row r="441" customFormat="false" ht="15.75" hidden="false" customHeight="false" outlineLevel="0" collapsed="false">
      <c r="B441" s="420"/>
      <c r="C441" s="420"/>
      <c r="D441" s="420"/>
      <c r="E441" s="420"/>
      <c r="F441" s="420"/>
      <c r="G441" s="420"/>
      <c r="H441" s="420"/>
    </row>
    <row r="442" customFormat="false" ht="15.75" hidden="false" customHeight="false" outlineLevel="0" collapsed="false">
      <c r="B442" s="420"/>
      <c r="C442" s="420"/>
      <c r="D442" s="420"/>
      <c r="E442" s="420"/>
      <c r="F442" s="420"/>
      <c r="G442" s="420"/>
      <c r="H442" s="420"/>
    </row>
    <row r="443" customFormat="false" ht="15.75" hidden="false" customHeight="false" outlineLevel="0" collapsed="false">
      <c r="B443" s="420"/>
      <c r="C443" s="420"/>
      <c r="D443" s="420"/>
      <c r="E443" s="420"/>
      <c r="F443" s="420"/>
      <c r="G443" s="420"/>
      <c r="H443" s="420"/>
    </row>
    <row r="444" customFormat="false" ht="15.75" hidden="false" customHeight="false" outlineLevel="0" collapsed="false">
      <c r="B444" s="420"/>
      <c r="C444" s="420"/>
      <c r="D444" s="420"/>
      <c r="E444" s="420"/>
      <c r="F444" s="420"/>
      <c r="G444" s="420"/>
      <c r="H444" s="420"/>
    </row>
    <row r="445" customFormat="false" ht="15.75" hidden="false" customHeight="false" outlineLevel="0" collapsed="false">
      <c r="B445" s="420"/>
      <c r="C445" s="420"/>
      <c r="D445" s="420"/>
      <c r="E445" s="420"/>
      <c r="F445" s="420"/>
      <c r="G445" s="420"/>
      <c r="H445" s="420"/>
    </row>
    <row r="446" customFormat="false" ht="15.75" hidden="false" customHeight="false" outlineLevel="0" collapsed="false">
      <c r="B446" s="420"/>
      <c r="C446" s="420"/>
      <c r="D446" s="420"/>
      <c r="E446" s="420"/>
      <c r="F446" s="420"/>
      <c r="G446" s="420"/>
      <c r="H446" s="420"/>
    </row>
    <row r="447" customFormat="false" ht="15.75" hidden="false" customHeight="false" outlineLevel="0" collapsed="false">
      <c r="B447" s="420"/>
      <c r="C447" s="420"/>
      <c r="D447" s="420"/>
      <c r="E447" s="420"/>
      <c r="F447" s="420"/>
      <c r="G447" s="420"/>
      <c r="H447" s="420"/>
    </row>
    <row r="448" customFormat="false" ht="15.75" hidden="false" customHeight="false" outlineLevel="0" collapsed="false">
      <c r="B448" s="420"/>
      <c r="C448" s="420"/>
      <c r="D448" s="420"/>
      <c r="E448" s="420"/>
      <c r="F448" s="420"/>
      <c r="G448" s="420"/>
      <c r="H448" s="420"/>
    </row>
    <row r="449" customFormat="false" ht="15.75" hidden="false" customHeight="false" outlineLevel="0" collapsed="false">
      <c r="B449" s="420"/>
      <c r="C449" s="420"/>
      <c r="D449" s="420"/>
      <c r="E449" s="420"/>
      <c r="F449" s="420"/>
      <c r="G449" s="420"/>
      <c r="H449" s="420"/>
    </row>
    <row r="450" customFormat="false" ht="15.75" hidden="false" customHeight="false" outlineLevel="0" collapsed="false">
      <c r="B450" s="420"/>
      <c r="C450" s="420"/>
      <c r="D450" s="420"/>
      <c r="E450" s="420"/>
      <c r="F450" s="420"/>
      <c r="G450" s="420"/>
      <c r="H450" s="420"/>
    </row>
    <row r="451" customFormat="false" ht="15.75" hidden="false" customHeight="false" outlineLevel="0" collapsed="false">
      <c r="B451" s="420"/>
      <c r="C451" s="420"/>
      <c r="D451" s="420"/>
      <c r="E451" s="420"/>
      <c r="F451" s="420"/>
      <c r="G451" s="420"/>
      <c r="H451" s="420"/>
    </row>
    <row r="452" customFormat="false" ht="15.75" hidden="false" customHeight="false" outlineLevel="0" collapsed="false">
      <c r="B452" s="420"/>
      <c r="C452" s="420"/>
      <c r="D452" s="420"/>
      <c r="E452" s="420"/>
      <c r="F452" s="420"/>
      <c r="G452" s="420"/>
      <c r="H452" s="420"/>
    </row>
    <row r="453" customFormat="false" ht="15.75" hidden="false" customHeight="false" outlineLevel="0" collapsed="false">
      <c r="B453" s="420"/>
      <c r="C453" s="420"/>
      <c r="D453" s="420"/>
      <c r="E453" s="420"/>
      <c r="F453" s="420"/>
      <c r="G453" s="420"/>
      <c r="H453" s="420"/>
    </row>
    <row r="454" customFormat="false" ht="15.75" hidden="false" customHeight="false" outlineLevel="0" collapsed="false">
      <c r="B454" s="420"/>
      <c r="C454" s="420"/>
      <c r="D454" s="420"/>
      <c r="E454" s="420"/>
      <c r="F454" s="420"/>
      <c r="G454" s="420"/>
      <c r="H454" s="420"/>
    </row>
    <row r="455" customFormat="false" ht="15.75" hidden="false" customHeight="false" outlineLevel="0" collapsed="false">
      <c r="B455" s="420"/>
      <c r="C455" s="420"/>
      <c r="D455" s="420"/>
      <c r="E455" s="420"/>
      <c r="F455" s="420"/>
      <c r="G455" s="420"/>
      <c r="H455" s="420"/>
    </row>
    <row r="456" customFormat="false" ht="15.75" hidden="false" customHeight="false" outlineLevel="0" collapsed="false">
      <c r="B456" s="420"/>
      <c r="C456" s="420"/>
      <c r="D456" s="420"/>
      <c r="E456" s="420"/>
      <c r="F456" s="420"/>
      <c r="G456" s="420"/>
      <c r="H456" s="420"/>
    </row>
    <row r="457" customFormat="false" ht="15.75" hidden="false" customHeight="false" outlineLevel="0" collapsed="false">
      <c r="B457" s="420"/>
      <c r="C457" s="420"/>
      <c r="D457" s="420"/>
      <c r="E457" s="420"/>
      <c r="F457" s="420"/>
      <c r="G457" s="420"/>
      <c r="H457" s="420"/>
    </row>
    <row r="458" customFormat="false" ht="15.75" hidden="false" customHeight="false" outlineLevel="0" collapsed="false">
      <c r="B458" s="420"/>
      <c r="C458" s="420"/>
      <c r="D458" s="420"/>
      <c r="E458" s="420"/>
      <c r="F458" s="420"/>
      <c r="G458" s="420"/>
      <c r="H458" s="420"/>
    </row>
    <row r="459" customFormat="false" ht="15.75" hidden="false" customHeight="false" outlineLevel="0" collapsed="false">
      <c r="B459" s="420"/>
      <c r="C459" s="420"/>
      <c r="D459" s="420"/>
      <c r="E459" s="420"/>
      <c r="F459" s="420"/>
      <c r="G459" s="420"/>
      <c r="H459" s="420"/>
    </row>
    <row r="460" customFormat="false" ht="15.75" hidden="false" customHeight="false" outlineLevel="0" collapsed="false">
      <c r="B460" s="420"/>
      <c r="C460" s="420"/>
      <c r="D460" s="420"/>
      <c r="E460" s="420"/>
      <c r="F460" s="420"/>
      <c r="G460" s="420"/>
      <c r="H460" s="420"/>
    </row>
    <row r="461" customFormat="false" ht="15.75" hidden="false" customHeight="false" outlineLevel="0" collapsed="false">
      <c r="B461" s="420"/>
      <c r="C461" s="420"/>
      <c r="D461" s="420"/>
      <c r="E461" s="420"/>
      <c r="F461" s="420"/>
      <c r="G461" s="420"/>
      <c r="H461" s="420"/>
    </row>
    <row r="462" customFormat="false" ht="15.75" hidden="false" customHeight="false" outlineLevel="0" collapsed="false">
      <c r="B462" s="420"/>
      <c r="C462" s="420"/>
      <c r="D462" s="420"/>
      <c r="E462" s="420"/>
      <c r="F462" s="420"/>
      <c r="G462" s="420"/>
      <c r="H462" s="420"/>
    </row>
    <row r="463" customFormat="false" ht="15.75" hidden="false" customHeight="false" outlineLevel="0" collapsed="false">
      <c r="B463" s="420"/>
      <c r="C463" s="420"/>
      <c r="D463" s="420"/>
      <c r="E463" s="420"/>
      <c r="F463" s="420"/>
      <c r="G463" s="420"/>
      <c r="H463" s="420"/>
    </row>
    <row r="464" customFormat="false" ht="15.75" hidden="false" customHeight="false" outlineLevel="0" collapsed="false">
      <c r="B464" s="420"/>
      <c r="C464" s="420"/>
      <c r="D464" s="420"/>
      <c r="E464" s="420"/>
      <c r="F464" s="420"/>
      <c r="G464" s="420"/>
      <c r="H464" s="420"/>
    </row>
    <row r="465" customFormat="false" ht="15.75" hidden="false" customHeight="false" outlineLevel="0" collapsed="false">
      <c r="B465" s="420"/>
      <c r="C465" s="420"/>
      <c r="D465" s="420"/>
      <c r="E465" s="420"/>
      <c r="F465" s="420"/>
      <c r="G465" s="420"/>
      <c r="H465" s="420"/>
    </row>
    <row r="466" customFormat="false" ht="15.75" hidden="false" customHeight="false" outlineLevel="0" collapsed="false">
      <c r="B466" s="420"/>
      <c r="C466" s="420"/>
      <c r="D466" s="420"/>
      <c r="E466" s="420"/>
      <c r="F466" s="420"/>
      <c r="G466" s="420"/>
      <c r="H466" s="420"/>
    </row>
    <row r="467" customFormat="false" ht="15.75" hidden="false" customHeight="false" outlineLevel="0" collapsed="false">
      <c r="B467" s="420"/>
      <c r="C467" s="420"/>
      <c r="D467" s="420"/>
      <c r="E467" s="420"/>
      <c r="F467" s="420"/>
      <c r="G467" s="420"/>
      <c r="H467" s="420"/>
    </row>
    <row r="468" customFormat="false" ht="15.75" hidden="false" customHeight="false" outlineLevel="0" collapsed="false">
      <c r="B468" s="420"/>
      <c r="C468" s="420"/>
      <c r="D468" s="420"/>
      <c r="E468" s="420"/>
      <c r="F468" s="420"/>
      <c r="G468" s="420"/>
      <c r="H468" s="420"/>
    </row>
    <row r="469" customFormat="false" ht="15.75" hidden="false" customHeight="false" outlineLevel="0" collapsed="false">
      <c r="B469" s="420"/>
      <c r="C469" s="420"/>
      <c r="D469" s="420"/>
      <c r="E469" s="420"/>
      <c r="F469" s="420"/>
      <c r="G469" s="420"/>
      <c r="H469" s="420"/>
    </row>
    <row r="470" customFormat="false" ht="15.75" hidden="false" customHeight="false" outlineLevel="0" collapsed="false">
      <c r="B470" s="420"/>
      <c r="C470" s="420"/>
      <c r="D470" s="420"/>
      <c r="E470" s="420"/>
      <c r="F470" s="420"/>
      <c r="G470" s="420"/>
      <c r="H470" s="420"/>
    </row>
    <row r="471" customFormat="false" ht="15.75" hidden="false" customHeight="false" outlineLevel="0" collapsed="false">
      <c r="B471" s="420"/>
      <c r="C471" s="420"/>
      <c r="D471" s="420"/>
      <c r="E471" s="420"/>
      <c r="F471" s="420"/>
      <c r="G471" s="420"/>
      <c r="H471" s="420"/>
    </row>
    <row r="472" customFormat="false" ht="15.75" hidden="false" customHeight="false" outlineLevel="0" collapsed="false">
      <c r="B472" s="420"/>
      <c r="C472" s="420"/>
      <c r="D472" s="420"/>
      <c r="E472" s="420"/>
      <c r="F472" s="420"/>
      <c r="G472" s="420"/>
      <c r="H472" s="420"/>
    </row>
    <row r="473" customFormat="false" ht="15.75" hidden="false" customHeight="false" outlineLevel="0" collapsed="false">
      <c r="B473" s="420"/>
      <c r="C473" s="420"/>
      <c r="D473" s="420"/>
      <c r="E473" s="420"/>
      <c r="F473" s="420"/>
      <c r="G473" s="420"/>
      <c r="H473" s="420"/>
    </row>
    <row r="474" customFormat="false" ht="15.75" hidden="false" customHeight="false" outlineLevel="0" collapsed="false">
      <c r="B474" s="420"/>
      <c r="C474" s="420"/>
      <c r="D474" s="420"/>
      <c r="E474" s="420"/>
      <c r="F474" s="420"/>
      <c r="G474" s="420"/>
      <c r="H474" s="420"/>
    </row>
    <row r="475" customFormat="false" ht="15.75" hidden="false" customHeight="false" outlineLevel="0" collapsed="false">
      <c r="B475" s="420"/>
      <c r="C475" s="420"/>
      <c r="D475" s="420"/>
      <c r="E475" s="420"/>
      <c r="F475" s="420"/>
      <c r="G475" s="420"/>
      <c r="H475" s="420"/>
    </row>
    <row r="476" customFormat="false" ht="15.75" hidden="false" customHeight="false" outlineLevel="0" collapsed="false">
      <c r="B476" s="420"/>
      <c r="C476" s="420"/>
      <c r="D476" s="420"/>
      <c r="E476" s="420"/>
      <c r="F476" s="420"/>
      <c r="G476" s="420"/>
      <c r="H476" s="420"/>
    </row>
    <row r="477" customFormat="false" ht="15.75" hidden="false" customHeight="false" outlineLevel="0" collapsed="false">
      <c r="B477" s="420"/>
      <c r="C477" s="420"/>
      <c r="D477" s="420"/>
      <c r="E477" s="420"/>
      <c r="F477" s="420"/>
      <c r="G477" s="420"/>
      <c r="H477" s="420"/>
    </row>
    <row r="478" customFormat="false" ht="15.75" hidden="false" customHeight="false" outlineLevel="0" collapsed="false">
      <c r="B478" s="420"/>
      <c r="C478" s="420"/>
      <c r="D478" s="420"/>
      <c r="E478" s="420"/>
      <c r="F478" s="420"/>
      <c r="G478" s="420"/>
      <c r="H478" s="420"/>
    </row>
    <row r="479" customFormat="false" ht="15.75" hidden="false" customHeight="false" outlineLevel="0" collapsed="false">
      <c r="B479" s="420"/>
      <c r="C479" s="420"/>
      <c r="D479" s="420"/>
      <c r="E479" s="420"/>
      <c r="F479" s="420"/>
      <c r="G479" s="420"/>
      <c r="H479" s="420"/>
    </row>
    <row r="480" customFormat="false" ht="15.75" hidden="false" customHeight="false" outlineLevel="0" collapsed="false">
      <c r="B480" s="420"/>
      <c r="C480" s="420"/>
      <c r="D480" s="420"/>
      <c r="E480" s="420"/>
      <c r="F480" s="420"/>
      <c r="G480" s="420"/>
      <c r="H480" s="420"/>
    </row>
    <row r="481" customFormat="false" ht="15.75" hidden="false" customHeight="false" outlineLevel="0" collapsed="false">
      <c r="B481" s="420"/>
      <c r="C481" s="420"/>
      <c r="D481" s="420"/>
      <c r="E481" s="420"/>
      <c r="F481" s="420"/>
      <c r="G481" s="420"/>
      <c r="H481" s="420"/>
    </row>
    <row r="482" customFormat="false" ht="15.75" hidden="false" customHeight="false" outlineLevel="0" collapsed="false">
      <c r="B482" s="420"/>
      <c r="C482" s="420"/>
      <c r="D482" s="420"/>
      <c r="E482" s="420"/>
      <c r="F482" s="420"/>
      <c r="G482" s="420"/>
      <c r="H482" s="420"/>
    </row>
    <row r="483" customFormat="false" ht="15.75" hidden="false" customHeight="false" outlineLevel="0" collapsed="false">
      <c r="B483" s="420"/>
      <c r="C483" s="420"/>
      <c r="D483" s="420"/>
      <c r="E483" s="420"/>
      <c r="F483" s="420"/>
      <c r="G483" s="420"/>
      <c r="H483" s="420"/>
    </row>
    <row r="484" customFormat="false" ht="15.75" hidden="false" customHeight="false" outlineLevel="0" collapsed="false">
      <c r="B484" s="420"/>
      <c r="C484" s="420"/>
      <c r="D484" s="420"/>
      <c r="E484" s="420"/>
      <c r="F484" s="420"/>
      <c r="G484" s="420"/>
      <c r="H484" s="420"/>
    </row>
    <row r="485" customFormat="false" ht="15.75" hidden="false" customHeight="false" outlineLevel="0" collapsed="false">
      <c r="B485" s="420"/>
      <c r="C485" s="420"/>
      <c r="D485" s="420"/>
      <c r="E485" s="420"/>
      <c r="F485" s="420"/>
      <c r="G485" s="420"/>
      <c r="H485" s="420"/>
    </row>
    <row r="486" customFormat="false" ht="15.75" hidden="false" customHeight="false" outlineLevel="0" collapsed="false">
      <c r="B486" s="420"/>
      <c r="C486" s="420"/>
      <c r="D486" s="420"/>
      <c r="E486" s="420"/>
      <c r="F486" s="420"/>
      <c r="G486" s="420"/>
      <c r="H486" s="420"/>
    </row>
    <row r="487" customFormat="false" ht="15.75" hidden="false" customHeight="false" outlineLevel="0" collapsed="false">
      <c r="B487" s="420"/>
      <c r="C487" s="420"/>
      <c r="D487" s="420"/>
      <c r="E487" s="420"/>
      <c r="F487" s="420"/>
      <c r="G487" s="420"/>
      <c r="H487" s="420"/>
    </row>
    <row r="488" customFormat="false" ht="15.75" hidden="false" customHeight="false" outlineLevel="0" collapsed="false">
      <c r="B488" s="420"/>
      <c r="C488" s="420"/>
      <c r="D488" s="420"/>
      <c r="E488" s="420"/>
      <c r="F488" s="420"/>
      <c r="G488" s="420"/>
      <c r="H488" s="420"/>
    </row>
    <row r="489" customFormat="false" ht="15.75" hidden="false" customHeight="false" outlineLevel="0" collapsed="false">
      <c r="B489" s="420"/>
      <c r="C489" s="420"/>
      <c r="D489" s="420"/>
      <c r="E489" s="420"/>
      <c r="F489" s="420"/>
      <c r="G489" s="420"/>
      <c r="H489" s="420"/>
    </row>
    <row r="490" customFormat="false" ht="15.75" hidden="false" customHeight="false" outlineLevel="0" collapsed="false">
      <c r="B490" s="420"/>
      <c r="C490" s="420"/>
      <c r="D490" s="420"/>
      <c r="E490" s="420"/>
      <c r="F490" s="420"/>
      <c r="G490" s="420"/>
      <c r="H490" s="420"/>
    </row>
    <row r="491" customFormat="false" ht="15.75" hidden="false" customHeight="false" outlineLevel="0" collapsed="false">
      <c r="B491" s="420"/>
      <c r="C491" s="420"/>
      <c r="D491" s="420"/>
      <c r="E491" s="420"/>
      <c r="F491" s="420"/>
      <c r="G491" s="420"/>
      <c r="H491" s="420"/>
    </row>
    <row r="492" customFormat="false" ht="15.75" hidden="false" customHeight="false" outlineLevel="0" collapsed="false">
      <c r="B492" s="420"/>
      <c r="C492" s="420"/>
      <c r="D492" s="420"/>
      <c r="E492" s="420"/>
      <c r="F492" s="420"/>
      <c r="G492" s="420"/>
      <c r="H492" s="420"/>
    </row>
    <row r="493" customFormat="false" ht="15.75" hidden="false" customHeight="false" outlineLevel="0" collapsed="false">
      <c r="B493" s="420"/>
      <c r="C493" s="420"/>
      <c r="D493" s="420"/>
      <c r="E493" s="420"/>
      <c r="F493" s="420"/>
      <c r="G493" s="420"/>
      <c r="H493" s="420"/>
    </row>
    <row r="494" customFormat="false" ht="15.75" hidden="false" customHeight="false" outlineLevel="0" collapsed="false">
      <c r="B494" s="420"/>
      <c r="C494" s="420"/>
      <c r="D494" s="420"/>
      <c r="E494" s="420"/>
      <c r="F494" s="420"/>
      <c r="G494" s="420"/>
      <c r="H494" s="420"/>
    </row>
    <row r="495" customFormat="false" ht="15.75" hidden="false" customHeight="false" outlineLevel="0" collapsed="false">
      <c r="B495" s="420"/>
      <c r="C495" s="420"/>
      <c r="D495" s="420"/>
      <c r="E495" s="420"/>
      <c r="F495" s="420"/>
      <c r="G495" s="420"/>
      <c r="H495" s="420"/>
    </row>
    <row r="496" customFormat="false" ht="15.75" hidden="false" customHeight="false" outlineLevel="0" collapsed="false">
      <c r="B496" s="420"/>
      <c r="C496" s="420"/>
      <c r="D496" s="420"/>
      <c r="E496" s="420"/>
      <c r="F496" s="420"/>
      <c r="G496" s="420"/>
      <c r="H496" s="420"/>
    </row>
    <row r="497" customFormat="false" ht="15.75" hidden="false" customHeight="false" outlineLevel="0" collapsed="false">
      <c r="B497" s="420"/>
      <c r="C497" s="420"/>
      <c r="D497" s="420"/>
      <c r="E497" s="420"/>
      <c r="F497" s="420"/>
      <c r="G497" s="420"/>
      <c r="H497" s="420"/>
    </row>
    <row r="498" customFormat="false" ht="15.75" hidden="false" customHeight="false" outlineLevel="0" collapsed="false">
      <c r="B498" s="420"/>
      <c r="C498" s="420"/>
      <c r="D498" s="420"/>
      <c r="E498" s="420"/>
      <c r="F498" s="420"/>
      <c r="G498" s="420"/>
      <c r="H498" s="420"/>
    </row>
    <row r="499" customFormat="false" ht="15.75" hidden="false" customHeight="false" outlineLevel="0" collapsed="false">
      <c r="B499" s="420"/>
      <c r="C499" s="420"/>
      <c r="D499" s="420"/>
      <c r="E499" s="420"/>
      <c r="F499" s="420"/>
      <c r="G499" s="420"/>
      <c r="H499" s="420"/>
    </row>
    <row r="500" customFormat="false" ht="15.75" hidden="false" customHeight="false" outlineLevel="0" collapsed="false">
      <c r="B500" s="420"/>
      <c r="C500" s="420"/>
      <c r="D500" s="420"/>
      <c r="E500" s="420"/>
      <c r="F500" s="420"/>
      <c r="G500" s="420"/>
      <c r="H500" s="420"/>
    </row>
    <row r="501" customFormat="false" ht="15.75" hidden="false" customHeight="false" outlineLevel="0" collapsed="false">
      <c r="B501" s="420"/>
      <c r="C501" s="420"/>
      <c r="D501" s="420"/>
      <c r="E501" s="420"/>
      <c r="F501" s="420"/>
      <c r="G501" s="420"/>
      <c r="H501" s="420"/>
    </row>
    <row r="502" customFormat="false" ht="15.75" hidden="false" customHeight="false" outlineLevel="0" collapsed="false">
      <c r="B502" s="420"/>
      <c r="C502" s="420"/>
      <c r="D502" s="420"/>
      <c r="E502" s="420"/>
      <c r="F502" s="420"/>
      <c r="G502" s="420"/>
      <c r="H502" s="420"/>
    </row>
    <row r="503" customFormat="false" ht="15.75" hidden="false" customHeight="false" outlineLevel="0" collapsed="false">
      <c r="B503" s="420"/>
      <c r="C503" s="420"/>
      <c r="D503" s="420"/>
      <c r="E503" s="420"/>
      <c r="F503" s="420"/>
      <c r="G503" s="420"/>
      <c r="H503" s="420"/>
    </row>
    <row r="504" customFormat="false" ht="15.75" hidden="false" customHeight="false" outlineLevel="0" collapsed="false">
      <c r="B504" s="420"/>
      <c r="C504" s="420"/>
      <c r="D504" s="420"/>
      <c r="E504" s="420"/>
      <c r="F504" s="420"/>
      <c r="G504" s="420"/>
      <c r="H504" s="420"/>
    </row>
    <row r="505" customFormat="false" ht="15.75" hidden="false" customHeight="false" outlineLevel="0" collapsed="false">
      <c r="B505" s="420"/>
      <c r="C505" s="420"/>
      <c r="D505" s="420"/>
      <c r="E505" s="420"/>
      <c r="F505" s="420"/>
      <c r="G505" s="420"/>
      <c r="H505" s="420"/>
    </row>
    <row r="506" customFormat="false" ht="15.75" hidden="false" customHeight="false" outlineLevel="0" collapsed="false">
      <c r="B506" s="420"/>
      <c r="C506" s="420"/>
      <c r="D506" s="420"/>
      <c r="E506" s="420"/>
      <c r="F506" s="420"/>
      <c r="G506" s="420"/>
      <c r="H506" s="420"/>
    </row>
    <row r="507" customFormat="false" ht="15.75" hidden="false" customHeight="false" outlineLevel="0" collapsed="false">
      <c r="B507" s="420"/>
      <c r="C507" s="420"/>
      <c r="D507" s="420"/>
      <c r="E507" s="420"/>
      <c r="F507" s="420"/>
      <c r="G507" s="420"/>
      <c r="H507" s="420"/>
    </row>
    <row r="508" customFormat="false" ht="15.75" hidden="false" customHeight="false" outlineLevel="0" collapsed="false">
      <c r="B508" s="420"/>
      <c r="C508" s="420"/>
      <c r="D508" s="420"/>
      <c r="E508" s="420"/>
      <c r="F508" s="420"/>
      <c r="G508" s="420"/>
      <c r="H508" s="420"/>
    </row>
    <row r="509" customFormat="false" ht="15.75" hidden="false" customHeight="false" outlineLevel="0" collapsed="false">
      <c r="B509" s="420"/>
      <c r="C509" s="420"/>
      <c r="D509" s="420"/>
      <c r="E509" s="420"/>
      <c r="F509" s="420"/>
      <c r="G509" s="420"/>
      <c r="H509" s="420"/>
    </row>
    <row r="510" customFormat="false" ht="15.75" hidden="false" customHeight="false" outlineLevel="0" collapsed="false">
      <c r="B510" s="420"/>
      <c r="C510" s="420"/>
      <c r="D510" s="420"/>
      <c r="E510" s="420"/>
      <c r="F510" s="420"/>
      <c r="G510" s="420"/>
      <c r="H510" s="420"/>
    </row>
    <row r="511" customFormat="false" ht="15.75" hidden="false" customHeight="false" outlineLevel="0" collapsed="false">
      <c r="B511" s="420"/>
      <c r="C511" s="420"/>
      <c r="D511" s="420"/>
      <c r="E511" s="420"/>
      <c r="F511" s="420"/>
      <c r="G511" s="420"/>
      <c r="H511" s="420"/>
    </row>
    <row r="512" customFormat="false" ht="15.75" hidden="false" customHeight="false" outlineLevel="0" collapsed="false">
      <c r="B512" s="420"/>
      <c r="C512" s="420"/>
      <c r="D512" s="420"/>
      <c r="E512" s="420"/>
      <c r="F512" s="420"/>
      <c r="G512" s="420"/>
      <c r="H512" s="420"/>
    </row>
    <row r="513" customFormat="false" ht="15.75" hidden="false" customHeight="false" outlineLevel="0" collapsed="false">
      <c r="B513" s="420"/>
      <c r="C513" s="420"/>
      <c r="D513" s="420"/>
      <c r="E513" s="420"/>
      <c r="F513" s="420"/>
      <c r="G513" s="420"/>
      <c r="H513" s="420"/>
    </row>
    <row r="514" customFormat="false" ht="15.75" hidden="false" customHeight="false" outlineLevel="0" collapsed="false">
      <c r="B514" s="420"/>
      <c r="C514" s="420"/>
      <c r="D514" s="420"/>
      <c r="E514" s="420"/>
      <c r="F514" s="420"/>
      <c r="G514" s="420"/>
      <c r="H514" s="420"/>
    </row>
    <row r="515" customFormat="false" ht="15.75" hidden="false" customHeight="false" outlineLevel="0" collapsed="false">
      <c r="B515" s="420"/>
      <c r="C515" s="420"/>
      <c r="D515" s="420"/>
      <c r="E515" s="420"/>
      <c r="F515" s="420"/>
      <c r="G515" s="420"/>
      <c r="H515" s="420"/>
    </row>
    <row r="516" customFormat="false" ht="15.75" hidden="false" customHeight="false" outlineLevel="0" collapsed="false">
      <c r="B516" s="420"/>
      <c r="C516" s="420"/>
      <c r="D516" s="420"/>
      <c r="E516" s="420"/>
      <c r="F516" s="420"/>
      <c r="G516" s="420"/>
      <c r="H516" s="420"/>
    </row>
    <row r="517" customFormat="false" ht="15.75" hidden="false" customHeight="false" outlineLevel="0" collapsed="false">
      <c r="B517" s="420"/>
      <c r="C517" s="420"/>
      <c r="D517" s="420"/>
      <c r="E517" s="420"/>
      <c r="F517" s="420"/>
      <c r="G517" s="420"/>
      <c r="H517" s="4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7485"/>
  <sheetViews>
    <sheetView showFormulas="false" showGridLines="true" showRowColHeaders="true" showZeros="true" rightToLeft="false" tabSelected="true" showOutlineSymbols="true" defaultGridColor="true" view="normal" topLeftCell="A1" colorId="64" zoomScale="119" zoomScaleNormal="119" zoomScalePageLayoutView="100" workbookViewId="0">
      <selection pane="topLeft" activeCell="E20" activeCellId="0" sqref="E20"/>
    </sheetView>
  </sheetViews>
  <sheetFormatPr defaultColWidth="10.5" defaultRowHeight="15.75" zeroHeight="false" outlineLevelRow="0" outlineLevelCol="0"/>
  <cols>
    <col collapsed="false" customWidth="true" hidden="false" outlineLevel="0" max="2" min="2" style="0" width="6.16"/>
    <col collapsed="false" customWidth="true" hidden="false" outlineLevel="0" max="3" min="3" style="0" width="6.5"/>
    <col collapsed="false" customWidth="true" hidden="false" outlineLevel="0" max="4" min="4" style="0" width="15.67"/>
    <col collapsed="false" customWidth="true" hidden="false" outlineLevel="0" max="5" min="5" style="0" width="16.33"/>
    <col collapsed="false" customWidth="true" hidden="false" outlineLevel="0" max="6" min="6" style="0" width="17.5"/>
    <col collapsed="false" customWidth="true" hidden="false" outlineLevel="0" max="7" min="7" style="0" width="18.66"/>
    <col collapsed="false" customWidth="true" hidden="false" outlineLevel="0" max="8" min="8" style="0" width="19.16"/>
    <col collapsed="false" customWidth="true" hidden="false" outlineLevel="0" max="9" min="9" style="0" width="11.16"/>
    <col collapsed="false" customWidth="true" hidden="false" outlineLevel="0" max="10" min="10" style="0" width="12.33"/>
    <col collapsed="false" customWidth="true" hidden="false" outlineLevel="0" max="13" min="13" style="0" width="19.83"/>
    <col collapsed="false" customWidth="true" hidden="false" outlineLevel="0" max="17" min="14" style="0" width="24.17"/>
    <col collapsed="false" customWidth="true" hidden="false" outlineLevel="0" max="18" min="18" style="0" width="17.67"/>
    <col collapsed="false" customWidth="true" hidden="false" outlineLevel="0" max="19" min="19" style="0" width="17"/>
    <col collapsed="false" customWidth="true" hidden="false" outlineLevel="0" max="21" min="20" style="0" width="19.33"/>
    <col collapsed="false" customWidth="true" hidden="false" outlineLevel="0" max="22" min="22" style="0" width="9.66"/>
    <col collapsed="false" customWidth="true" hidden="false" outlineLevel="0" max="26" min="26" style="0" width="15.5"/>
    <col collapsed="false" customWidth="true" hidden="false" outlineLevel="0" max="27" min="27" style="0" width="14"/>
    <col collapsed="false" customWidth="true" hidden="false" outlineLevel="0" max="28" min="28" style="0" width="17.33"/>
  </cols>
  <sheetData>
    <row r="1" customFormat="false" ht="24" hidden="false" customHeight="false" outlineLevel="0" collapsed="false">
      <c r="B1" s="502" t="s">
        <v>1768</v>
      </c>
      <c r="C1" s="503"/>
      <c r="D1" s="503"/>
      <c r="E1" s="503"/>
      <c r="F1" s="503"/>
      <c r="G1" s="503"/>
      <c r="H1" s="503"/>
      <c r="I1" s="503"/>
      <c r="J1" s="503"/>
    </row>
    <row r="2" customFormat="false" ht="24" hidden="false" customHeight="false" outlineLevel="0" collapsed="false">
      <c r="B2" s="502" t="s">
        <v>1769</v>
      </c>
      <c r="C2" s="503"/>
      <c r="D2" s="503"/>
      <c r="E2" s="503"/>
      <c r="F2" s="503"/>
      <c r="G2" s="503"/>
      <c r="H2" s="503"/>
      <c r="I2" s="503"/>
      <c r="J2" s="503"/>
    </row>
    <row r="3" customFormat="false" ht="15.75" hidden="false" customHeight="false" outlineLevel="0" collapsed="false">
      <c r="B3" s="420" t="s">
        <v>1770</v>
      </c>
      <c r="L3" s="420" t="s">
        <v>1771</v>
      </c>
    </row>
    <row r="4" customFormat="false" ht="21" hidden="false" customHeight="false" outlineLevel="0" collapsed="false">
      <c r="B4" s="504" t="s">
        <v>1758</v>
      </c>
      <c r="C4" s="504" t="s">
        <v>431</v>
      </c>
      <c r="D4" s="505" t="s">
        <v>1772</v>
      </c>
      <c r="E4" s="505" t="s">
        <v>1773</v>
      </c>
      <c r="F4" s="505" t="s">
        <v>1774</v>
      </c>
      <c r="G4" s="505" t="s">
        <v>1775</v>
      </c>
      <c r="H4" s="505" t="s">
        <v>500</v>
      </c>
      <c r="I4" s="505" t="s">
        <v>1763</v>
      </c>
      <c r="J4" s="505" t="s">
        <v>501</v>
      </c>
      <c r="L4" s="504" t="s">
        <v>1758</v>
      </c>
      <c r="M4" s="504" t="s">
        <v>431</v>
      </c>
      <c r="N4" s="505" t="s">
        <v>1772</v>
      </c>
      <c r="O4" s="505" t="s">
        <v>1773</v>
      </c>
      <c r="P4" s="505" t="s">
        <v>1776</v>
      </c>
      <c r="Q4" s="505" t="s">
        <v>1777</v>
      </c>
      <c r="R4" s="505" t="s">
        <v>1778</v>
      </c>
      <c r="S4" s="505" t="s">
        <v>1774</v>
      </c>
      <c r="T4" s="505" t="s">
        <v>1775</v>
      </c>
      <c r="U4" s="505" t="s">
        <v>500</v>
      </c>
      <c r="V4" s="505" t="s">
        <v>1763</v>
      </c>
      <c r="W4" s="505" t="s">
        <v>501</v>
      </c>
    </row>
    <row r="5" customFormat="false" ht="15.75" hidden="false" customHeight="false" outlineLevel="0" collapsed="false">
      <c r="B5" s="6" t="n">
        <v>2000</v>
      </c>
      <c r="C5" s="6" t="n">
        <v>1</v>
      </c>
      <c r="D5" s="6" t="n">
        <v>30</v>
      </c>
      <c r="E5" s="6" t="n">
        <v>30</v>
      </c>
      <c r="F5" s="6" t="n">
        <v>50</v>
      </c>
      <c r="G5" s="6" t="n">
        <v>80</v>
      </c>
      <c r="H5" s="6" t="n">
        <v>1500</v>
      </c>
      <c r="I5" s="6" t="n">
        <v>0</v>
      </c>
      <c r="J5" s="6" t="n">
        <v>1</v>
      </c>
      <c r="L5" s="0" t="n">
        <v>1999</v>
      </c>
      <c r="M5" s="0" t="n">
        <v>1</v>
      </c>
      <c r="N5" s="0" t="n">
        <v>6.69960479</v>
      </c>
      <c r="O5" s="0" t="n">
        <v>5.550832117</v>
      </c>
      <c r="P5" s="0" t="n">
        <f aca="false">N5</f>
        <v>6.69960479</v>
      </c>
      <c r="Q5" s="0" t="n">
        <f aca="false">P5</f>
        <v>6.69960479</v>
      </c>
      <c r="R5" s="0" t="n">
        <f aca="false">Q5</f>
        <v>6.69960479</v>
      </c>
      <c r="S5" s="0" t="n">
        <v>96.6</v>
      </c>
      <c r="T5" s="0" t="n">
        <v>100</v>
      </c>
      <c r="U5" s="0" t="n">
        <v>66.7189668655782</v>
      </c>
      <c r="V5" s="0" t="n">
        <v>22.4</v>
      </c>
      <c r="W5" s="0" t="n">
        <v>0.833333333333333</v>
      </c>
    </row>
    <row r="6" customFormat="false" ht="15.75" hidden="false" customHeight="false" outlineLevel="0" collapsed="false">
      <c r="B6" s="6" t="n">
        <v>2000</v>
      </c>
      <c r="C6" s="6" t="n">
        <v>2</v>
      </c>
      <c r="D6" s="6" t="n">
        <v>30</v>
      </c>
      <c r="E6" s="6" t="n">
        <v>30</v>
      </c>
      <c r="F6" s="6" t="n">
        <v>50</v>
      </c>
      <c r="G6" s="6" t="n">
        <v>80</v>
      </c>
      <c r="H6" s="6" t="n">
        <v>1500</v>
      </c>
      <c r="I6" s="6" t="n">
        <v>0</v>
      </c>
      <c r="J6" s="6" t="n">
        <v>1</v>
      </c>
      <c r="L6" s="0" t="n">
        <v>1999</v>
      </c>
      <c r="M6" s="0" t="n">
        <v>2</v>
      </c>
      <c r="N6" s="0" t="n">
        <v>5.12415182</v>
      </c>
      <c r="O6" s="0" t="n">
        <v>7.44741092</v>
      </c>
      <c r="P6" s="0" t="n">
        <f aca="false">N6</f>
        <v>5.12415182</v>
      </c>
      <c r="Q6" s="0" t="n">
        <f aca="false">P6</f>
        <v>5.12415182</v>
      </c>
      <c r="R6" s="0" t="n">
        <f aca="false">Q6</f>
        <v>5.12415182</v>
      </c>
      <c r="S6" s="0" t="n">
        <v>73.5</v>
      </c>
      <c r="T6" s="0" t="n">
        <v>100</v>
      </c>
      <c r="U6" s="0" t="n">
        <v>258.65984435138</v>
      </c>
      <c r="V6" s="0" t="n">
        <v>1.2</v>
      </c>
      <c r="W6" s="0" t="n">
        <v>0.833333333333333</v>
      </c>
    </row>
    <row r="7" customFormat="false" ht="15.75" hidden="false" customHeight="false" outlineLevel="0" collapsed="false">
      <c r="B7" s="6" t="n">
        <v>2000</v>
      </c>
      <c r="C7" s="6" t="n">
        <v>3</v>
      </c>
      <c r="D7" s="6" t="n">
        <v>30</v>
      </c>
      <c r="E7" s="6" t="n">
        <v>30</v>
      </c>
      <c r="F7" s="6" t="n">
        <v>50</v>
      </c>
      <c r="G7" s="6" t="n">
        <v>80</v>
      </c>
      <c r="H7" s="6" t="n">
        <v>1500</v>
      </c>
      <c r="I7" s="6" t="n">
        <v>0.1</v>
      </c>
      <c r="J7" s="6" t="n">
        <v>1</v>
      </c>
      <c r="L7" s="0" t="n">
        <v>1999</v>
      </c>
      <c r="M7" s="0" t="n">
        <v>3</v>
      </c>
      <c r="N7" s="0" t="n">
        <v>5.19917339</v>
      </c>
      <c r="O7" s="0" t="n">
        <v>10.44200903</v>
      </c>
      <c r="P7" s="0" t="n">
        <f aca="false">N7</f>
        <v>5.19917339</v>
      </c>
      <c r="Q7" s="0" t="n">
        <f aca="false">P7</f>
        <v>5.19917339</v>
      </c>
      <c r="R7" s="0" t="n">
        <f aca="false">Q7</f>
        <v>5.19917339</v>
      </c>
      <c r="S7" s="0" t="n">
        <v>62.7</v>
      </c>
      <c r="T7" s="0" t="n">
        <v>83.5</v>
      </c>
      <c r="U7" s="0" t="n">
        <v>309.233453850378</v>
      </c>
      <c r="V7" s="0" t="n">
        <v>0.5</v>
      </c>
      <c r="W7" s="0" t="n">
        <v>0.833333333333333</v>
      </c>
    </row>
    <row r="8" customFormat="false" ht="15.75" hidden="false" customHeight="false" outlineLevel="0" collapsed="false">
      <c r="B8" s="6" t="n">
        <v>2000</v>
      </c>
      <c r="C8" s="6" t="n">
        <v>4</v>
      </c>
      <c r="D8" s="6" t="n">
        <v>30</v>
      </c>
      <c r="E8" s="6" t="n">
        <v>30</v>
      </c>
      <c r="F8" s="6" t="n">
        <v>50</v>
      </c>
      <c r="G8" s="6" t="n">
        <v>80</v>
      </c>
      <c r="H8" s="6" t="n">
        <v>1500</v>
      </c>
      <c r="I8" s="6" t="n">
        <f aca="false">I7+0.1</f>
        <v>0.2</v>
      </c>
      <c r="J8" s="6" t="n">
        <v>1</v>
      </c>
      <c r="L8" s="0" t="n">
        <v>1999</v>
      </c>
      <c r="M8" s="0" t="n">
        <v>4</v>
      </c>
      <c r="N8" s="0" t="n">
        <v>7.44982049</v>
      </c>
      <c r="O8" s="0" t="n">
        <v>18.32778405</v>
      </c>
      <c r="P8" s="0" t="n">
        <f aca="false">AVERAGE(N4:N8)</f>
        <v>6.1181876225</v>
      </c>
      <c r="Q8" s="0" t="n">
        <f aca="false">P8</f>
        <v>6.1181876225</v>
      </c>
      <c r="R8" s="0" t="n">
        <f aca="false">Q8</f>
        <v>6.1181876225</v>
      </c>
      <c r="S8" s="0" t="n">
        <v>51.6</v>
      </c>
      <c r="T8" s="0" t="n">
        <v>90.4</v>
      </c>
      <c r="U8" s="0" t="n">
        <v>722.990342241319</v>
      </c>
      <c r="V8" s="0" t="n">
        <v>0</v>
      </c>
      <c r="W8" s="0" t="n">
        <v>0.833333333333333</v>
      </c>
    </row>
    <row r="9" customFormat="false" ht="15.75" hidden="false" customHeight="false" outlineLevel="0" collapsed="false">
      <c r="B9" s="6" t="n">
        <v>2000</v>
      </c>
      <c r="C9" s="6" t="n">
        <v>5</v>
      </c>
      <c r="D9" s="6" t="n">
        <v>30</v>
      </c>
      <c r="E9" s="6" t="n">
        <v>30</v>
      </c>
      <c r="F9" s="6" t="n">
        <v>50</v>
      </c>
      <c r="G9" s="6" t="n">
        <v>80</v>
      </c>
      <c r="H9" s="6" t="n">
        <v>1500</v>
      </c>
      <c r="I9" s="6" t="n">
        <f aca="false">I8+0.1</f>
        <v>0.3</v>
      </c>
      <c r="J9" s="6" t="n">
        <v>1</v>
      </c>
      <c r="L9" s="0" t="n">
        <v>1999</v>
      </c>
      <c r="M9" s="0" t="n">
        <v>5</v>
      </c>
      <c r="N9" s="0" t="n">
        <v>3.99882827</v>
      </c>
      <c r="O9" s="0" t="n">
        <v>9.343989723</v>
      </c>
      <c r="P9" s="0" t="n">
        <f aca="false">AVERAGE(N5:N9)</f>
        <v>5.694315752</v>
      </c>
      <c r="Q9" s="0" t="n">
        <f aca="false">AVERAGE(P5:P9)</f>
        <v>5.7670866749</v>
      </c>
      <c r="R9" s="0" t="n">
        <f aca="false">AVERAGE(Q5:Q9)</f>
        <v>5.78164085948</v>
      </c>
      <c r="S9" s="0" t="n">
        <v>94.2</v>
      </c>
      <c r="T9" s="0" t="n">
        <v>100</v>
      </c>
      <c r="U9" s="0" t="n">
        <v>132.634576734294</v>
      </c>
      <c r="V9" s="0" t="n">
        <v>0</v>
      </c>
      <c r="W9" s="0" t="n">
        <v>0.833333333333333</v>
      </c>
    </row>
    <row r="10" customFormat="false" ht="15.75" hidden="false" customHeight="false" outlineLevel="0" collapsed="false">
      <c r="B10" s="6" t="n">
        <v>2000</v>
      </c>
      <c r="C10" s="6" t="n">
        <v>6</v>
      </c>
      <c r="D10" s="6" t="n">
        <v>30</v>
      </c>
      <c r="E10" s="6" t="n">
        <v>30</v>
      </c>
      <c r="F10" s="6" t="n">
        <v>50</v>
      </c>
      <c r="G10" s="6" t="n">
        <v>80</v>
      </c>
      <c r="H10" s="6" t="n">
        <v>1500</v>
      </c>
      <c r="I10" s="6" t="n">
        <f aca="false">I9+0.1</f>
        <v>0.4</v>
      </c>
      <c r="J10" s="6" t="n">
        <v>1</v>
      </c>
      <c r="L10" s="0" t="n">
        <v>1999</v>
      </c>
      <c r="M10" s="0" t="n">
        <v>6</v>
      </c>
      <c r="N10" s="0" t="n">
        <v>9.70046759</v>
      </c>
      <c r="O10" s="0" t="n">
        <v>10.44200903</v>
      </c>
      <c r="P10" s="0" t="n">
        <f aca="false">AVERAGE(N6:N10)</f>
        <v>6.294488312</v>
      </c>
      <c r="Q10" s="0" t="n">
        <f aca="false">AVERAGE(P6:P10)</f>
        <v>5.6860633793</v>
      </c>
      <c r="R10" s="0" t="n">
        <f aca="false">AVERAGE(Q6:Q10)</f>
        <v>5.57893257734</v>
      </c>
      <c r="S10" s="0" t="n">
        <v>86.4</v>
      </c>
      <c r="T10" s="0" t="n">
        <v>100</v>
      </c>
      <c r="U10" s="0" t="n">
        <v>238.843829544128</v>
      </c>
      <c r="V10" s="0" t="n">
        <v>0</v>
      </c>
      <c r="W10" s="0" t="n">
        <v>0.833333333333333</v>
      </c>
    </row>
    <row r="11" customFormat="false" ht="15.75" hidden="false" customHeight="false" outlineLevel="0" collapsed="false">
      <c r="B11" s="6" t="n">
        <v>2000</v>
      </c>
      <c r="C11" s="6" t="n">
        <v>7</v>
      </c>
      <c r="D11" s="6" t="n">
        <v>30</v>
      </c>
      <c r="E11" s="6" t="n">
        <v>30</v>
      </c>
      <c r="F11" s="6" t="n">
        <v>50</v>
      </c>
      <c r="G11" s="6" t="n">
        <v>80</v>
      </c>
      <c r="H11" s="6" t="n">
        <v>1500</v>
      </c>
      <c r="I11" s="6" t="n">
        <f aca="false">I10+0.1</f>
        <v>0.5</v>
      </c>
      <c r="J11" s="6" t="n">
        <v>1</v>
      </c>
      <c r="L11" s="0" t="n">
        <v>1999</v>
      </c>
      <c r="M11" s="0" t="n">
        <v>7</v>
      </c>
      <c r="N11" s="0" t="n">
        <v>9.47540288</v>
      </c>
      <c r="O11" s="0" t="n">
        <v>13.43660714</v>
      </c>
      <c r="P11" s="0" t="n">
        <f aca="false">AVERAGE(N7:N11)</f>
        <v>7.164738524</v>
      </c>
      <c r="Q11" s="0" t="n">
        <f aca="false">AVERAGE(P7:P11)</f>
        <v>6.0941807201</v>
      </c>
      <c r="R11" s="0" t="n">
        <f aca="false">AVERAGE(Q7:Q11)</f>
        <v>5.77293835736</v>
      </c>
      <c r="S11" s="0" t="n">
        <v>59.4</v>
      </c>
      <c r="T11" s="0" t="n">
        <v>100</v>
      </c>
      <c r="U11" s="0" t="n">
        <v>698.381659655887</v>
      </c>
      <c r="V11" s="0" t="n">
        <v>0</v>
      </c>
      <c r="W11" s="0" t="n">
        <v>0.833333333333333</v>
      </c>
    </row>
    <row r="12" customFormat="false" ht="15.75" hidden="false" customHeight="false" outlineLevel="0" collapsed="false">
      <c r="B12" s="6" t="n">
        <v>2000</v>
      </c>
      <c r="C12" s="6" t="n">
        <v>8</v>
      </c>
      <c r="D12" s="6" t="n">
        <v>30</v>
      </c>
      <c r="E12" s="6" t="n">
        <v>30</v>
      </c>
      <c r="F12" s="6" t="n">
        <v>50</v>
      </c>
      <c r="G12" s="6" t="n">
        <v>80</v>
      </c>
      <c r="H12" s="6" t="n">
        <v>1500</v>
      </c>
      <c r="I12" s="6" t="n">
        <f aca="false">I11+0.1</f>
        <v>0.6</v>
      </c>
      <c r="J12" s="6" t="n">
        <v>1</v>
      </c>
      <c r="L12" s="0" t="n">
        <v>1999</v>
      </c>
      <c r="M12" s="0" t="n">
        <v>8</v>
      </c>
      <c r="N12" s="0" t="n">
        <v>11.57600684</v>
      </c>
      <c r="O12" s="0" t="n">
        <v>11.4402084</v>
      </c>
      <c r="P12" s="0" t="n">
        <f aca="false">AVERAGE(N8:N12)</f>
        <v>8.440105214</v>
      </c>
      <c r="Q12" s="0" t="n">
        <f aca="false">AVERAGE(P8:P12)</f>
        <v>6.7423670849</v>
      </c>
      <c r="R12" s="0" t="n">
        <f aca="false">AVERAGE(Q8:Q12)</f>
        <v>6.08157709634</v>
      </c>
      <c r="S12" s="0" t="n">
        <v>56.6</v>
      </c>
      <c r="T12" s="0" t="n">
        <v>82.2</v>
      </c>
      <c r="U12" s="0" t="n">
        <v>303.855661257372</v>
      </c>
      <c r="V12" s="0" t="n">
        <v>0</v>
      </c>
      <c r="W12" s="0" t="n">
        <v>0.833333333333333</v>
      </c>
    </row>
    <row r="13" customFormat="false" ht="15.75" hidden="false" customHeight="false" outlineLevel="0" collapsed="false">
      <c r="B13" s="6" t="n">
        <v>2000</v>
      </c>
      <c r="C13" s="6" t="n">
        <v>9</v>
      </c>
      <c r="D13" s="6" t="n">
        <v>30</v>
      </c>
      <c r="E13" s="6" t="n">
        <v>30</v>
      </c>
      <c r="F13" s="6" t="n">
        <v>50</v>
      </c>
      <c r="G13" s="6" t="n">
        <v>80</v>
      </c>
      <c r="H13" s="6" t="n">
        <v>1500</v>
      </c>
      <c r="I13" s="6" t="n">
        <f aca="false">I12+0.1</f>
        <v>0.7</v>
      </c>
      <c r="J13" s="6" t="n">
        <v>1</v>
      </c>
      <c r="L13" s="0" t="n">
        <v>1999</v>
      </c>
      <c r="M13" s="0" t="n">
        <v>9</v>
      </c>
      <c r="N13" s="0" t="n">
        <v>5.27419496</v>
      </c>
      <c r="O13" s="0" t="n">
        <v>9.843089408</v>
      </c>
      <c r="P13" s="0" t="n">
        <f aca="false">AVERAGE(N9:N13)</f>
        <v>8.004980108</v>
      </c>
      <c r="Q13" s="0" t="n">
        <f aca="false">AVERAGE(P9:P13)</f>
        <v>7.119725582</v>
      </c>
      <c r="R13" s="0" t="n">
        <f aca="false">AVERAGE(Q9:Q13)</f>
        <v>6.28188468824</v>
      </c>
      <c r="S13" s="0" t="n">
        <v>48.4</v>
      </c>
      <c r="T13" s="0" t="n">
        <v>81.6</v>
      </c>
      <c r="U13" s="0" t="n">
        <v>487.724116226763</v>
      </c>
      <c r="V13" s="0" t="n">
        <v>0</v>
      </c>
      <c r="W13" s="0" t="n">
        <v>0.833333333333333</v>
      </c>
    </row>
    <row r="14" customFormat="false" ht="15.75" hidden="false" customHeight="false" outlineLevel="0" collapsed="false">
      <c r="B14" s="6" t="n">
        <v>2000</v>
      </c>
      <c r="C14" s="6" t="n">
        <v>10</v>
      </c>
      <c r="D14" s="6" t="n">
        <v>30</v>
      </c>
      <c r="E14" s="6" t="n">
        <v>30</v>
      </c>
      <c r="F14" s="6" t="n">
        <v>50</v>
      </c>
      <c r="G14" s="6" t="n">
        <v>80</v>
      </c>
      <c r="H14" s="6" t="n">
        <v>1500</v>
      </c>
      <c r="I14" s="6" t="n">
        <f aca="false">I13+0.1</f>
        <v>0.8</v>
      </c>
      <c r="J14" s="6" t="n">
        <v>1</v>
      </c>
      <c r="L14" s="0" t="n">
        <v>1999</v>
      </c>
      <c r="M14" s="0" t="n">
        <v>10</v>
      </c>
      <c r="N14" s="0" t="n">
        <v>3.62372042</v>
      </c>
      <c r="O14" s="0" t="n">
        <v>1.857494448</v>
      </c>
      <c r="P14" s="0" t="n">
        <f aca="false">AVERAGE(N10:N14)</f>
        <v>7.929958538</v>
      </c>
      <c r="Q14" s="0" t="n">
        <f aca="false">AVERAGE(P10:P14)</f>
        <v>7.5668541392</v>
      </c>
      <c r="R14" s="0" t="n">
        <f aca="false">AVERAGE(Q10:Q14)</f>
        <v>6.6418381811</v>
      </c>
      <c r="S14" s="0" t="n">
        <v>76</v>
      </c>
      <c r="T14" s="0" t="n">
        <v>100</v>
      </c>
      <c r="U14" s="0" t="n">
        <v>47.6611231465873</v>
      </c>
      <c r="V14" s="0" t="n">
        <v>31.5</v>
      </c>
      <c r="W14" s="0" t="n">
        <v>0.833333333333333</v>
      </c>
    </row>
    <row r="15" customFormat="false" ht="15.75" hidden="false" customHeight="false" outlineLevel="0" collapsed="false">
      <c r="B15" s="6" t="n">
        <v>2000</v>
      </c>
      <c r="C15" s="6" t="n">
        <v>11</v>
      </c>
      <c r="D15" s="6" t="n">
        <v>30</v>
      </c>
      <c r="E15" s="6" t="n">
        <v>30</v>
      </c>
      <c r="F15" s="6" t="n">
        <v>50</v>
      </c>
      <c r="G15" s="6" t="n">
        <v>80</v>
      </c>
      <c r="H15" s="6" t="n">
        <v>1500</v>
      </c>
      <c r="I15" s="6" t="n">
        <f aca="false">I14+0.1</f>
        <v>0.9</v>
      </c>
      <c r="J15" s="6" t="n">
        <v>1</v>
      </c>
      <c r="L15" s="0" t="n">
        <v>1999</v>
      </c>
      <c r="M15" s="0" t="n">
        <v>11</v>
      </c>
      <c r="N15" s="0" t="n">
        <v>3.77376356</v>
      </c>
      <c r="O15" s="0" t="n">
        <v>2.156954259</v>
      </c>
      <c r="P15" s="0" t="n">
        <f aca="false">AVERAGE(N11:N15)</f>
        <v>6.744617732</v>
      </c>
      <c r="Q15" s="0" t="n">
        <f aca="false">AVERAGE(P11:P15)</f>
        <v>7.6568800232</v>
      </c>
      <c r="R15" s="0" t="n">
        <f aca="false">AVERAGE(Q11:Q15)</f>
        <v>7.03600150988</v>
      </c>
      <c r="S15" s="0" t="n">
        <v>63.8</v>
      </c>
      <c r="T15" s="0" t="n">
        <v>78.6</v>
      </c>
      <c r="U15" s="0" t="n">
        <v>590.848052944408</v>
      </c>
      <c r="V15" s="0" t="n">
        <v>0</v>
      </c>
      <c r="W15" s="0" t="n">
        <v>0.833333333333333</v>
      </c>
    </row>
    <row r="7306" customFormat="false" ht="15.75" hidden="false" customHeight="false" outlineLevel="0" collapsed="false">
      <c r="B7306" s="0" t="n">
        <v>2019</v>
      </c>
      <c r="C7306" s="0" t="n">
        <v>1</v>
      </c>
      <c r="D7306" s="0" t="n">
        <v>0.13</v>
      </c>
      <c r="E7306" s="0" t="n">
        <v>12.38</v>
      </c>
      <c r="F7306" s="0" t="n">
        <v>34.35</v>
      </c>
      <c r="G7306" s="0" t="n">
        <v>80.39375</v>
      </c>
      <c r="H7306" s="0" t="n">
        <v>882.197634966782</v>
      </c>
      <c r="I7306" s="0" t="n">
        <v>0.2</v>
      </c>
      <c r="J7306" s="0" t="n">
        <v>0.833333333333333</v>
      </c>
    </row>
    <row r="7307" customFormat="false" ht="15.75" hidden="false" customHeight="false" outlineLevel="0" collapsed="false">
      <c r="B7307" s="0" t="n">
        <v>2019</v>
      </c>
      <c r="C7307" s="0" t="n">
        <v>2</v>
      </c>
      <c r="D7307" s="0" t="n">
        <v>-5.78</v>
      </c>
      <c r="E7307" s="0" t="n">
        <v>11.25</v>
      </c>
      <c r="F7307" s="0" t="n">
        <v>27.01</v>
      </c>
      <c r="G7307" s="0" t="n">
        <v>100</v>
      </c>
      <c r="H7307" s="0" t="n">
        <v>883.228736809589</v>
      </c>
      <c r="I7307" s="0" t="n">
        <v>0</v>
      </c>
      <c r="J7307" s="0" t="n">
        <v>0.833333333333333</v>
      </c>
    </row>
    <row r="7308" customFormat="false" ht="15.75" hidden="false" customHeight="false" outlineLevel="0" collapsed="false">
      <c r="B7308" s="0" t="n">
        <v>2019</v>
      </c>
      <c r="C7308" s="0" t="n">
        <v>3</v>
      </c>
      <c r="D7308" s="0" t="n">
        <v>-5.8</v>
      </c>
      <c r="E7308" s="0" t="n">
        <v>7.38</v>
      </c>
      <c r="F7308" s="0" t="n">
        <v>45.95</v>
      </c>
      <c r="G7308" s="0" t="n">
        <v>97.65375</v>
      </c>
      <c r="H7308" s="0" t="n">
        <v>722.797279550204</v>
      </c>
      <c r="I7308" s="0" t="n">
        <v>0</v>
      </c>
      <c r="J7308" s="0" t="n">
        <v>0.833333333333333</v>
      </c>
    </row>
    <row r="7309" customFormat="false" ht="15.75" hidden="false" customHeight="false" outlineLevel="0" collapsed="false">
      <c r="B7309" s="0" t="n">
        <v>2019</v>
      </c>
      <c r="C7309" s="0" t="n">
        <v>4</v>
      </c>
      <c r="D7309" s="0" t="n">
        <v>-2.08</v>
      </c>
      <c r="E7309" s="0" t="n">
        <v>11.63</v>
      </c>
      <c r="F7309" s="0" t="n">
        <v>38.64</v>
      </c>
      <c r="G7309" s="0" t="n">
        <v>74.05875</v>
      </c>
      <c r="H7309" s="0" t="n">
        <v>870.633974402321</v>
      </c>
      <c r="I7309" s="0" t="n">
        <v>0</v>
      </c>
      <c r="J7309" s="0" t="n">
        <v>0.833333333333333</v>
      </c>
    </row>
    <row r="7310" customFormat="false" ht="15.75" hidden="false" customHeight="false" outlineLevel="0" collapsed="false">
      <c r="B7310" s="0" t="n">
        <v>2019</v>
      </c>
      <c r="C7310" s="0" t="n">
        <v>5</v>
      </c>
      <c r="D7310" s="0" t="n">
        <v>2.94</v>
      </c>
      <c r="E7310" s="0" t="n">
        <v>10.2</v>
      </c>
      <c r="F7310" s="0" t="n">
        <v>41.1</v>
      </c>
      <c r="G7310" s="0" t="n">
        <v>60.29916666</v>
      </c>
      <c r="H7310" s="0" t="n">
        <v>884.597716923903</v>
      </c>
      <c r="I7310" s="0" t="n">
        <v>0</v>
      </c>
      <c r="J7310" s="0" t="n">
        <v>0.833333333333333</v>
      </c>
    </row>
    <row r="7311" customFormat="false" ht="15.75" hidden="false" customHeight="false" outlineLevel="0" collapsed="false">
      <c r="B7311" s="0" t="n">
        <v>2019</v>
      </c>
      <c r="C7311" s="0" t="n">
        <v>6</v>
      </c>
      <c r="D7311" s="0" t="n">
        <v>-0.61</v>
      </c>
      <c r="E7311" s="0" t="n">
        <v>7.37</v>
      </c>
      <c r="F7311" s="0" t="n">
        <v>49.63</v>
      </c>
      <c r="G7311" s="0" t="n">
        <v>69.29583334</v>
      </c>
      <c r="H7311" s="0" t="n">
        <v>869.822602069087</v>
      </c>
      <c r="I7311" s="0" t="n">
        <v>0</v>
      </c>
      <c r="J7311" s="0" t="n">
        <v>0.833333333333333</v>
      </c>
    </row>
    <row r="7312" customFormat="false" ht="15.75" hidden="false" customHeight="false" outlineLevel="0" collapsed="false">
      <c r="B7312" s="0" t="n">
        <v>2019</v>
      </c>
      <c r="C7312" s="0" t="n">
        <v>7</v>
      </c>
      <c r="D7312" s="0" t="n">
        <v>3.08</v>
      </c>
      <c r="E7312" s="0" t="n">
        <v>7.67</v>
      </c>
      <c r="F7312" s="0" t="n">
        <v>58.02</v>
      </c>
      <c r="G7312" s="0" t="n">
        <v>74.09</v>
      </c>
      <c r="H7312" s="0" t="n">
        <v>378.660494391452</v>
      </c>
      <c r="I7312" s="0" t="n">
        <v>0</v>
      </c>
      <c r="J7312" s="0" t="n">
        <v>0.833333333333333</v>
      </c>
    </row>
    <row r="7313" customFormat="false" ht="15.75" hidden="false" customHeight="false" outlineLevel="0" collapsed="false">
      <c r="B7313" s="0" t="n">
        <v>2019</v>
      </c>
      <c r="C7313" s="0" t="n">
        <v>8</v>
      </c>
      <c r="D7313" s="0" t="n">
        <v>3.79</v>
      </c>
      <c r="E7313" s="0" t="n">
        <v>7.85</v>
      </c>
      <c r="F7313" s="0" t="n">
        <v>38.1</v>
      </c>
      <c r="G7313" s="0" t="n">
        <v>69.12</v>
      </c>
      <c r="H7313" s="0" t="n">
        <v>780.99886977832</v>
      </c>
      <c r="I7313" s="0" t="n">
        <v>0</v>
      </c>
      <c r="J7313" s="0" t="n">
        <v>0.833333333333333</v>
      </c>
    </row>
    <row r="7314" customFormat="false" ht="15.75" hidden="false" customHeight="false" outlineLevel="0" collapsed="false">
      <c r="B7314" s="0" t="n">
        <v>2019</v>
      </c>
      <c r="C7314" s="0" t="n">
        <v>9</v>
      </c>
      <c r="D7314" s="0" t="n">
        <v>0.38</v>
      </c>
      <c r="E7314" s="0" t="n">
        <v>7.98</v>
      </c>
      <c r="F7314" s="0" t="n">
        <v>36.97</v>
      </c>
      <c r="G7314" s="0" t="n">
        <v>58.495</v>
      </c>
      <c r="H7314" s="0" t="n">
        <v>888.659136020525</v>
      </c>
      <c r="I7314" s="0" t="n">
        <v>0</v>
      </c>
      <c r="J7314" s="0" t="n">
        <v>0.833333333333333</v>
      </c>
    </row>
    <row r="7315" customFormat="false" ht="15.75" hidden="false" customHeight="false" outlineLevel="0" collapsed="false">
      <c r="B7315" s="0" t="n">
        <v>2019</v>
      </c>
      <c r="C7315" s="0" t="n">
        <v>10</v>
      </c>
      <c r="D7315" s="0" t="n">
        <v>-4.07</v>
      </c>
      <c r="E7315" s="0" t="n">
        <v>6.33</v>
      </c>
      <c r="F7315" s="0" t="n">
        <v>33.37</v>
      </c>
      <c r="G7315" s="0" t="n">
        <v>64.38666666</v>
      </c>
      <c r="H7315" s="0" t="n">
        <v>823.435880450192</v>
      </c>
      <c r="I7315" s="0" t="n">
        <v>0</v>
      </c>
      <c r="J7315" s="0" t="n">
        <v>0.833333333333333</v>
      </c>
    </row>
    <row r="7316" customFormat="false" ht="15.75" hidden="false" customHeight="false" outlineLevel="0" collapsed="false">
      <c r="B7316" s="0" t="n">
        <v>2019</v>
      </c>
      <c r="C7316" s="0" t="n">
        <v>11</v>
      </c>
      <c r="D7316" s="0" t="n">
        <v>4.13</v>
      </c>
      <c r="E7316" s="0" t="n">
        <v>10.21</v>
      </c>
      <c r="F7316" s="0" t="n">
        <v>47.68</v>
      </c>
      <c r="G7316" s="0" t="n">
        <v>72.6425</v>
      </c>
      <c r="H7316" s="0" t="n">
        <v>896.609200048235</v>
      </c>
      <c r="I7316" s="0" t="n">
        <v>0</v>
      </c>
      <c r="J7316" s="0" t="n">
        <v>0.833333333333333</v>
      </c>
    </row>
    <row r="7317" customFormat="false" ht="15.75" hidden="false" customHeight="false" outlineLevel="0" collapsed="false">
      <c r="B7317" s="0" t="n">
        <v>2019</v>
      </c>
      <c r="C7317" s="0" t="n">
        <v>12</v>
      </c>
      <c r="D7317" s="0" t="n">
        <v>6.59</v>
      </c>
      <c r="E7317" s="0" t="n">
        <v>11.99</v>
      </c>
      <c r="F7317" s="0" t="n">
        <v>60.57</v>
      </c>
      <c r="G7317" s="0" t="n">
        <v>75.67833334</v>
      </c>
      <c r="H7317" s="0" t="n">
        <v>745.729712755451</v>
      </c>
      <c r="I7317" s="0" t="n">
        <v>0</v>
      </c>
      <c r="J7317" s="0" t="n">
        <v>0.833333333333333</v>
      </c>
    </row>
    <row r="7318" customFormat="false" ht="15.75" hidden="false" customHeight="false" outlineLevel="0" collapsed="false">
      <c r="B7318" s="0" t="n">
        <v>2019</v>
      </c>
      <c r="C7318" s="0" t="n">
        <v>13</v>
      </c>
      <c r="D7318" s="0" t="n">
        <v>6.9</v>
      </c>
      <c r="E7318" s="0" t="n">
        <v>12.27</v>
      </c>
      <c r="F7318" s="0" t="n">
        <v>50.74</v>
      </c>
      <c r="G7318" s="0" t="n">
        <v>68.04958334</v>
      </c>
      <c r="H7318" s="0" t="n">
        <v>700.541628480234</v>
      </c>
      <c r="I7318" s="0" t="n">
        <v>0</v>
      </c>
      <c r="J7318" s="0" t="n">
        <v>0.833333333333333</v>
      </c>
    </row>
    <row r="7319" customFormat="false" ht="15.75" hidden="false" customHeight="false" outlineLevel="0" collapsed="false">
      <c r="B7319" s="0" t="n">
        <v>2019</v>
      </c>
      <c r="C7319" s="0" t="n">
        <v>14</v>
      </c>
      <c r="D7319" s="0" t="n">
        <v>-0.39</v>
      </c>
      <c r="E7319" s="0" t="n">
        <v>13.7</v>
      </c>
      <c r="F7319" s="0" t="n">
        <v>38.72</v>
      </c>
      <c r="G7319" s="0" t="n">
        <v>85.57833334</v>
      </c>
      <c r="H7319" s="0" t="n">
        <v>934.130637681352</v>
      </c>
      <c r="I7319" s="0" t="n">
        <v>0</v>
      </c>
      <c r="J7319" s="0" t="n">
        <v>0.833333333333333</v>
      </c>
    </row>
    <row r="7320" customFormat="false" ht="15.75" hidden="false" customHeight="false" outlineLevel="0" collapsed="false">
      <c r="B7320" s="0" t="n">
        <v>2019</v>
      </c>
      <c r="C7320" s="0" t="n">
        <v>15</v>
      </c>
      <c r="D7320" s="0" t="n">
        <v>-1.8</v>
      </c>
      <c r="E7320" s="0" t="n">
        <v>10.3</v>
      </c>
      <c r="F7320" s="0" t="n">
        <v>61.99</v>
      </c>
      <c r="G7320" s="0" t="n">
        <v>100</v>
      </c>
      <c r="H7320" s="0" t="n">
        <v>618.191187686686</v>
      </c>
      <c r="I7320" s="0" t="n">
        <v>0</v>
      </c>
      <c r="J7320" s="0" t="n">
        <v>0.833333333333333</v>
      </c>
    </row>
    <row r="7321" customFormat="false" ht="15.75" hidden="false" customHeight="false" outlineLevel="0" collapsed="false">
      <c r="B7321" s="0" t="n">
        <v>2019</v>
      </c>
      <c r="C7321" s="0" t="n">
        <v>16</v>
      </c>
      <c r="D7321" s="0" t="n">
        <v>1.28</v>
      </c>
      <c r="E7321" s="0" t="n">
        <v>11</v>
      </c>
      <c r="F7321" s="0" t="n">
        <v>47.45</v>
      </c>
      <c r="G7321" s="0" t="n">
        <v>100</v>
      </c>
      <c r="H7321" s="0" t="n">
        <v>610.009965882509</v>
      </c>
      <c r="I7321" s="0" t="n">
        <v>0</v>
      </c>
      <c r="J7321" s="0" t="n">
        <v>0.833333333333333</v>
      </c>
    </row>
    <row r="7322" customFormat="false" ht="15.75" hidden="false" customHeight="false" outlineLevel="0" collapsed="false">
      <c r="B7322" s="0" t="n">
        <v>2019</v>
      </c>
      <c r="C7322" s="0" t="n">
        <v>17</v>
      </c>
      <c r="D7322" s="0" t="n">
        <v>-1.12</v>
      </c>
      <c r="E7322" s="0" t="n">
        <v>8.37</v>
      </c>
      <c r="F7322" s="0" t="n">
        <v>47.1</v>
      </c>
      <c r="G7322" s="0" t="n">
        <v>80.17458334</v>
      </c>
      <c r="H7322" s="0" t="n">
        <v>638.221632982974</v>
      </c>
      <c r="I7322" s="0" t="n">
        <v>0</v>
      </c>
      <c r="J7322" s="0" t="n">
        <v>0.833333333333333</v>
      </c>
    </row>
    <row r="7323" customFormat="false" ht="15.75" hidden="false" customHeight="false" outlineLevel="0" collapsed="false">
      <c r="B7323" s="0" t="n">
        <v>2019</v>
      </c>
      <c r="C7323" s="0" t="n">
        <v>18</v>
      </c>
      <c r="D7323" s="0" t="n">
        <v>-3.62</v>
      </c>
      <c r="E7323" s="0" t="n">
        <v>8.02</v>
      </c>
      <c r="F7323" s="0" t="n">
        <v>58.73</v>
      </c>
      <c r="G7323" s="0" t="n">
        <v>98.18916666</v>
      </c>
      <c r="H7323" s="0" t="n">
        <v>652.323263851852</v>
      </c>
      <c r="I7323" s="0" t="n">
        <v>0</v>
      </c>
      <c r="J7323" s="0" t="n">
        <v>0.833333333333333</v>
      </c>
    </row>
    <row r="7324" customFormat="false" ht="15.75" hidden="false" customHeight="false" outlineLevel="0" collapsed="false">
      <c r="B7324" s="0" t="n">
        <v>2019</v>
      </c>
      <c r="C7324" s="0" t="n">
        <v>19</v>
      </c>
      <c r="D7324" s="0" t="n">
        <v>0.38</v>
      </c>
      <c r="E7324" s="0" t="n">
        <v>5.93</v>
      </c>
      <c r="F7324" s="0" t="n">
        <v>72.27</v>
      </c>
      <c r="G7324" s="0" t="n">
        <v>100</v>
      </c>
      <c r="H7324" s="0" t="n">
        <v>187.323044136274</v>
      </c>
      <c r="I7324" s="0" t="n">
        <v>0.6</v>
      </c>
      <c r="J7324" s="0" t="n">
        <v>0.833333333333333</v>
      </c>
    </row>
    <row r="7325" customFormat="false" ht="15.75" hidden="false" customHeight="false" outlineLevel="0" collapsed="false">
      <c r="B7325" s="0" t="n">
        <v>2019</v>
      </c>
      <c r="C7325" s="0" t="n">
        <v>20</v>
      </c>
      <c r="D7325" s="0" t="n">
        <v>-1.2</v>
      </c>
      <c r="E7325" s="0" t="n">
        <v>10.37</v>
      </c>
      <c r="F7325" s="0" t="n">
        <v>46.73</v>
      </c>
      <c r="G7325" s="0" t="n">
        <v>97.73833334</v>
      </c>
      <c r="H7325" s="0" t="n">
        <v>931.517883858852</v>
      </c>
      <c r="I7325" s="0" t="n">
        <v>0.2</v>
      </c>
      <c r="J7325" s="0" t="n">
        <v>0.833333333333333</v>
      </c>
    </row>
    <row r="7326" customFormat="false" ht="15.75" hidden="false" customHeight="false" outlineLevel="0" collapsed="false">
      <c r="B7326" s="0" t="n">
        <v>2019</v>
      </c>
      <c r="C7326" s="0" t="n">
        <v>21</v>
      </c>
      <c r="D7326" s="0" t="n">
        <v>-0.31</v>
      </c>
      <c r="E7326" s="0" t="n">
        <v>8.97</v>
      </c>
      <c r="F7326" s="0" t="n">
        <v>30.15</v>
      </c>
      <c r="G7326" s="0" t="n">
        <v>82.27</v>
      </c>
      <c r="H7326" s="0" t="n">
        <v>869.257988838375</v>
      </c>
      <c r="I7326" s="0" t="n">
        <v>0</v>
      </c>
      <c r="J7326" s="0" t="n">
        <v>0.833333333333333</v>
      </c>
    </row>
    <row r="7327" customFormat="false" ht="15.75" hidden="false" customHeight="false" outlineLevel="0" collapsed="false">
      <c r="B7327" s="0" t="n">
        <v>2019</v>
      </c>
      <c r="C7327" s="0" t="n">
        <v>22</v>
      </c>
      <c r="D7327" s="0" t="n">
        <v>0.84</v>
      </c>
      <c r="E7327" s="0" t="n">
        <v>8.17</v>
      </c>
      <c r="F7327" s="0" t="n">
        <v>56.45</v>
      </c>
      <c r="G7327" s="0" t="n">
        <v>86.65833334</v>
      </c>
      <c r="H7327" s="0" t="n">
        <v>570.186832654504</v>
      </c>
      <c r="I7327" s="0" t="n">
        <v>1.8</v>
      </c>
      <c r="J7327" s="0" t="n">
        <v>0.833333333333333</v>
      </c>
    </row>
    <row r="7328" customFormat="false" ht="15.75" hidden="false" customHeight="false" outlineLevel="0" collapsed="false">
      <c r="B7328" s="0" t="n">
        <v>2019</v>
      </c>
      <c r="C7328" s="0" t="n">
        <v>23</v>
      </c>
      <c r="D7328" s="0" t="n">
        <v>0.75</v>
      </c>
      <c r="E7328" s="0" t="n">
        <v>5.39</v>
      </c>
      <c r="F7328" s="0" t="n">
        <v>43.61</v>
      </c>
      <c r="G7328" s="0" t="n">
        <v>58.38708334</v>
      </c>
      <c r="H7328" s="0" t="n">
        <v>1014.62080263341</v>
      </c>
      <c r="I7328" s="0" t="n">
        <v>0</v>
      </c>
      <c r="J7328" s="0" t="n">
        <v>0.833333333333333</v>
      </c>
    </row>
    <row r="7329" customFormat="false" ht="15.75" hidden="false" customHeight="false" outlineLevel="0" collapsed="false">
      <c r="B7329" s="0" t="n">
        <v>2019</v>
      </c>
      <c r="C7329" s="0" t="n">
        <v>24</v>
      </c>
      <c r="D7329" s="0" t="n">
        <v>-0.38</v>
      </c>
      <c r="E7329" s="0" t="n">
        <v>8.66</v>
      </c>
      <c r="F7329" s="0" t="n">
        <v>45.86</v>
      </c>
      <c r="G7329" s="0" t="n">
        <v>57.0925</v>
      </c>
      <c r="H7329" s="0" t="n">
        <v>994.309205949491</v>
      </c>
      <c r="I7329" s="0" t="n">
        <v>0</v>
      </c>
      <c r="J7329" s="0" t="n">
        <v>0.833333333333333</v>
      </c>
    </row>
    <row r="7330" customFormat="false" ht="15.75" hidden="false" customHeight="false" outlineLevel="0" collapsed="false">
      <c r="B7330" s="0" t="n">
        <v>2019</v>
      </c>
      <c r="C7330" s="0" t="n">
        <v>25</v>
      </c>
      <c r="D7330" s="0" t="n">
        <v>5.33</v>
      </c>
      <c r="E7330" s="0" t="n">
        <v>12.56</v>
      </c>
      <c r="F7330" s="0" t="n">
        <v>51.8</v>
      </c>
      <c r="G7330" s="0" t="n">
        <v>79.11541666</v>
      </c>
      <c r="H7330" s="0" t="n">
        <v>1032.45138991068</v>
      </c>
      <c r="I7330" s="0" t="n">
        <v>0</v>
      </c>
      <c r="J7330" s="0" t="n">
        <v>0.833333333333333</v>
      </c>
    </row>
    <row r="7331" customFormat="false" ht="15.75" hidden="false" customHeight="false" outlineLevel="0" collapsed="false">
      <c r="B7331" s="0" t="n">
        <v>2019</v>
      </c>
      <c r="C7331" s="0" t="n">
        <v>26</v>
      </c>
      <c r="D7331" s="0" t="n">
        <v>3.94</v>
      </c>
      <c r="E7331" s="0" t="n">
        <v>10.66</v>
      </c>
      <c r="F7331" s="0" t="n">
        <v>56.96</v>
      </c>
      <c r="G7331" s="0" t="n">
        <v>79.24666666</v>
      </c>
      <c r="H7331" s="0" t="n">
        <v>955.927613504987</v>
      </c>
      <c r="I7331" s="0" t="n">
        <v>1.8</v>
      </c>
      <c r="J7331" s="0" t="n">
        <v>0.833333333333333</v>
      </c>
    </row>
    <row r="7332" customFormat="false" ht="15.75" hidden="false" customHeight="false" outlineLevel="0" collapsed="false">
      <c r="B7332" s="0" t="n">
        <v>2019</v>
      </c>
      <c r="C7332" s="0" t="n">
        <v>27</v>
      </c>
      <c r="D7332" s="0" t="n">
        <v>0.84</v>
      </c>
      <c r="E7332" s="0" t="n">
        <v>7.76</v>
      </c>
      <c r="F7332" s="0" t="n">
        <v>52.04</v>
      </c>
      <c r="G7332" s="0" t="n">
        <v>93.66083334</v>
      </c>
      <c r="H7332" s="0" t="n">
        <v>560.020940316111</v>
      </c>
      <c r="I7332" s="0" t="n">
        <v>1.6</v>
      </c>
      <c r="J7332" s="0" t="n">
        <v>0.833333333333333</v>
      </c>
    </row>
    <row r="7333" customFormat="false" ht="15.75" hidden="false" customHeight="false" outlineLevel="0" collapsed="false">
      <c r="B7333" s="0" t="n">
        <v>2019</v>
      </c>
      <c r="C7333" s="0" t="n">
        <v>28</v>
      </c>
      <c r="D7333" s="0" t="n">
        <v>0.67</v>
      </c>
      <c r="E7333" s="0" t="n">
        <v>6.61</v>
      </c>
      <c r="F7333" s="0" t="n">
        <v>51.91</v>
      </c>
      <c r="G7333" s="0" t="n">
        <v>89.89458334</v>
      </c>
      <c r="H7333" s="0" t="n">
        <v>629.034681218814</v>
      </c>
      <c r="I7333" s="0" t="n">
        <v>9.8</v>
      </c>
      <c r="J7333" s="0" t="n">
        <v>0.833333333333333</v>
      </c>
    </row>
    <row r="7334" customFormat="false" ht="15.75" hidden="false" customHeight="false" outlineLevel="0" collapsed="false">
      <c r="B7334" s="0" t="n">
        <v>2019</v>
      </c>
      <c r="C7334" s="0" t="n">
        <v>29</v>
      </c>
      <c r="D7334" s="0" t="n">
        <v>-0.31</v>
      </c>
      <c r="E7334" s="0" t="n">
        <v>7.57</v>
      </c>
      <c r="F7334" s="0" t="n">
        <v>56.11</v>
      </c>
      <c r="G7334" s="0" t="n">
        <v>92.88208334</v>
      </c>
      <c r="H7334" s="0" t="n">
        <v>934.744061029197</v>
      </c>
      <c r="I7334" s="0" t="n">
        <v>0.2</v>
      </c>
      <c r="J7334" s="0" t="n">
        <v>0.833333333333333</v>
      </c>
    </row>
    <row r="7335" customFormat="false" ht="15.75" hidden="false" customHeight="false" outlineLevel="0" collapsed="false">
      <c r="B7335" s="0" t="n">
        <v>2019</v>
      </c>
      <c r="C7335" s="0" t="n">
        <v>30</v>
      </c>
      <c r="D7335" s="0" t="n">
        <v>-1.19</v>
      </c>
      <c r="E7335" s="0" t="n">
        <v>6.91</v>
      </c>
      <c r="F7335" s="0" t="n">
        <v>82.9</v>
      </c>
      <c r="G7335" s="0" t="n">
        <v>100</v>
      </c>
      <c r="H7335" s="0" t="n">
        <v>360.139081012013</v>
      </c>
      <c r="I7335" s="0" t="n">
        <v>7.8</v>
      </c>
      <c r="J7335" s="0" t="n">
        <v>0.833333333333333</v>
      </c>
    </row>
    <row r="7336" customFormat="false" ht="15.75" hidden="false" customHeight="false" outlineLevel="0" collapsed="false">
      <c r="B7336" s="0" t="n">
        <v>2019</v>
      </c>
      <c r="C7336" s="0" t="n">
        <v>31</v>
      </c>
      <c r="D7336" s="0" t="n">
        <v>4.91</v>
      </c>
      <c r="E7336" s="0" t="n">
        <v>9</v>
      </c>
      <c r="F7336" s="0" t="n">
        <v>94</v>
      </c>
      <c r="G7336" s="0" t="n">
        <v>100</v>
      </c>
      <c r="H7336" s="0" t="n">
        <v>218.06613250828</v>
      </c>
      <c r="I7336" s="0" t="n">
        <v>6.2</v>
      </c>
      <c r="J7336" s="0" t="n">
        <v>0.833333333333333</v>
      </c>
    </row>
    <row r="7337" customFormat="false" ht="15.75" hidden="false" customHeight="false" outlineLevel="0" collapsed="false">
      <c r="B7337" s="0" t="n">
        <v>2019</v>
      </c>
      <c r="C7337" s="0" t="n">
        <v>32</v>
      </c>
      <c r="D7337" s="0" t="n">
        <v>3.84</v>
      </c>
      <c r="E7337" s="0" t="n">
        <v>6.46</v>
      </c>
      <c r="F7337" s="0" t="n">
        <v>65.81</v>
      </c>
      <c r="G7337" s="0" t="n">
        <v>100</v>
      </c>
      <c r="H7337" s="0" t="n">
        <v>130.91291981947</v>
      </c>
      <c r="I7337" s="0" t="n">
        <v>14</v>
      </c>
      <c r="J7337" s="0" t="n">
        <v>0.833333333333333</v>
      </c>
    </row>
    <row r="7338" customFormat="false" ht="15.75" hidden="false" customHeight="false" outlineLevel="0" collapsed="false">
      <c r="B7338" s="0" t="n">
        <v>2019</v>
      </c>
      <c r="C7338" s="0" t="n">
        <v>33</v>
      </c>
      <c r="D7338" s="0" t="n">
        <v>2.91</v>
      </c>
      <c r="E7338" s="0" t="n">
        <v>5.83</v>
      </c>
      <c r="F7338" s="0" t="n">
        <v>49.87</v>
      </c>
      <c r="G7338" s="0" t="n">
        <v>68.97125</v>
      </c>
      <c r="H7338" s="0" t="n">
        <v>448.710792076652</v>
      </c>
      <c r="I7338" s="0" t="n">
        <v>0</v>
      </c>
      <c r="J7338" s="0" t="n">
        <v>0.833333333333333</v>
      </c>
    </row>
    <row r="7339" customFormat="false" ht="15.75" hidden="false" customHeight="false" outlineLevel="0" collapsed="false">
      <c r="B7339" s="0" t="n">
        <v>2019</v>
      </c>
      <c r="C7339" s="0" t="n">
        <v>34</v>
      </c>
      <c r="D7339" s="0" t="n">
        <v>1.02</v>
      </c>
      <c r="E7339" s="0" t="n">
        <v>9.85</v>
      </c>
      <c r="F7339" s="0" t="n">
        <v>36.83</v>
      </c>
      <c r="G7339" s="0" t="n">
        <v>63.0175</v>
      </c>
      <c r="H7339" s="0" t="n">
        <v>1091.88608320543</v>
      </c>
      <c r="I7339" s="0" t="n">
        <v>0</v>
      </c>
      <c r="J7339" s="0" t="n">
        <v>0.833333333333333</v>
      </c>
    </row>
    <row r="7340" customFormat="false" ht="15.75" hidden="false" customHeight="false" outlineLevel="0" collapsed="false">
      <c r="B7340" s="0" t="n">
        <v>2019</v>
      </c>
      <c r="C7340" s="0" t="n">
        <v>35</v>
      </c>
      <c r="D7340" s="0" t="n">
        <v>-0.1</v>
      </c>
      <c r="E7340" s="0" t="n">
        <v>15.54</v>
      </c>
      <c r="F7340" s="0" t="n">
        <v>49.7</v>
      </c>
      <c r="G7340" s="0" t="n">
        <v>85.67875</v>
      </c>
      <c r="H7340" s="0" t="n">
        <v>1122.28684937348</v>
      </c>
      <c r="I7340" s="0" t="n">
        <v>0</v>
      </c>
      <c r="J7340" s="0" t="n">
        <v>0.833333333333333</v>
      </c>
    </row>
    <row r="7341" customFormat="false" ht="15.75" hidden="false" customHeight="false" outlineLevel="0" collapsed="false">
      <c r="B7341" s="0" t="n">
        <v>2019</v>
      </c>
      <c r="C7341" s="0" t="n">
        <v>36</v>
      </c>
      <c r="D7341" s="0" t="n">
        <v>-0.69</v>
      </c>
      <c r="E7341" s="0" t="n">
        <v>15.82</v>
      </c>
      <c r="F7341" s="0" t="n">
        <v>38.99</v>
      </c>
      <c r="G7341" s="0" t="n">
        <v>100</v>
      </c>
      <c r="H7341" s="0" t="n">
        <v>1180.27709132884</v>
      </c>
      <c r="I7341" s="0" t="n">
        <v>0</v>
      </c>
      <c r="J7341" s="0" t="n">
        <v>0.833333333333333</v>
      </c>
    </row>
    <row r="7342" customFormat="false" ht="15.75" hidden="false" customHeight="false" outlineLevel="0" collapsed="false">
      <c r="B7342" s="0" t="n">
        <v>2019</v>
      </c>
      <c r="C7342" s="0" t="n">
        <v>37</v>
      </c>
      <c r="D7342" s="0" t="n">
        <v>-1</v>
      </c>
      <c r="E7342" s="0" t="n">
        <v>14.67</v>
      </c>
      <c r="F7342" s="0" t="n">
        <v>58.79</v>
      </c>
      <c r="G7342" s="0" t="n">
        <v>100</v>
      </c>
      <c r="H7342" s="0" t="n">
        <v>826.441232888131</v>
      </c>
      <c r="I7342" s="0" t="n">
        <v>0.2</v>
      </c>
      <c r="J7342" s="0" t="n">
        <v>0.833333333333333</v>
      </c>
    </row>
    <row r="7343" customFormat="false" ht="15.75" hidden="false" customHeight="false" outlineLevel="0" collapsed="false">
      <c r="B7343" s="0" t="n">
        <v>2019</v>
      </c>
      <c r="C7343" s="0" t="n">
        <v>38</v>
      </c>
      <c r="D7343" s="0" t="n">
        <v>-0.44</v>
      </c>
      <c r="E7343" s="0" t="n">
        <v>12.23</v>
      </c>
      <c r="F7343" s="0" t="n">
        <v>46.89</v>
      </c>
      <c r="G7343" s="0" t="n">
        <v>100</v>
      </c>
      <c r="H7343" s="0" t="n">
        <v>1052.19599686335</v>
      </c>
      <c r="I7343" s="0" t="n">
        <v>0</v>
      </c>
      <c r="J7343" s="0" t="n">
        <v>0.833333333333333</v>
      </c>
    </row>
    <row r="7344" customFormat="false" ht="15.75" hidden="false" customHeight="false" outlineLevel="0" collapsed="false">
      <c r="B7344" s="0" t="n">
        <v>2019</v>
      </c>
      <c r="C7344" s="0" t="n">
        <v>39</v>
      </c>
      <c r="D7344" s="0" t="n">
        <v>-0.66</v>
      </c>
      <c r="E7344" s="0" t="n">
        <v>14.53</v>
      </c>
      <c r="F7344" s="0" t="n">
        <v>61.04</v>
      </c>
      <c r="G7344" s="0" t="n">
        <v>100</v>
      </c>
      <c r="H7344" s="0" t="n">
        <v>827.933092516509</v>
      </c>
      <c r="I7344" s="0" t="n">
        <v>0</v>
      </c>
      <c r="J7344" s="0" t="n">
        <v>0.833333333333333</v>
      </c>
    </row>
    <row r="7345" customFormat="false" ht="15.75" hidden="false" customHeight="false" outlineLevel="0" collapsed="false">
      <c r="B7345" s="0" t="n">
        <v>2019</v>
      </c>
      <c r="C7345" s="0" t="n">
        <v>40</v>
      </c>
      <c r="D7345" s="0" t="n">
        <v>4.41</v>
      </c>
      <c r="E7345" s="0" t="n">
        <v>12.09</v>
      </c>
      <c r="F7345" s="0" t="n">
        <v>62.32</v>
      </c>
      <c r="G7345" s="0" t="n">
        <v>100</v>
      </c>
      <c r="H7345" s="0" t="n">
        <v>292.037426624819</v>
      </c>
      <c r="I7345" s="0" t="n">
        <v>0.2</v>
      </c>
      <c r="J7345" s="0" t="n">
        <v>0.833333333333333</v>
      </c>
    </row>
    <row r="7346" customFormat="false" ht="15.75" hidden="false" customHeight="false" outlineLevel="0" collapsed="false">
      <c r="B7346" s="0" t="n">
        <v>2019</v>
      </c>
      <c r="C7346" s="0" t="n">
        <v>41</v>
      </c>
      <c r="D7346" s="0" t="n">
        <v>5.18</v>
      </c>
      <c r="E7346" s="0" t="n">
        <v>10.84</v>
      </c>
      <c r="F7346" s="0" t="n">
        <v>40.82</v>
      </c>
      <c r="G7346" s="0" t="n">
        <v>80.15666666</v>
      </c>
      <c r="H7346" s="0" t="n">
        <v>1202.78502633059</v>
      </c>
      <c r="I7346" s="0" t="n">
        <v>0</v>
      </c>
      <c r="J7346" s="0" t="n">
        <v>0.833333333333333</v>
      </c>
    </row>
    <row r="7347" customFormat="false" ht="15.75" hidden="false" customHeight="false" outlineLevel="0" collapsed="false">
      <c r="B7347" s="0" t="n">
        <v>2019</v>
      </c>
      <c r="C7347" s="0" t="n">
        <v>42</v>
      </c>
      <c r="D7347" s="0" t="n">
        <v>0.09</v>
      </c>
      <c r="E7347" s="0" t="n">
        <v>16.27</v>
      </c>
      <c r="F7347" s="0" t="n">
        <v>26.56</v>
      </c>
      <c r="G7347" s="0" t="n">
        <v>81.40333334</v>
      </c>
      <c r="H7347" s="0" t="n">
        <v>1269.0648166409</v>
      </c>
      <c r="I7347" s="0" t="n">
        <v>0</v>
      </c>
      <c r="J7347" s="0" t="n">
        <v>0.833333333333333</v>
      </c>
    </row>
    <row r="7348" customFormat="false" ht="15.75" hidden="false" customHeight="false" outlineLevel="0" collapsed="false">
      <c r="B7348" s="0" t="n">
        <v>2019</v>
      </c>
      <c r="C7348" s="0" t="n">
        <v>43</v>
      </c>
      <c r="D7348" s="0" t="n">
        <v>-3.4</v>
      </c>
      <c r="E7348" s="0" t="n">
        <v>14.67</v>
      </c>
      <c r="F7348" s="0" t="n">
        <v>28.93</v>
      </c>
      <c r="G7348" s="0" t="n">
        <v>100</v>
      </c>
      <c r="H7348" s="0" t="n">
        <v>1259.26580378593</v>
      </c>
      <c r="I7348" s="0" t="n">
        <v>0</v>
      </c>
      <c r="J7348" s="0" t="n">
        <v>0.833333333333333</v>
      </c>
    </row>
    <row r="7349" customFormat="false" ht="15.75" hidden="false" customHeight="false" outlineLevel="0" collapsed="false">
      <c r="B7349" s="0" t="n">
        <v>2019</v>
      </c>
      <c r="C7349" s="0" t="n">
        <v>44</v>
      </c>
      <c r="D7349" s="0" t="n">
        <v>-0.3</v>
      </c>
      <c r="E7349" s="0" t="n">
        <v>13.88</v>
      </c>
      <c r="F7349" s="0" t="n">
        <v>53.61</v>
      </c>
      <c r="G7349" s="0" t="n">
        <v>100</v>
      </c>
      <c r="H7349" s="0" t="n">
        <v>916.670113229478</v>
      </c>
      <c r="I7349" s="0" t="n">
        <v>0</v>
      </c>
      <c r="J7349" s="0" t="n">
        <v>0.833333333333333</v>
      </c>
    </row>
    <row r="7350" customFormat="false" ht="15.75" hidden="false" customHeight="false" outlineLevel="0" collapsed="false">
      <c r="B7350" s="0" t="n">
        <v>2019</v>
      </c>
      <c r="C7350" s="0" t="n">
        <v>45</v>
      </c>
      <c r="D7350" s="0" t="n">
        <v>-2.25</v>
      </c>
      <c r="E7350" s="0" t="n">
        <v>15.93</v>
      </c>
      <c r="F7350" s="0" t="n">
        <v>28.16</v>
      </c>
      <c r="G7350" s="0" t="n">
        <v>100</v>
      </c>
      <c r="H7350" s="0" t="n">
        <v>1305.76497563472</v>
      </c>
      <c r="I7350" s="0" t="n">
        <v>0.2</v>
      </c>
      <c r="J7350" s="0" t="n">
        <v>0.833333333333333</v>
      </c>
    </row>
    <row r="7351" customFormat="false" ht="15.75" hidden="false" customHeight="false" outlineLevel="0" collapsed="false">
      <c r="B7351" s="0" t="n">
        <v>2019</v>
      </c>
      <c r="C7351" s="0" t="n">
        <v>46</v>
      </c>
      <c r="D7351" s="0" t="n">
        <v>-2</v>
      </c>
      <c r="E7351" s="0" t="n">
        <v>16.57</v>
      </c>
      <c r="F7351" s="0" t="n">
        <v>28.21</v>
      </c>
      <c r="G7351" s="0" t="n">
        <v>100</v>
      </c>
      <c r="H7351" s="0" t="n">
        <v>1317.61183807205</v>
      </c>
      <c r="I7351" s="0" t="n">
        <v>0</v>
      </c>
      <c r="J7351" s="0" t="n">
        <v>0.833333333333333</v>
      </c>
    </row>
    <row r="7352" customFormat="false" ht="15.75" hidden="false" customHeight="false" outlineLevel="0" collapsed="false">
      <c r="B7352" s="0" t="n">
        <v>2019</v>
      </c>
      <c r="C7352" s="0" t="n">
        <v>47</v>
      </c>
      <c r="D7352" s="0" t="n">
        <v>1.54</v>
      </c>
      <c r="E7352" s="0" t="n">
        <v>13.45</v>
      </c>
      <c r="F7352" s="0" t="n">
        <v>62.82</v>
      </c>
      <c r="G7352" s="0" t="n">
        <v>100</v>
      </c>
      <c r="H7352" s="0" t="n">
        <v>875.118265282609</v>
      </c>
      <c r="I7352" s="0" t="n">
        <v>0</v>
      </c>
      <c r="J7352" s="0" t="n">
        <v>0.833333333333333</v>
      </c>
    </row>
    <row r="7353" customFormat="false" ht="15.75" hidden="false" customHeight="false" outlineLevel="0" collapsed="false">
      <c r="B7353" s="0" t="n">
        <v>2019</v>
      </c>
      <c r="C7353" s="0" t="n">
        <v>48</v>
      </c>
      <c r="D7353" s="0" t="n">
        <v>5.96</v>
      </c>
      <c r="E7353" s="0" t="n">
        <v>11.96</v>
      </c>
      <c r="F7353" s="0" t="n">
        <v>74.68</v>
      </c>
      <c r="G7353" s="0" t="n">
        <v>100</v>
      </c>
      <c r="H7353" s="0" t="n">
        <v>360.424336645637</v>
      </c>
      <c r="I7353" s="0" t="n">
        <v>0</v>
      </c>
      <c r="J7353" s="0" t="n">
        <v>0.833333333333333</v>
      </c>
    </row>
    <row r="7354" customFormat="false" ht="15.75" hidden="false" customHeight="false" outlineLevel="0" collapsed="false">
      <c r="B7354" s="0" t="n">
        <v>2019</v>
      </c>
      <c r="C7354" s="0" t="n">
        <v>49</v>
      </c>
      <c r="D7354" s="0" t="n">
        <v>0.04</v>
      </c>
      <c r="E7354" s="0" t="n">
        <v>11.52</v>
      </c>
      <c r="F7354" s="0" t="n">
        <v>63</v>
      </c>
      <c r="G7354" s="0" t="n">
        <v>100</v>
      </c>
      <c r="H7354" s="0" t="n">
        <v>478.84334047606</v>
      </c>
      <c r="I7354" s="0" t="n">
        <v>0</v>
      </c>
      <c r="J7354" s="0" t="n">
        <v>0.833333333333333</v>
      </c>
    </row>
    <row r="7355" customFormat="false" ht="15.75" hidden="false" customHeight="false" outlineLevel="0" collapsed="false">
      <c r="B7355" s="0" t="n">
        <v>2019</v>
      </c>
      <c r="C7355" s="0" t="n">
        <v>50</v>
      </c>
      <c r="D7355" s="0" t="n">
        <v>0.04</v>
      </c>
      <c r="E7355" s="0" t="n">
        <v>11.52</v>
      </c>
      <c r="F7355" s="0" t="n">
        <v>63</v>
      </c>
      <c r="G7355" s="0" t="n">
        <v>100</v>
      </c>
      <c r="H7355" s="0" t="n">
        <v>476.48988363221</v>
      </c>
      <c r="I7355" s="0" t="n">
        <v>0</v>
      </c>
      <c r="J7355" s="0" t="n">
        <v>0.833333333333333</v>
      </c>
    </row>
    <row r="7356" customFormat="false" ht="15.75" hidden="false" customHeight="false" outlineLevel="0" collapsed="false">
      <c r="B7356" s="0" t="n">
        <v>2019</v>
      </c>
      <c r="C7356" s="0" t="n">
        <v>51</v>
      </c>
      <c r="D7356" s="0" t="n">
        <v>-0.28</v>
      </c>
      <c r="E7356" s="0" t="n">
        <v>13.29</v>
      </c>
      <c r="F7356" s="0" t="n">
        <v>54.59</v>
      </c>
      <c r="G7356" s="0" t="n">
        <v>100</v>
      </c>
      <c r="H7356" s="0" t="n">
        <v>1246.69748190931</v>
      </c>
      <c r="I7356" s="0" t="n">
        <v>0.2</v>
      </c>
      <c r="J7356" s="0" t="n">
        <v>0.833333333333333</v>
      </c>
    </row>
    <row r="7357" customFormat="false" ht="15.75" hidden="false" customHeight="false" outlineLevel="0" collapsed="false">
      <c r="B7357" s="0" t="n">
        <v>2019</v>
      </c>
      <c r="C7357" s="0" t="n">
        <v>52</v>
      </c>
      <c r="D7357" s="0" t="n">
        <v>-0.56</v>
      </c>
      <c r="E7357" s="0" t="n">
        <v>16.03</v>
      </c>
      <c r="F7357" s="0" t="n">
        <v>51.34</v>
      </c>
      <c r="G7357" s="0" t="n">
        <v>100</v>
      </c>
      <c r="H7357" s="0" t="n">
        <v>1241.43227852136</v>
      </c>
      <c r="I7357" s="0" t="n">
        <v>0</v>
      </c>
      <c r="J7357" s="0" t="n">
        <v>0.833333333333333</v>
      </c>
    </row>
    <row r="7358" customFormat="false" ht="15.75" hidden="false" customHeight="false" outlineLevel="0" collapsed="false">
      <c r="B7358" s="0" t="n">
        <v>2019</v>
      </c>
      <c r="C7358" s="0" t="n">
        <v>53</v>
      </c>
      <c r="D7358" s="0" t="n">
        <v>0.85</v>
      </c>
      <c r="E7358" s="0" t="n">
        <v>22.33</v>
      </c>
      <c r="F7358" s="0" t="n">
        <v>23.05</v>
      </c>
      <c r="G7358" s="0" t="n">
        <v>100</v>
      </c>
      <c r="H7358" s="0" t="n">
        <v>1343.8532599665</v>
      </c>
      <c r="I7358" s="0" t="n">
        <v>0.2</v>
      </c>
      <c r="J7358" s="0" t="n">
        <v>0.833333333333333</v>
      </c>
    </row>
    <row r="7359" customFormat="false" ht="15.75" hidden="false" customHeight="false" outlineLevel="0" collapsed="false">
      <c r="B7359" s="0" t="n">
        <v>2019</v>
      </c>
      <c r="C7359" s="0" t="n">
        <v>54</v>
      </c>
      <c r="D7359" s="0" t="n">
        <v>2.33</v>
      </c>
      <c r="E7359" s="0" t="n">
        <v>18.51</v>
      </c>
      <c r="F7359" s="0" t="n">
        <v>35.66</v>
      </c>
      <c r="G7359" s="0" t="n">
        <v>100</v>
      </c>
      <c r="H7359" s="0" t="n">
        <v>1346.28158214995</v>
      </c>
      <c r="I7359" s="0" t="n">
        <v>0</v>
      </c>
      <c r="J7359" s="0" t="n">
        <v>0.833333333333333</v>
      </c>
    </row>
    <row r="7360" customFormat="false" ht="15.75" hidden="false" customHeight="false" outlineLevel="0" collapsed="false">
      <c r="B7360" s="0" t="n">
        <v>2019</v>
      </c>
      <c r="C7360" s="0" t="n">
        <v>55</v>
      </c>
      <c r="D7360" s="0" t="n">
        <v>2.41</v>
      </c>
      <c r="E7360" s="0" t="n">
        <v>15.16</v>
      </c>
      <c r="F7360" s="0" t="n">
        <v>55.44</v>
      </c>
      <c r="G7360" s="0" t="n">
        <v>100</v>
      </c>
      <c r="H7360" s="0" t="n">
        <v>1079.81268647888</v>
      </c>
      <c r="I7360" s="0" t="n">
        <v>0</v>
      </c>
      <c r="J7360" s="0" t="n">
        <v>0.833333333333333</v>
      </c>
    </row>
    <row r="7361" customFormat="false" ht="15.75" hidden="false" customHeight="false" outlineLevel="0" collapsed="false">
      <c r="B7361" s="0" t="n">
        <v>2019</v>
      </c>
      <c r="C7361" s="0" t="n">
        <v>56</v>
      </c>
      <c r="D7361" s="0" t="n">
        <v>1.84</v>
      </c>
      <c r="E7361" s="0" t="n">
        <v>16.07</v>
      </c>
      <c r="F7361" s="0" t="n">
        <v>56.61</v>
      </c>
      <c r="G7361" s="0" t="n">
        <v>100</v>
      </c>
      <c r="H7361" s="0" t="n">
        <v>1178.63051852277</v>
      </c>
      <c r="I7361" s="0" t="n">
        <v>0</v>
      </c>
      <c r="J7361" s="0" t="n">
        <v>0.833333333333333</v>
      </c>
    </row>
    <row r="7362" customFormat="false" ht="15.75" hidden="false" customHeight="false" outlineLevel="0" collapsed="false">
      <c r="B7362" s="0" t="n">
        <v>2019</v>
      </c>
      <c r="C7362" s="0" t="n">
        <v>57</v>
      </c>
      <c r="D7362" s="0" t="n">
        <v>1.41</v>
      </c>
      <c r="E7362" s="0" t="n">
        <v>20.25</v>
      </c>
      <c r="F7362" s="0" t="n">
        <v>39.59</v>
      </c>
      <c r="G7362" s="0" t="n">
        <v>100</v>
      </c>
      <c r="H7362" s="0" t="n">
        <v>1251.1477672683</v>
      </c>
      <c r="I7362" s="0" t="n">
        <v>0</v>
      </c>
      <c r="J7362" s="0" t="n">
        <v>0.833333333333333</v>
      </c>
    </row>
    <row r="7363" customFormat="false" ht="15.75" hidden="false" customHeight="false" outlineLevel="0" collapsed="false">
      <c r="B7363" s="0" t="n">
        <v>2019</v>
      </c>
      <c r="C7363" s="0" t="n">
        <v>58</v>
      </c>
      <c r="D7363" s="0" t="n">
        <v>1.91</v>
      </c>
      <c r="E7363" s="0" t="n">
        <v>20.21</v>
      </c>
      <c r="F7363" s="0" t="n">
        <v>42.33</v>
      </c>
      <c r="G7363" s="0" t="n">
        <v>100</v>
      </c>
      <c r="H7363" s="0" t="n">
        <v>1356.98832225448</v>
      </c>
      <c r="I7363" s="0" t="n">
        <v>0.2</v>
      </c>
      <c r="J7363" s="0" t="n">
        <v>0.833333333333333</v>
      </c>
    </row>
    <row r="7364" customFormat="false" ht="15.75" hidden="false" customHeight="false" outlineLevel="0" collapsed="false">
      <c r="B7364" s="0" t="n">
        <v>2019</v>
      </c>
      <c r="C7364" s="0" t="n">
        <v>59</v>
      </c>
      <c r="D7364" s="0" t="n">
        <v>3.78</v>
      </c>
      <c r="E7364" s="0" t="n">
        <v>19.29</v>
      </c>
      <c r="F7364" s="0" t="n">
        <v>34.96</v>
      </c>
      <c r="G7364" s="0" t="n">
        <v>86.05875</v>
      </c>
      <c r="H7364" s="0" t="n">
        <v>1331.34094702946</v>
      </c>
      <c r="I7364" s="0" t="n">
        <v>0</v>
      </c>
      <c r="J7364" s="0" t="n">
        <v>0.833333333333333</v>
      </c>
    </row>
    <row r="7365" customFormat="false" ht="15.75" hidden="false" customHeight="false" outlineLevel="0" collapsed="false">
      <c r="B7365" s="0" t="n">
        <v>2019</v>
      </c>
      <c r="C7365" s="0" t="n">
        <v>60</v>
      </c>
      <c r="D7365" s="0" t="n">
        <v>9.69</v>
      </c>
      <c r="E7365" s="0" t="n">
        <v>15.42</v>
      </c>
      <c r="F7365" s="0" t="n">
        <v>43.72</v>
      </c>
      <c r="G7365" s="0" t="n">
        <v>66.42916666</v>
      </c>
      <c r="H7365" s="0" t="n">
        <v>1089.14418278088</v>
      </c>
      <c r="I7365" s="0" t="n">
        <v>0</v>
      </c>
      <c r="J7365" s="0" t="n">
        <v>0.833333333333333</v>
      </c>
    </row>
    <row r="7366" customFormat="false" ht="15.75" hidden="false" customHeight="false" outlineLevel="0" collapsed="false">
      <c r="B7366" s="0" t="n">
        <v>2019</v>
      </c>
      <c r="C7366" s="0" t="n">
        <v>61</v>
      </c>
      <c r="D7366" s="0" t="n">
        <v>8.58</v>
      </c>
      <c r="E7366" s="0" t="n">
        <v>14.65</v>
      </c>
      <c r="F7366" s="0" t="n">
        <v>52.29</v>
      </c>
      <c r="G7366" s="0" t="n">
        <v>70.80833334</v>
      </c>
      <c r="H7366" s="0" t="n">
        <v>953.666033648017</v>
      </c>
      <c r="I7366" s="0" t="n">
        <v>0</v>
      </c>
      <c r="J7366" s="0" t="n">
        <v>0.833333333333333</v>
      </c>
    </row>
    <row r="7367" customFormat="false" ht="15.75" hidden="false" customHeight="false" outlineLevel="0" collapsed="false">
      <c r="B7367" s="0" t="n">
        <v>2019</v>
      </c>
      <c r="C7367" s="0" t="n">
        <v>62</v>
      </c>
      <c r="D7367" s="0" t="n">
        <v>3.08</v>
      </c>
      <c r="E7367" s="0" t="n">
        <v>18.13</v>
      </c>
      <c r="F7367" s="0" t="n">
        <v>38.29</v>
      </c>
      <c r="G7367" s="0" t="n">
        <v>98.44583334</v>
      </c>
      <c r="H7367" s="0" t="n">
        <v>1366.48010588029</v>
      </c>
      <c r="I7367" s="0" t="n">
        <v>0</v>
      </c>
      <c r="J7367" s="0" t="n">
        <v>0.833333333333333</v>
      </c>
    </row>
    <row r="7368" customFormat="false" ht="15.75" hidden="false" customHeight="false" outlineLevel="0" collapsed="false">
      <c r="B7368" s="0" t="n">
        <v>2019</v>
      </c>
      <c r="C7368" s="0" t="n">
        <v>63</v>
      </c>
      <c r="D7368" s="0" t="n">
        <v>5.68</v>
      </c>
      <c r="E7368" s="0" t="n">
        <v>14.07</v>
      </c>
      <c r="F7368" s="0" t="n">
        <v>37.69</v>
      </c>
      <c r="G7368" s="0" t="n">
        <v>91.80458334</v>
      </c>
      <c r="H7368" s="0" t="n">
        <v>1203.77792821479</v>
      </c>
      <c r="I7368" s="0" t="n">
        <v>0</v>
      </c>
      <c r="J7368" s="0" t="n">
        <v>0.833333333333333</v>
      </c>
    </row>
    <row r="7369" customFormat="false" ht="15.75" hidden="false" customHeight="false" outlineLevel="0" collapsed="false">
      <c r="B7369" s="0" t="n">
        <v>2019</v>
      </c>
      <c r="C7369" s="0" t="n">
        <v>64</v>
      </c>
      <c r="D7369" s="0" t="n">
        <v>4.38</v>
      </c>
      <c r="E7369" s="0" t="n">
        <v>11.68</v>
      </c>
      <c r="F7369" s="0" t="n">
        <v>82.3</v>
      </c>
      <c r="G7369" s="0" t="n">
        <v>100</v>
      </c>
      <c r="H7369" s="0" t="n">
        <v>35.6850571011658</v>
      </c>
      <c r="I7369" s="0" t="n">
        <v>5.4</v>
      </c>
      <c r="J7369" s="0" t="n">
        <v>0.833333333333333</v>
      </c>
    </row>
    <row r="7370" customFormat="false" ht="15.75" hidden="false" customHeight="false" outlineLevel="0" collapsed="false">
      <c r="B7370" s="0" t="n">
        <v>2019</v>
      </c>
      <c r="C7370" s="0" t="n">
        <v>65</v>
      </c>
      <c r="D7370" s="0" t="n">
        <v>0.54</v>
      </c>
      <c r="E7370" s="0" t="n">
        <v>14.41</v>
      </c>
      <c r="F7370" s="0" t="n">
        <v>44.67</v>
      </c>
      <c r="G7370" s="0" t="n">
        <v>98.725</v>
      </c>
      <c r="H7370" s="0" t="n">
        <v>1297.14531650645</v>
      </c>
      <c r="I7370" s="0" t="n">
        <v>1</v>
      </c>
      <c r="J7370" s="0" t="n">
        <v>0.833333333333333</v>
      </c>
    </row>
    <row r="7371" customFormat="false" ht="15.75" hidden="false" customHeight="false" outlineLevel="0" collapsed="false">
      <c r="B7371" s="0" t="n">
        <v>2019</v>
      </c>
      <c r="C7371" s="0" t="n">
        <v>66</v>
      </c>
      <c r="D7371" s="0" t="n">
        <v>-0.49</v>
      </c>
      <c r="E7371" s="0" t="n">
        <v>15.19</v>
      </c>
      <c r="F7371" s="0" t="n">
        <v>43.88</v>
      </c>
      <c r="G7371" s="0" t="n">
        <v>100</v>
      </c>
      <c r="H7371" s="0" t="n">
        <v>860.631000314767</v>
      </c>
      <c r="I7371" s="0" t="n">
        <v>0</v>
      </c>
      <c r="J7371" s="0" t="n">
        <v>0.833333333333333</v>
      </c>
    </row>
    <row r="7372" customFormat="false" ht="15.75" hidden="false" customHeight="false" outlineLevel="0" collapsed="false">
      <c r="B7372" s="0" t="n">
        <v>2019</v>
      </c>
      <c r="C7372" s="0" t="n">
        <v>67</v>
      </c>
      <c r="D7372" s="0" t="n">
        <v>6</v>
      </c>
      <c r="E7372" s="0" t="n">
        <v>14.21</v>
      </c>
      <c r="F7372" s="0" t="n">
        <v>58.76</v>
      </c>
      <c r="G7372" s="0" t="n">
        <v>86.04708334</v>
      </c>
      <c r="H7372" s="0" t="n">
        <v>786.810166619808</v>
      </c>
      <c r="I7372" s="0" t="n">
        <v>0</v>
      </c>
      <c r="J7372" s="0" t="n">
        <v>0.833333333333333</v>
      </c>
    </row>
    <row r="7373" customFormat="false" ht="15.75" hidden="false" customHeight="false" outlineLevel="0" collapsed="false">
      <c r="B7373" s="0" t="n">
        <v>2019</v>
      </c>
      <c r="C7373" s="0" t="n">
        <v>68</v>
      </c>
      <c r="D7373" s="0" t="n">
        <v>10.3</v>
      </c>
      <c r="E7373" s="0" t="n">
        <v>14.88</v>
      </c>
      <c r="F7373" s="0" t="n">
        <v>56.64</v>
      </c>
      <c r="G7373" s="0" t="n">
        <v>83.48291666</v>
      </c>
      <c r="H7373" s="0" t="n">
        <v>464.730706907507</v>
      </c>
      <c r="I7373" s="0" t="n">
        <v>0</v>
      </c>
      <c r="J7373" s="0" t="n">
        <v>0.833333333333333</v>
      </c>
    </row>
    <row r="7374" customFormat="false" ht="15.75" hidden="false" customHeight="false" outlineLevel="0" collapsed="false">
      <c r="B7374" s="0" t="n">
        <v>2019</v>
      </c>
      <c r="C7374" s="0" t="n">
        <v>69</v>
      </c>
      <c r="D7374" s="0" t="n">
        <v>3.34</v>
      </c>
      <c r="E7374" s="0" t="n">
        <v>13.07</v>
      </c>
      <c r="F7374" s="0" t="n">
        <v>38.39</v>
      </c>
      <c r="G7374" s="0" t="n">
        <v>66.26791666</v>
      </c>
      <c r="H7374" s="0" t="n">
        <v>1488.03972690082</v>
      </c>
      <c r="I7374" s="0" t="n">
        <v>0</v>
      </c>
      <c r="J7374" s="0" t="n">
        <v>0.833333333333333</v>
      </c>
    </row>
    <row r="7375" customFormat="false" ht="15.75" hidden="false" customHeight="false" outlineLevel="0" collapsed="false">
      <c r="B7375" s="0" t="n">
        <v>2019</v>
      </c>
      <c r="C7375" s="0" t="n">
        <v>70</v>
      </c>
      <c r="D7375" s="0" t="n">
        <v>-3.44</v>
      </c>
      <c r="E7375" s="0" t="n">
        <v>13.48</v>
      </c>
      <c r="F7375" s="0" t="n">
        <v>41.64</v>
      </c>
      <c r="G7375" s="0" t="n">
        <v>98.50166666</v>
      </c>
      <c r="H7375" s="0" t="n">
        <v>1420.53611659237</v>
      </c>
      <c r="I7375" s="0" t="n">
        <v>0</v>
      </c>
      <c r="J7375" s="0" t="n">
        <v>0.833333333333333</v>
      </c>
    </row>
    <row r="7376" customFormat="false" ht="15.75" hidden="false" customHeight="false" outlineLevel="0" collapsed="false">
      <c r="B7376" s="0" t="n">
        <v>2019</v>
      </c>
      <c r="C7376" s="0" t="n">
        <v>71</v>
      </c>
      <c r="D7376" s="0" t="n">
        <v>3.68</v>
      </c>
      <c r="E7376" s="0" t="n">
        <v>12.14</v>
      </c>
      <c r="F7376" s="0" t="n">
        <v>47.48</v>
      </c>
      <c r="G7376" s="0" t="n">
        <v>80.01708334</v>
      </c>
      <c r="H7376" s="0" t="n">
        <v>1181.54238884261</v>
      </c>
      <c r="I7376" s="0" t="n">
        <v>0</v>
      </c>
      <c r="J7376" s="0" t="n">
        <v>0.833333333333333</v>
      </c>
    </row>
    <row r="7377" customFormat="false" ht="15.75" hidden="false" customHeight="false" outlineLevel="0" collapsed="false">
      <c r="B7377" s="0" t="n">
        <v>2019</v>
      </c>
      <c r="C7377" s="0" t="n">
        <v>72</v>
      </c>
      <c r="D7377" s="0" t="n">
        <v>6.41</v>
      </c>
      <c r="E7377" s="0" t="n">
        <v>12.23</v>
      </c>
      <c r="F7377" s="0" t="n">
        <v>53.01</v>
      </c>
      <c r="G7377" s="0" t="n">
        <v>75.54333334</v>
      </c>
      <c r="H7377" s="0" t="n">
        <v>861.401033618764</v>
      </c>
      <c r="I7377" s="0" t="n">
        <v>0</v>
      </c>
      <c r="J7377" s="0" t="n">
        <v>0.833333333333333</v>
      </c>
    </row>
    <row r="7378" customFormat="false" ht="15.75" hidden="false" customHeight="false" outlineLevel="0" collapsed="false">
      <c r="B7378" s="0" t="n">
        <v>2019</v>
      </c>
      <c r="C7378" s="0" t="n">
        <v>73</v>
      </c>
      <c r="D7378" s="0" t="n">
        <v>9.92</v>
      </c>
      <c r="E7378" s="0" t="n">
        <v>16.25</v>
      </c>
      <c r="F7378" s="0" t="n">
        <v>56.05</v>
      </c>
      <c r="G7378" s="0" t="n">
        <v>75.03833334</v>
      </c>
      <c r="H7378" s="0" t="n">
        <v>887.798887501299</v>
      </c>
      <c r="I7378" s="0" t="n">
        <v>0</v>
      </c>
      <c r="J7378" s="0" t="n">
        <v>0.833333333333333</v>
      </c>
    </row>
    <row r="7379" customFormat="false" ht="15.75" hidden="false" customHeight="false" outlineLevel="0" collapsed="false">
      <c r="B7379" s="0" t="n">
        <v>2019</v>
      </c>
      <c r="C7379" s="0" t="n">
        <v>74</v>
      </c>
      <c r="D7379" s="0" t="n">
        <v>3.96</v>
      </c>
      <c r="E7379" s="0" t="n">
        <v>23.82</v>
      </c>
      <c r="F7379" s="0" t="n">
        <v>21.25</v>
      </c>
      <c r="G7379" s="0" t="n">
        <v>100</v>
      </c>
      <c r="H7379" s="0" t="n">
        <v>1580.54325309662</v>
      </c>
      <c r="I7379" s="0" t="n">
        <v>0</v>
      </c>
      <c r="J7379" s="0" t="n">
        <v>0.833333333333333</v>
      </c>
    </row>
    <row r="7380" customFormat="false" ht="15.75" hidden="false" customHeight="false" outlineLevel="0" collapsed="false">
      <c r="B7380" s="0" t="n">
        <v>2019</v>
      </c>
      <c r="C7380" s="0" t="n">
        <v>75</v>
      </c>
      <c r="D7380" s="0" t="n">
        <v>4.001</v>
      </c>
      <c r="E7380" s="0" t="n">
        <v>16.09</v>
      </c>
      <c r="F7380" s="0" t="n">
        <v>49.9</v>
      </c>
      <c r="G7380" s="0" t="n">
        <v>90.77333334</v>
      </c>
      <c r="H7380" s="0" t="n">
        <v>1279.63247601395</v>
      </c>
      <c r="I7380" s="0" t="n">
        <v>0</v>
      </c>
      <c r="J7380" s="0" t="n">
        <v>0.833333333333333</v>
      </c>
    </row>
    <row r="7381" customFormat="false" ht="15.75" hidden="false" customHeight="false" outlineLevel="0" collapsed="false">
      <c r="B7381" s="0" t="n">
        <v>2019</v>
      </c>
      <c r="C7381" s="0" t="n">
        <v>76</v>
      </c>
      <c r="D7381" s="0" t="n">
        <v>5.693</v>
      </c>
      <c r="E7381" s="0" t="n">
        <v>13.55</v>
      </c>
      <c r="F7381" s="0" t="n">
        <v>37.23</v>
      </c>
      <c r="G7381" s="0" t="n">
        <v>66.7425</v>
      </c>
      <c r="H7381" s="0" t="n">
        <v>1276.38066229078</v>
      </c>
      <c r="I7381" s="0" t="n">
        <v>0</v>
      </c>
      <c r="J7381" s="0" t="n">
        <v>0.833333333333333</v>
      </c>
    </row>
    <row r="7382" customFormat="false" ht="15.75" hidden="false" customHeight="false" outlineLevel="0" collapsed="false">
      <c r="B7382" s="0" t="n">
        <v>2019</v>
      </c>
      <c r="C7382" s="0" t="n">
        <v>77</v>
      </c>
      <c r="D7382" s="0" t="n">
        <v>5.053</v>
      </c>
      <c r="E7382" s="0" t="n">
        <v>14.59</v>
      </c>
      <c r="F7382" s="0" t="n">
        <v>31.05</v>
      </c>
      <c r="G7382" s="0" t="n">
        <v>63.19875</v>
      </c>
      <c r="H7382" s="0" t="n">
        <v>1261.11202657673</v>
      </c>
      <c r="I7382" s="0" t="n">
        <v>0</v>
      </c>
      <c r="J7382" s="0" t="n">
        <v>0.833333333333333</v>
      </c>
    </row>
    <row r="7383" customFormat="false" ht="15.75" hidden="false" customHeight="false" outlineLevel="0" collapsed="false">
      <c r="B7383" s="0" t="n">
        <v>2019</v>
      </c>
      <c r="C7383" s="0" t="n">
        <v>78</v>
      </c>
      <c r="D7383" s="0" t="n">
        <v>-3.664</v>
      </c>
      <c r="E7383" s="0" t="n">
        <v>16.4</v>
      </c>
      <c r="F7383" s="0" t="n">
        <v>24.08</v>
      </c>
      <c r="G7383" s="0" t="n">
        <v>76.065</v>
      </c>
      <c r="H7383" s="0" t="n">
        <v>1634.65406394541</v>
      </c>
      <c r="I7383" s="0" t="n">
        <v>0</v>
      </c>
      <c r="J7383" s="0" t="n">
        <v>0.833333333333333</v>
      </c>
    </row>
    <row r="7384" customFormat="false" ht="15.75" hidden="false" customHeight="false" outlineLevel="0" collapsed="false">
      <c r="B7384" s="0" t="n">
        <v>2019</v>
      </c>
      <c r="C7384" s="0" t="n">
        <v>79</v>
      </c>
      <c r="D7384" s="0" t="n">
        <v>-2.151</v>
      </c>
      <c r="E7384" s="0" t="n">
        <v>17.67</v>
      </c>
      <c r="F7384" s="0" t="n">
        <v>26.74</v>
      </c>
      <c r="G7384" s="0" t="n">
        <v>88.26</v>
      </c>
      <c r="H7384" s="0" t="n">
        <v>1630.27756064573</v>
      </c>
      <c r="I7384" s="0" t="n">
        <v>0</v>
      </c>
      <c r="J7384" s="0" t="n">
        <v>0.833333333333333</v>
      </c>
    </row>
    <row r="7385" customFormat="false" ht="15.75" hidden="false" customHeight="false" outlineLevel="0" collapsed="false">
      <c r="B7385" s="0" t="n">
        <v>2019</v>
      </c>
      <c r="C7385" s="0" t="n">
        <v>80</v>
      </c>
      <c r="D7385" s="0" t="n">
        <v>0.033</v>
      </c>
      <c r="E7385" s="0" t="n">
        <v>20.93</v>
      </c>
      <c r="F7385" s="0" t="n">
        <v>29.07</v>
      </c>
      <c r="G7385" s="0" t="n">
        <v>88.66833334</v>
      </c>
      <c r="H7385" s="0" t="n">
        <v>1604.81653977652</v>
      </c>
      <c r="I7385" s="0" t="n">
        <v>0</v>
      </c>
      <c r="J7385" s="0" t="n">
        <v>0.833333333333333</v>
      </c>
    </row>
    <row r="7386" customFormat="false" ht="15.75" hidden="false" customHeight="false" outlineLevel="0" collapsed="false">
      <c r="B7386" s="0" t="n">
        <v>2019</v>
      </c>
      <c r="C7386" s="0" t="n">
        <v>81</v>
      </c>
      <c r="D7386" s="0" t="n">
        <v>3.035</v>
      </c>
      <c r="E7386" s="0" t="n">
        <v>24.35</v>
      </c>
      <c r="F7386" s="0" t="n">
        <v>21.4</v>
      </c>
      <c r="G7386" s="0" t="n">
        <v>88.69416666</v>
      </c>
      <c r="H7386" s="0" t="n">
        <v>1602.4768618295</v>
      </c>
      <c r="I7386" s="0" t="n">
        <v>0</v>
      </c>
      <c r="J7386" s="0" t="n">
        <v>0.833333333333333</v>
      </c>
    </row>
    <row r="7387" customFormat="false" ht="15.75" hidden="false" customHeight="false" outlineLevel="0" collapsed="false">
      <c r="B7387" s="0" t="n">
        <v>2019</v>
      </c>
      <c r="C7387" s="0" t="n">
        <v>82</v>
      </c>
      <c r="D7387" s="0" t="n">
        <v>3.371</v>
      </c>
      <c r="E7387" s="0" t="n">
        <v>24.79</v>
      </c>
      <c r="F7387" s="0" t="n">
        <v>21.41</v>
      </c>
      <c r="G7387" s="0" t="n">
        <v>73.81708334</v>
      </c>
      <c r="H7387" s="0" t="n">
        <v>1623.54105508091</v>
      </c>
      <c r="I7387" s="0" t="n">
        <v>0</v>
      </c>
      <c r="J7387" s="0" t="n">
        <v>0.833333333333333</v>
      </c>
    </row>
    <row r="7388" customFormat="false" ht="15.75" hidden="false" customHeight="false" outlineLevel="0" collapsed="false">
      <c r="B7388" s="0" t="n">
        <v>2019</v>
      </c>
      <c r="C7388" s="0" t="n">
        <v>83</v>
      </c>
      <c r="D7388" s="0" t="n">
        <v>3.952</v>
      </c>
      <c r="E7388" s="0" t="n">
        <v>19.9</v>
      </c>
      <c r="F7388" s="0" t="n">
        <v>28.08</v>
      </c>
      <c r="G7388" s="0" t="n">
        <v>58.61875</v>
      </c>
      <c r="H7388" s="0" t="n">
        <v>1637.10479757007</v>
      </c>
      <c r="I7388" s="0" t="n">
        <v>0</v>
      </c>
      <c r="J7388" s="0" t="n">
        <v>0.833333333333333</v>
      </c>
    </row>
    <row r="7389" customFormat="false" ht="15.75" hidden="false" customHeight="false" outlineLevel="0" collapsed="false">
      <c r="B7389" s="0" t="n">
        <v>2019</v>
      </c>
      <c r="C7389" s="0" t="n">
        <v>84</v>
      </c>
      <c r="D7389" s="0" t="n">
        <v>3.299</v>
      </c>
      <c r="E7389" s="0" t="n">
        <v>18</v>
      </c>
      <c r="F7389" s="0" t="n">
        <v>13.93</v>
      </c>
      <c r="G7389" s="0" t="n">
        <v>45.50833334</v>
      </c>
      <c r="H7389" s="0" t="n">
        <v>1709.95577614534</v>
      </c>
      <c r="I7389" s="0" t="n">
        <v>0</v>
      </c>
      <c r="J7389" s="0" t="n">
        <v>0.833333333333333</v>
      </c>
    </row>
    <row r="7390" customFormat="false" ht="15.75" hidden="false" customHeight="false" outlineLevel="0" collapsed="false">
      <c r="B7390" s="0" t="n">
        <v>2019</v>
      </c>
      <c r="C7390" s="0" t="n">
        <v>85</v>
      </c>
      <c r="D7390" s="0" t="n">
        <v>-2.999</v>
      </c>
      <c r="E7390" s="0" t="n">
        <v>19.2</v>
      </c>
      <c r="F7390" s="0" t="n">
        <v>20.35</v>
      </c>
      <c r="G7390" s="0" t="n">
        <v>77.5725</v>
      </c>
      <c r="H7390" s="0" t="n">
        <v>1683.60019870773</v>
      </c>
      <c r="I7390" s="0" t="n">
        <v>0</v>
      </c>
      <c r="J7390" s="0" t="n">
        <v>0.833333333333333</v>
      </c>
    </row>
    <row r="7391" customFormat="false" ht="15.75" hidden="false" customHeight="false" outlineLevel="0" collapsed="false">
      <c r="B7391" s="0" t="n">
        <v>2019</v>
      </c>
      <c r="C7391" s="0" t="n">
        <v>86</v>
      </c>
      <c r="D7391" s="0" t="n">
        <v>0.091</v>
      </c>
      <c r="E7391" s="0" t="n">
        <v>18.26</v>
      </c>
      <c r="F7391" s="0" t="n">
        <v>31.86</v>
      </c>
      <c r="G7391" s="0" t="n">
        <v>85.21234042</v>
      </c>
      <c r="H7391" s="0" t="n">
        <v>1635.57541436567</v>
      </c>
      <c r="I7391" s="0" t="n">
        <v>0</v>
      </c>
      <c r="J7391" s="0" t="n">
        <v>0.833333333333333</v>
      </c>
    </row>
    <row r="7392" customFormat="false" ht="15.75" hidden="false" customHeight="false" outlineLevel="0" collapsed="false">
      <c r="B7392" s="0" t="n">
        <v>2019</v>
      </c>
      <c r="C7392" s="0" t="n">
        <v>87</v>
      </c>
      <c r="D7392" s="0" t="n">
        <v>0.697</v>
      </c>
      <c r="E7392" s="0" t="n">
        <v>17.2</v>
      </c>
      <c r="F7392" s="0" t="n">
        <v>32.93</v>
      </c>
      <c r="G7392" s="0" t="n">
        <v>99.73416666</v>
      </c>
      <c r="H7392" s="0" t="n">
        <v>1624.70519669618</v>
      </c>
      <c r="I7392" s="0" t="n">
        <v>0</v>
      </c>
      <c r="J7392" s="0" t="n">
        <v>0.833333333333333</v>
      </c>
    </row>
    <row r="7393" customFormat="false" ht="15.75" hidden="false" customHeight="false" outlineLevel="0" collapsed="false">
      <c r="B7393" s="0" t="n">
        <v>2019</v>
      </c>
      <c r="C7393" s="0" t="n">
        <v>88</v>
      </c>
      <c r="D7393" s="0" t="n">
        <v>-0.794</v>
      </c>
      <c r="E7393" s="0" t="n">
        <v>15.58</v>
      </c>
      <c r="F7393" s="0" t="n">
        <v>44.07</v>
      </c>
      <c r="G7393" s="0" t="n">
        <v>100</v>
      </c>
      <c r="H7393" s="0" t="n">
        <v>1306.78018148152</v>
      </c>
      <c r="I7393" s="0" t="n">
        <v>0</v>
      </c>
      <c r="J7393" s="0" t="n">
        <v>0.833333333333333</v>
      </c>
    </row>
    <row r="7394" customFormat="false" ht="15.75" hidden="false" customHeight="false" outlineLevel="0" collapsed="false">
      <c r="B7394" s="0" t="n">
        <v>2019</v>
      </c>
      <c r="C7394" s="0" t="n">
        <v>89</v>
      </c>
      <c r="D7394" s="0" t="n">
        <v>-1.32</v>
      </c>
      <c r="E7394" s="0" t="n">
        <v>16.95</v>
      </c>
      <c r="F7394" s="0" t="n">
        <v>47.63</v>
      </c>
      <c r="G7394" s="0" t="n">
        <v>100</v>
      </c>
      <c r="H7394" s="0" t="n">
        <v>1478.23318302661</v>
      </c>
      <c r="I7394" s="0" t="n">
        <v>0</v>
      </c>
      <c r="J7394" s="0" t="n">
        <v>0.833333333333333</v>
      </c>
    </row>
    <row r="7395" customFormat="false" ht="15.75" hidden="false" customHeight="false" outlineLevel="0" collapsed="false">
      <c r="B7395" s="0" t="n">
        <v>2019</v>
      </c>
      <c r="C7395" s="0" t="n">
        <v>90</v>
      </c>
      <c r="D7395" s="0" t="n">
        <v>2.874</v>
      </c>
      <c r="E7395" s="0" t="n">
        <v>19.08</v>
      </c>
      <c r="F7395" s="0" t="n">
        <v>27.36</v>
      </c>
      <c r="G7395" s="0" t="n">
        <v>100</v>
      </c>
      <c r="H7395" s="0" t="n">
        <v>1356.21219038636</v>
      </c>
      <c r="I7395" s="0" t="n">
        <v>0</v>
      </c>
      <c r="J7395" s="0" t="n">
        <v>0.833333333333333</v>
      </c>
    </row>
    <row r="7396" customFormat="false" ht="15.75" hidden="false" customHeight="false" outlineLevel="0" collapsed="false">
      <c r="B7396" s="0" t="n">
        <v>2019</v>
      </c>
      <c r="C7396" s="0" t="n">
        <v>91</v>
      </c>
      <c r="D7396" s="0" t="n">
        <v>-0.439</v>
      </c>
      <c r="E7396" s="0" t="n">
        <v>17.38</v>
      </c>
      <c r="F7396" s="0" t="n">
        <v>46.97</v>
      </c>
      <c r="G7396" s="0" t="n">
        <v>100</v>
      </c>
      <c r="H7396" s="0" t="n">
        <v>911.132965252999</v>
      </c>
      <c r="I7396" s="0" t="n">
        <v>0</v>
      </c>
      <c r="J7396" s="0" t="n">
        <v>0.833333333333333</v>
      </c>
    </row>
    <row r="7397" customFormat="false" ht="15.75" hidden="false" customHeight="false" outlineLevel="0" collapsed="false">
      <c r="B7397" s="0" t="n">
        <v>2019</v>
      </c>
      <c r="C7397" s="0" t="n">
        <v>92</v>
      </c>
      <c r="D7397" s="0" t="n">
        <v>5.895</v>
      </c>
      <c r="E7397" s="0" t="n">
        <v>10.2</v>
      </c>
      <c r="F7397" s="0" t="n">
        <v>68.27</v>
      </c>
      <c r="G7397" s="0" t="n">
        <v>92.33291666</v>
      </c>
      <c r="H7397" s="0" t="n">
        <v>395.518388519709</v>
      </c>
      <c r="I7397" s="0" t="n">
        <v>5.6</v>
      </c>
      <c r="J7397" s="0" t="n">
        <v>0.833333333333333</v>
      </c>
    </row>
    <row r="7398" customFormat="false" ht="15.75" hidden="false" customHeight="false" outlineLevel="0" collapsed="false">
      <c r="B7398" s="0" t="n">
        <v>2019</v>
      </c>
      <c r="C7398" s="0" t="n">
        <v>93</v>
      </c>
      <c r="D7398" s="0" t="n">
        <v>-1.649</v>
      </c>
      <c r="E7398" s="0" t="n">
        <v>11.88</v>
      </c>
      <c r="F7398" s="0" t="n">
        <v>40.88</v>
      </c>
      <c r="G7398" s="0" t="n">
        <v>79.91541666</v>
      </c>
      <c r="H7398" s="0" t="n">
        <v>1322.10948347336</v>
      </c>
      <c r="I7398" s="0" t="n">
        <v>0</v>
      </c>
      <c r="J7398" s="0" t="n">
        <v>0.833333333333333</v>
      </c>
    </row>
    <row r="7399" customFormat="false" ht="15.75" hidden="false" customHeight="false" outlineLevel="0" collapsed="false">
      <c r="B7399" s="0" t="n">
        <v>2019</v>
      </c>
      <c r="C7399" s="0" t="n">
        <v>94</v>
      </c>
      <c r="D7399" s="0" t="n">
        <v>-2.841</v>
      </c>
      <c r="E7399" s="0" t="n">
        <v>14.6</v>
      </c>
      <c r="F7399" s="0" t="n">
        <v>41.79</v>
      </c>
      <c r="G7399" s="0" t="n">
        <v>100</v>
      </c>
      <c r="H7399" s="0" t="n">
        <v>1116.31730965094</v>
      </c>
      <c r="I7399" s="0" t="n">
        <v>1.2</v>
      </c>
      <c r="J7399" s="0" t="n">
        <v>0.833333333333333</v>
      </c>
    </row>
    <row r="7400" customFormat="false" ht="15.75" hidden="false" customHeight="false" outlineLevel="0" collapsed="false">
      <c r="B7400" s="0" t="n">
        <v>2019</v>
      </c>
      <c r="C7400" s="0" t="n">
        <v>95</v>
      </c>
      <c r="D7400" s="0" t="n">
        <v>6.716</v>
      </c>
      <c r="E7400" s="0" t="n">
        <v>12.59</v>
      </c>
      <c r="F7400" s="0" t="n">
        <v>68.68</v>
      </c>
      <c r="G7400" s="0" t="n">
        <v>100</v>
      </c>
      <c r="H7400" s="0" t="n">
        <v>642.373733964439</v>
      </c>
      <c r="I7400" s="0" t="n">
        <v>27.8</v>
      </c>
      <c r="J7400" s="0" t="n">
        <v>0.833333333333333</v>
      </c>
    </row>
    <row r="7401" customFormat="false" ht="15.75" hidden="false" customHeight="false" outlineLevel="0" collapsed="false">
      <c r="B7401" s="0" t="n">
        <v>2019</v>
      </c>
      <c r="C7401" s="0" t="n">
        <v>96</v>
      </c>
      <c r="D7401" s="0" t="n">
        <v>5.593</v>
      </c>
      <c r="E7401" s="0" t="n">
        <v>13.78</v>
      </c>
      <c r="F7401" s="0" t="n">
        <v>55.88</v>
      </c>
      <c r="G7401" s="0" t="n">
        <v>100</v>
      </c>
      <c r="H7401" s="0" t="n">
        <v>797.280791993383</v>
      </c>
      <c r="I7401" s="0" t="n">
        <v>1</v>
      </c>
      <c r="J7401" s="0" t="n">
        <v>0.833333333333333</v>
      </c>
    </row>
    <row r="7402" customFormat="false" ht="15.75" hidden="false" customHeight="false" outlineLevel="0" collapsed="false">
      <c r="B7402" s="0" t="n">
        <v>2019</v>
      </c>
      <c r="C7402" s="0" t="n">
        <v>97</v>
      </c>
      <c r="D7402" s="0" t="n">
        <v>2.503</v>
      </c>
      <c r="E7402" s="0" t="n">
        <v>17.44</v>
      </c>
      <c r="F7402" s="0" t="n">
        <v>40.65</v>
      </c>
      <c r="G7402" s="0" t="n">
        <v>100</v>
      </c>
      <c r="H7402" s="0" t="n">
        <v>1577.51772149269</v>
      </c>
      <c r="I7402" s="0" t="n">
        <v>0</v>
      </c>
      <c r="J7402" s="0" t="n">
        <v>0.833333333333333</v>
      </c>
    </row>
    <row r="7403" customFormat="false" ht="15.75" hidden="false" customHeight="false" outlineLevel="0" collapsed="false">
      <c r="B7403" s="0" t="n">
        <v>2019</v>
      </c>
      <c r="C7403" s="0" t="n">
        <v>98</v>
      </c>
      <c r="D7403" s="0" t="n">
        <v>4.589</v>
      </c>
      <c r="E7403" s="0" t="n">
        <v>16.43</v>
      </c>
      <c r="F7403" s="0" t="n">
        <v>51.13</v>
      </c>
      <c r="G7403" s="0" t="n">
        <v>100</v>
      </c>
      <c r="H7403" s="0" t="n">
        <v>888.657222960584</v>
      </c>
      <c r="I7403" s="0" t="n">
        <v>4.8</v>
      </c>
      <c r="J7403" s="0" t="n">
        <v>0.833333333333333</v>
      </c>
    </row>
    <row r="7404" customFormat="false" ht="15.75" hidden="false" customHeight="false" outlineLevel="0" collapsed="false">
      <c r="B7404" s="0" t="n">
        <v>2019</v>
      </c>
      <c r="C7404" s="0" t="n">
        <v>99</v>
      </c>
      <c r="D7404" s="0" t="n">
        <v>5.301</v>
      </c>
      <c r="E7404" s="0" t="n">
        <v>18.42</v>
      </c>
      <c r="F7404" s="0" t="n">
        <v>38.66</v>
      </c>
      <c r="G7404" s="0" t="n">
        <v>87.87208334</v>
      </c>
      <c r="H7404" s="0" t="n">
        <v>1289.19416669921</v>
      </c>
      <c r="I7404" s="0" t="n">
        <v>0</v>
      </c>
      <c r="J7404" s="0" t="n">
        <v>0.833333333333333</v>
      </c>
    </row>
    <row r="7405" customFormat="false" ht="15.75" hidden="false" customHeight="false" outlineLevel="0" collapsed="false">
      <c r="B7405" s="0" t="n">
        <v>2019</v>
      </c>
      <c r="C7405" s="0" t="n">
        <v>100</v>
      </c>
      <c r="D7405" s="0" t="n">
        <v>10.41</v>
      </c>
      <c r="E7405" s="0" t="n">
        <v>16.15</v>
      </c>
      <c r="F7405" s="0" t="n">
        <v>46.52</v>
      </c>
      <c r="G7405" s="0" t="n">
        <v>63.20208334</v>
      </c>
      <c r="H7405" s="0" t="n">
        <v>1185.39682213491</v>
      </c>
      <c r="I7405" s="0" t="n">
        <v>0</v>
      </c>
      <c r="J7405" s="0" t="n">
        <v>0.833333333333333</v>
      </c>
    </row>
    <row r="7406" customFormat="false" ht="15.75" hidden="false" customHeight="false" outlineLevel="0" collapsed="false">
      <c r="B7406" s="0" t="n">
        <v>2019</v>
      </c>
      <c r="C7406" s="0" t="n">
        <v>101</v>
      </c>
      <c r="D7406" s="0" t="n">
        <v>7.879</v>
      </c>
      <c r="E7406" s="0" t="n">
        <v>20.26</v>
      </c>
      <c r="F7406" s="0" t="n">
        <v>16.32</v>
      </c>
      <c r="G7406" s="0" t="n">
        <v>58.365</v>
      </c>
      <c r="H7406" s="0" t="n">
        <v>1776.01104972294</v>
      </c>
      <c r="I7406" s="0" t="n">
        <v>0</v>
      </c>
      <c r="J7406" s="0" t="n">
        <v>0.833333333333333</v>
      </c>
    </row>
    <row r="7407" customFormat="false" ht="15.75" hidden="false" customHeight="false" outlineLevel="0" collapsed="false">
      <c r="B7407" s="0" t="n">
        <v>2019</v>
      </c>
      <c r="C7407" s="0" t="n">
        <v>102</v>
      </c>
      <c r="D7407" s="0" t="n">
        <v>-1.23</v>
      </c>
      <c r="E7407" s="0" t="n">
        <v>20.34</v>
      </c>
      <c r="F7407" s="0" t="n">
        <v>19.49</v>
      </c>
      <c r="G7407" s="0" t="n">
        <v>66.23125</v>
      </c>
      <c r="H7407" s="0" t="n">
        <v>1790.04376157407</v>
      </c>
      <c r="I7407" s="0" t="n">
        <v>0</v>
      </c>
      <c r="J7407" s="0" t="n">
        <v>0.833333333333333</v>
      </c>
    </row>
    <row r="7408" customFormat="false" ht="15.75" hidden="false" customHeight="false" outlineLevel="0" collapsed="false">
      <c r="B7408" s="0" t="n">
        <v>2019</v>
      </c>
      <c r="C7408" s="0" t="n">
        <v>103</v>
      </c>
      <c r="D7408" s="0" t="n">
        <v>2.941</v>
      </c>
      <c r="E7408" s="0" t="n">
        <v>19.25</v>
      </c>
      <c r="F7408" s="0" t="n">
        <v>12.69</v>
      </c>
      <c r="G7408" s="0" t="n">
        <v>87.50291666</v>
      </c>
      <c r="H7408" s="0" t="n">
        <v>1554.89612929395</v>
      </c>
      <c r="I7408" s="0" t="n">
        <v>0</v>
      </c>
      <c r="J7408" s="0" t="n">
        <v>0.833333333333333</v>
      </c>
    </row>
    <row r="7409" customFormat="false" ht="15.75" hidden="false" customHeight="false" outlineLevel="0" collapsed="false">
      <c r="B7409" s="0" t="n">
        <v>2019</v>
      </c>
      <c r="C7409" s="0" t="n">
        <v>104</v>
      </c>
      <c r="D7409" s="0" t="n">
        <v>-1.059</v>
      </c>
      <c r="E7409" s="0" t="n">
        <v>15.48</v>
      </c>
      <c r="F7409" s="0" t="n">
        <v>34.84</v>
      </c>
      <c r="G7409" s="0" t="n">
        <v>92.42666666</v>
      </c>
      <c r="H7409" s="0" t="n">
        <v>1419.35642049353</v>
      </c>
      <c r="I7409" s="0" t="n">
        <v>0</v>
      </c>
      <c r="J7409" s="0" t="n">
        <v>0.833333333333333</v>
      </c>
    </row>
    <row r="7410" customFormat="false" ht="15.75" hidden="false" customHeight="false" outlineLevel="0" collapsed="false">
      <c r="B7410" s="0" t="n">
        <v>2019</v>
      </c>
      <c r="C7410" s="0" t="n">
        <v>105</v>
      </c>
      <c r="D7410" s="0" t="n">
        <v>3.702</v>
      </c>
      <c r="E7410" s="0" t="n">
        <v>14.02</v>
      </c>
      <c r="F7410" s="0" t="n">
        <v>70.92</v>
      </c>
      <c r="G7410" s="0" t="n">
        <v>100</v>
      </c>
      <c r="H7410" s="0" t="n">
        <v>633.400359986318</v>
      </c>
      <c r="I7410" s="0" t="n">
        <v>2.6</v>
      </c>
      <c r="J7410" s="0" t="n">
        <v>0.833333333333333</v>
      </c>
    </row>
    <row r="7411" customFormat="false" ht="15.75" hidden="false" customHeight="false" outlineLevel="0" collapsed="false">
      <c r="B7411" s="0" t="n">
        <v>2019</v>
      </c>
      <c r="C7411" s="0" t="n">
        <v>106</v>
      </c>
      <c r="D7411" s="0" t="n">
        <v>3.491</v>
      </c>
      <c r="E7411" s="0" t="n">
        <v>17.49</v>
      </c>
      <c r="F7411" s="0" t="n">
        <v>47.76</v>
      </c>
      <c r="G7411" s="0" t="n">
        <v>100</v>
      </c>
      <c r="H7411" s="0" t="n">
        <v>1470.64873016718</v>
      </c>
      <c r="I7411" s="0" t="n">
        <v>0</v>
      </c>
      <c r="J7411" s="0" t="n">
        <v>0.833333333333333</v>
      </c>
    </row>
    <row r="7412" customFormat="false" ht="15.75" hidden="false" customHeight="false" outlineLevel="0" collapsed="false">
      <c r="B7412" s="0" t="n">
        <v>2019</v>
      </c>
      <c r="C7412" s="0" t="n">
        <v>107</v>
      </c>
      <c r="D7412" s="0" t="n">
        <v>6.924</v>
      </c>
      <c r="E7412" s="0" t="n">
        <v>18.64</v>
      </c>
      <c r="F7412" s="0" t="n">
        <v>41.26</v>
      </c>
      <c r="G7412" s="0" t="n">
        <v>100</v>
      </c>
      <c r="H7412" s="0" t="n">
        <v>1428.27818359076</v>
      </c>
      <c r="I7412" s="0" t="n">
        <v>0</v>
      </c>
      <c r="J7412" s="0" t="n">
        <v>0.833333333333333</v>
      </c>
    </row>
    <row r="7413" customFormat="false" ht="15.75" hidden="false" customHeight="false" outlineLevel="0" collapsed="false">
      <c r="B7413" s="0" t="n">
        <v>2019</v>
      </c>
      <c r="C7413" s="0" t="n">
        <v>108</v>
      </c>
      <c r="D7413" s="0" t="n">
        <v>6.316</v>
      </c>
      <c r="E7413" s="0" t="n">
        <v>21.09</v>
      </c>
      <c r="F7413" s="0" t="n">
        <v>33.78</v>
      </c>
      <c r="G7413" s="0" t="n">
        <v>95.15458334</v>
      </c>
      <c r="H7413" s="0" t="n">
        <v>1672.59314138909</v>
      </c>
      <c r="I7413" s="0" t="n">
        <v>0</v>
      </c>
      <c r="J7413" s="0" t="n">
        <v>0.833333333333333</v>
      </c>
    </row>
    <row r="7414" customFormat="false" ht="15.75" hidden="false" customHeight="false" outlineLevel="0" collapsed="false">
      <c r="B7414" s="0" t="n">
        <v>2019</v>
      </c>
      <c r="C7414" s="0" t="n">
        <v>109</v>
      </c>
      <c r="D7414" s="0" t="n">
        <v>4.806</v>
      </c>
      <c r="E7414" s="0" t="n">
        <v>21.93</v>
      </c>
      <c r="F7414" s="0" t="n">
        <v>29.37</v>
      </c>
      <c r="G7414" s="0" t="n">
        <v>91.69791666</v>
      </c>
      <c r="H7414" s="0" t="n">
        <v>1561.56517215434</v>
      </c>
      <c r="I7414" s="0" t="n">
        <v>0</v>
      </c>
      <c r="J7414" s="0" t="n">
        <v>0.833333333333333</v>
      </c>
    </row>
    <row r="7415" customFormat="false" ht="15.75" hidden="false" customHeight="false" outlineLevel="0" collapsed="false">
      <c r="B7415" s="0" t="n">
        <v>2019</v>
      </c>
      <c r="C7415" s="0" t="n">
        <v>110</v>
      </c>
      <c r="D7415" s="0" t="n">
        <v>8.41</v>
      </c>
      <c r="E7415" s="0" t="n">
        <v>14.58</v>
      </c>
      <c r="F7415" s="0" t="n">
        <v>57.07</v>
      </c>
      <c r="G7415" s="0" t="n">
        <v>100</v>
      </c>
      <c r="H7415" s="0" t="n">
        <v>352.401941552459</v>
      </c>
      <c r="I7415" s="0" t="n">
        <v>3</v>
      </c>
      <c r="J7415" s="0" t="n">
        <v>0.833333333333333</v>
      </c>
    </row>
    <row r="7416" customFormat="false" ht="15.75" hidden="false" customHeight="false" outlineLevel="0" collapsed="false">
      <c r="B7416" s="0" t="n">
        <v>2019</v>
      </c>
      <c r="C7416" s="0" t="n">
        <v>111</v>
      </c>
      <c r="D7416" s="0" t="n">
        <v>8.42</v>
      </c>
      <c r="E7416" s="0" t="n">
        <v>21.32</v>
      </c>
      <c r="F7416" s="0" t="n">
        <v>38.69</v>
      </c>
      <c r="G7416" s="0" t="n">
        <v>98.35</v>
      </c>
      <c r="H7416" s="0" t="n">
        <v>1043.30246426251</v>
      </c>
      <c r="I7416" s="0" t="n">
        <v>7.4</v>
      </c>
      <c r="J7416" s="0" t="n">
        <v>0.833333333333333</v>
      </c>
    </row>
    <row r="7417" customFormat="false" ht="15.75" hidden="false" customHeight="false" outlineLevel="0" collapsed="false">
      <c r="B7417" s="0" t="n">
        <v>2019</v>
      </c>
      <c r="C7417" s="0" t="n">
        <v>112</v>
      </c>
      <c r="D7417" s="0" t="n">
        <v>10.99</v>
      </c>
      <c r="E7417" s="0" t="n">
        <v>12.83</v>
      </c>
      <c r="F7417" s="0" t="n">
        <v>95.3</v>
      </c>
      <c r="G7417" s="0" t="n">
        <v>99.6</v>
      </c>
      <c r="H7417" s="0" t="n">
        <v>211.334480683158</v>
      </c>
      <c r="I7417" s="0" t="n">
        <v>10.8</v>
      </c>
      <c r="J7417" s="0" t="n">
        <v>0.833333333333333</v>
      </c>
    </row>
    <row r="7418" customFormat="false" ht="15.75" hidden="false" customHeight="false" outlineLevel="0" collapsed="false">
      <c r="B7418" s="0" t="n">
        <v>2019</v>
      </c>
      <c r="C7418" s="0" t="n">
        <v>113</v>
      </c>
      <c r="D7418" s="0" t="n">
        <v>10.71</v>
      </c>
      <c r="E7418" s="0" t="n">
        <v>18.04</v>
      </c>
      <c r="F7418" s="0" t="n">
        <v>54.15</v>
      </c>
      <c r="G7418" s="0" t="n">
        <v>100</v>
      </c>
      <c r="H7418" s="0" t="n">
        <v>1224.78181648476</v>
      </c>
      <c r="I7418" s="0" t="n">
        <v>0</v>
      </c>
      <c r="J7418" s="0" t="n">
        <v>0.833333333333333</v>
      </c>
    </row>
    <row r="7419" customFormat="false" ht="15.75" hidden="false" customHeight="false" outlineLevel="0" collapsed="false">
      <c r="B7419" s="0" t="n">
        <v>2019</v>
      </c>
      <c r="C7419" s="0" t="n">
        <v>114</v>
      </c>
      <c r="D7419" s="0" t="n">
        <v>7.016</v>
      </c>
      <c r="E7419" s="0" t="n">
        <v>13.09</v>
      </c>
      <c r="F7419" s="0" t="n">
        <v>83.1</v>
      </c>
      <c r="G7419" s="0" t="n">
        <v>100</v>
      </c>
      <c r="H7419" s="0" t="n">
        <v>75.4976583855269</v>
      </c>
      <c r="I7419" s="0" t="n">
        <v>19.6</v>
      </c>
      <c r="J7419" s="0" t="n">
        <v>0.833333333333333</v>
      </c>
    </row>
    <row r="7420" customFormat="false" ht="15.75" hidden="false" customHeight="false" outlineLevel="0" collapsed="false">
      <c r="B7420" s="0" t="n">
        <v>2019</v>
      </c>
      <c r="C7420" s="0" t="n">
        <v>115</v>
      </c>
      <c r="D7420" s="0" t="n">
        <v>4.171</v>
      </c>
      <c r="E7420" s="0" t="n">
        <v>16.85</v>
      </c>
      <c r="F7420" s="0" t="n">
        <v>44.3</v>
      </c>
      <c r="G7420" s="0" t="n">
        <v>100</v>
      </c>
      <c r="H7420" s="0" t="n">
        <v>1478.86645384353</v>
      </c>
      <c r="I7420" s="0" t="n">
        <v>0.2</v>
      </c>
      <c r="J7420" s="0" t="n">
        <v>0.833333333333333</v>
      </c>
    </row>
    <row r="7421" customFormat="false" ht="15.75" hidden="false" customHeight="false" outlineLevel="0" collapsed="false">
      <c r="B7421" s="0" t="n">
        <v>2019</v>
      </c>
      <c r="C7421" s="0" t="n">
        <v>116</v>
      </c>
      <c r="D7421" s="0" t="n">
        <v>9.51</v>
      </c>
      <c r="E7421" s="0" t="n">
        <v>17.18</v>
      </c>
      <c r="F7421" s="0" t="n">
        <v>54.04</v>
      </c>
      <c r="G7421" s="0" t="n">
        <v>70.0525</v>
      </c>
      <c r="H7421" s="0" t="n">
        <v>1415.2330080806</v>
      </c>
      <c r="I7421" s="0" t="n">
        <v>0</v>
      </c>
      <c r="J7421" s="0" t="n">
        <v>0.833333333333333</v>
      </c>
    </row>
    <row r="7422" customFormat="false" ht="15.75" hidden="false" customHeight="false" outlineLevel="0" collapsed="false">
      <c r="B7422" s="0" t="n">
        <v>2019</v>
      </c>
      <c r="C7422" s="0" t="n">
        <v>117</v>
      </c>
      <c r="D7422" s="0" t="n">
        <v>7.956</v>
      </c>
      <c r="E7422" s="0" t="n">
        <v>16.44</v>
      </c>
      <c r="F7422" s="0" t="n">
        <v>38.46</v>
      </c>
      <c r="G7422" s="0" t="n">
        <v>68.39791666</v>
      </c>
      <c r="H7422" s="0" t="n">
        <v>1411.29305436217</v>
      </c>
      <c r="I7422" s="0" t="n">
        <v>0</v>
      </c>
      <c r="J7422" s="0" t="n">
        <v>0.833333333333333</v>
      </c>
    </row>
    <row r="7423" customFormat="false" ht="15.75" hidden="false" customHeight="false" outlineLevel="0" collapsed="false">
      <c r="B7423" s="0" t="n">
        <v>2019</v>
      </c>
      <c r="C7423" s="0" t="n">
        <v>118</v>
      </c>
      <c r="D7423" s="0" t="n">
        <v>4.388</v>
      </c>
      <c r="E7423" s="0" t="n">
        <v>20.62</v>
      </c>
      <c r="F7423" s="0" t="n">
        <v>26.3</v>
      </c>
      <c r="G7423" s="0" t="n">
        <v>76.9825</v>
      </c>
      <c r="H7423" s="0" t="n">
        <v>1720.29024203029</v>
      </c>
      <c r="I7423" s="0" t="n">
        <v>0</v>
      </c>
      <c r="J7423" s="0" t="n">
        <v>0.833333333333333</v>
      </c>
    </row>
    <row r="7424" customFormat="false" ht="15.75" hidden="false" customHeight="false" outlineLevel="0" collapsed="false">
      <c r="B7424" s="0" t="n">
        <v>2019</v>
      </c>
      <c r="C7424" s="0" t="n">
        <v>119</v>
      </c>
      <c r="D7424" s="0" t="n">
        <v>2.05</v>
      </c>
      <c r="E7424" s="0" t="n">
        <v>21.75</v>
      </c>
      <c r="F7424" s="0" t="n">
        <v>29.75</v>
      </c>
      <c r="G7424" s="0" t="n">
        <v>87.69125</v>
      </c>
      <c r="H7424" s="0" t="n">
        <v>1684.65067200375</v>
      </c>
      <c r="I7424" s="0" t="n">
        <v>0</v>
      </c>
      <c r="J7424" s="0" t="n">
        <v>0.833333333333333</v>
      </c>
    </row>
    <row r="7425" customFormat="false" ht="15.75" hidden="false" customHeight="false" outlineLevel="0" collapsed="false">
      <c r="B7425" s="0" t="n">
        <v>2019</v>
      </c>
      <c r="C7425" s="0" t="n">
        <v>120</v>
      </c>
      <c r="D7425" s="0" t="n">
        <v>5.584</v>
      </c>
      <c r="E7425" s="0" t="n">
        <v>22.22</v>
      </c>
      <c r="F7425" s="0" t="n">
        <v>37.82</v>
      </c>
      <c r="G7425" s="0" t="n">
        <v>97.64333334</v>
      </c>
      <c r="H7425" s="0" t="n">
        <v>1826.21240913695</v>
      </c>
      <c r="I7425" s="0" t="n">
        <v>0</v>
      </c>
      <c r="J7425" s="0" t="n">
        <v>0.833333333333333</v>
      </c>
    </row>
    <row r="7426" customFormat="false" ht="15.75" hidden="false" customHeight="false" outlineLevel="0" collapsed="false">
      <c r="B7426" s="0" t="n">
        <v>2019</v>
      </c>
      <c r="C7426" s="0" t="n">
        <v>121</v>
      </c>
      <c r="D7426" s="0" t="n">
        <v>7.506</v>
      </c>
      <c r="E7426" s="0" t="n">
        <v>19.95</v>
      </c>
      <c r="F7426" s="0" t="n">
        <v>38.41</v>
      </c>
      <c r="G7426" s="0" t="n">
        <v>90.56125</v>
      </c>
      <c r="H7426" s="0" t="n">
        <v>1596.32770749877</v>
      </c>
      <c r="I7426" s="0" t="n">
        <v>1.2</v>
      </c>
      <c r="J7426" s="0" t="n">
        <v>0.833333333333333</v>
      </c>
    </row>
    <row r="7427" customFormat="false" ht="15.75" hidden="false" customHeight="false" outlineLevel="0" collapsed="false">
      <c r="B7427" s="0" t="n">
        <v>2019</v>
      </c>
      <c r="C7427" s="0" t="n">
        <v>122</v>
      </c>
      <c r="D7427" s="0" t="n">
        <v>10.52</v>
      </c>
      <c r="E7427" s="0" t="n">
        <v>16.58</v>
      </c>
      <c r="F7427" s="0" t="n">
        <v>50.78</v>
      </c>
      <c r="G7427" s="0" t="n">
        <v>71.57</v>
      </c>
      <c r="H7427" s="0" t="n">
        <v>1034.98588131828</v>
      </c>
      <c r="I7427" s="0" t="n">
        <v>0</v>
      </c>
      <c r="J7427" s="0" t="n">
        <v>0.833333333333333</v>
      </c>
    </row>
    <row r="7428" customFormat="false" ht="15.75" hidden="false" customHeight="false" outlineLevel="0" collapsed="false">
      <c r="B7428" s="0" t="n">
        <v>2019</v>
      </c>
      <c r="C7428" s="0" t="n">
        <v>123</v>
      </c>
      <c r="D7428" s="0" t="n">
        <v>7.078</v>
      </c>
      <c r="E7428" s="0" t="n">
        <v>17.68</v>
      </c>
      <c r="F7428" s="0" t="n">
        <v>39.08</v>
      </c>
      <c r="G7428" s="0" t="n">
        <v>66.0275</v>
      </c>
      <c r="H7428" s="0" t="n">
        <v>1360.37331665544</v>
      </c>
      <c r="I7428" s="0" t="n">
        <v>0</v>
      </c>
      <c r="J7428" s="0" t="n">
        <v>0.833333333333333</v>
      </c>
    </row>
    <row r="7429" customFormat="false" ht="15.75" hidden="false" customHeight="false" outlineLevel="0" collapsed="false">
      <c r="B7429" s="0" t="n">
        <v>2019</v>
      </c>
      <c r="C7429" s="0" t="n">
        <v>124</v>
      </c>
      <c r="D7429" s="0" t="n">
        <v>5.894</v>
      </c>
      <c r="E7429" s="0" t="n">
        <v>13.31</v>
      </c>
      <c r="F7429" s="0" t="n">
        <v>30.63</v>
      </c>
      <c r="G7429" s="0" t="n">
        <v>50.61583334</v>
      </c>
      <c r="H7429" s="0" t="n">
        <v>1927.16360780462</v>
      </c>
      <c r="I7429" s="0" t="n">
        <v>0</v>
      </c>
      <c r="J7429" s="0" t="n">
        <v>0.833333333333333</v>
      </c>
    </row>
    <row r="7430" customFormat="false" ht="15.75" hidden="false" customHeight="false" outlineLevel="0" collapsed="false">
      <c r="B7430" s="0" t="n">
        <v>2019</v>
      </c>
      <c r="C7430" s="0" t="n">
        <v>125</v>
      </c>
      <c r="D7430" s="0" t="n">
        <v>3.794</v>
      </c>
      <c r="E7430" s="0" t="n">
        <v>19.23</v>
      </c>
      <c r="F7430" s="0" t="n">
        <v>26.99</v>
      </c>
      <c r="G7430" s="0" t="n">
        <v>58.03041666</v>
      </c>
      <c r="H7430" s="0" t="n">
        <v>1920.00828251476</v>
      </c>
      <c r="I7430" s="0" t="n">
        <v>0</v>
      </c>
      <c r="J7430" s="0" t="n">
        <v>0.833333333333333</v>
      </c>
    </row>
    <row r="7431" customFormat="false" ht="15.75" hidden="false" customHeight="false" outlineLevel="0" collapsed="false">
      <c r="B7431" s="0" t="n">
        <v>2019</v>
      </c>
      <c r="C7431" s="0" t="n">
        <v>126</v>
      </c>
      <c r="D7431" s="0" t="n">
        <v>0.44</v>
      </c>
      <c r="E7431" s="0" t="n">
        <v>18.61</v>
      </c>
      <c r="F7431" s="0" t="n">
        <v>35.76</v>
      </c>
      <c r="G7431" s="0" t="n">
        <v>91.2575</v>
      </c>
      <c r="H7431" s="0" t="n">
        <v>1639.59123334718</v>
      </c>
      <c r="I7431" s="0" t="n">
        <v>0.2</v>
      </c>
      <c r="J7431" s="0" t="n">
        <v>0.833333333333333</v>
      </c>
    </row>
    <row r="7432" customFormat="false" ht="15.75" hidden="false" customHeight="false" outlineLevel="0" collapsed="false">
      <c r="B7432" s="0" t="n">
        <v>2019</v>
      </c>
      <c r="C7432" s="0" t="n">
        <v>127</v>
      </c>
      <c r="D7432" s="0" t="n">
        <v>8.17</v>
      </c>
      <c r="E7432" s="0" t="n">
        <v>13.05</v>
      </c>
      <c r="F7432" s="0" t="n">
        <v>92.8</v>
      </c>
      <c r="G7432" s="0" t="n">
        <v>100</v>
      </c>
      <c r="H7432" s="0" t="n">
        <v>115.319756930457</v>
      </c>
      <c r="I7432" s="0" t="n">
        <v>27.6</v>
      </c>
      <c r="J7432" s="0" t="n">
        <v>0.833333333333333</v>
      </c>
    </row>
    <row r="7433" customFormat="false" ht="15.75" hidden="false" customHeight="false" outlineLevel="0" collapsed="false">
      <c r="B7433" s="0" t="n">
        <v>2019</v>
      </c>
      <c r="C7433" s="0" t="n">
        <v>128</v>
      </c>
      <c r="D7433" s="0" t="n">
        <v>5.598</v>
      </c>
      <c r="E7433" s="0" t="n">
        <v>18.68</v>
      </c>
      <c r="F7433" s="0" t="n">
        <v>50.18</v>
      </c>
      <c r="G7433" s="0" t="n">
        <v>95.55083334</v>
      </c>
      <c r="H7433" s="0" t="n">
        <v>1009.74770841058</v>
      </c>
      <c r="I7433" s="0" t="n">
        <v>0.2</v>
      </c>
      <c r="J7433" s="0" t="n">
        <v>0.833333333333333</v>
      </c>
    </row>
    <row r="7434" customFormat="false" ht="15.75" hidden="false" customHeight="false" outlineLevel="0" collapsed="false">
      <c r="B7434" s="0" t="n">
        <v>2019</v>
      </c>
      <c r="C7434" s="0" t="n">
        <v>129</v>
      </c>
      <c r="D7434" s="0" t="n">
        <v>10.03</v>
      </c>
      <c r="E7434" s="0" t="n">
        <v>20.93</v>
      </c>
      <c r="F7434" s="0" t="n">
        <v>50.65</v>
      </c>
      <c r="G7434" s="0" t="n">
        <v>87.07875</v>
      </c>
      <c r="H7434" s="0" t="n">
        <v>1448.44292923627</v>
      </c>
      <c r="I7434" s="0" t="n">
        <v>0</v>
      </c>
      <c r="J7434" s="0" t="n">
        <v>0.833333333333333</v>
      </c>
    </row>
    <row r="7435" customFormat="false" ht="15.75" hidden="false" customHeight="false" outlineLevel="0" collapsed="false">
      <c r="B7435" s="0" t="n">
        <v>2019</v>
      </c>
      <c r="C7435" s="0" t="n">
        <v>130</v>
      </c>
      <c r="D7435" s="0" t="n">
        <v>10.13</v>
      </c>
      <c r="E7435" s="0" t="n">
        <v>19.91</v>
      </c>
      <c r="F7435" s="0" t="n">
        <v>39.61</v>
      </c>
      <c r="G7435" s="0" t="n">
        <v>88.96083334</v>
      </c>
      <c r="H7435" s="0" t="n">
        <v>1489.32878662963</v>
      </c>
      <c r="I7435" s="0" t="n">
        <v>0.4</v>
      </c>
      <c r="J7435" s="0" t="n">
        <v>0.833333333333333</v>
      </c>
    </row>
    <row r="7436" customFormat="false" ht="15.75" hidden="false" customHeight="false" outlineLevel="0" collapsed="false">
      <c r="B7436" s="0" t="n">
        <v>2019</v>
      </c>
      <c r="C7436" s="0" t="n">
        <v>131</v>
      </c>
      <c r="D7436" s="0" t="n">
        <v>10.68</v>
      </c>
      <c r="E7436" s="0" t="n">
        <v>19.71</v>
      </c>
      <c r="F7436" s="0" t="n">
        <v>29.54</v>
      </c>
      <c r="G7436" s="0" t="n">
        <v>57.85958334</v>
      </c>
      <c r="H7436" s="0" t="n">
        <v>1714.65970665565</v>
      </c>
      <c r="I7436" s="0" t="n">
        <v>0</v>
      </c>
      <c r="J7436" s="0" t="n">
        <v>0.833333333333333</v>
      </c>
    </row>
    <row r="7437" customFormat="false" ht="15.75" hidden="false" customHeight="false" outlineLevel="0" collapsed="false">
      <c r="B7437" s="0" t="n">
        <v>2019</v>
      </c>
      <c r="C7437" s="0" t="n">
        <v>132</v>
      </c>
      <c r="D7437" s="0" t="n">
        <v>8.61</v>
      </c>
      <c r="E7437" s="0" t="n">
        <v>23.58</v>
      </c>
      <c r="F7437" s="0" t="n">
        <v>28.63</v>
      </c>
      <c r="G7437" s="0" t="n">
        <v>45.12958334</v>
      </c>
      <c r="H7437" s="0" t="n">
        <v>1917.6418008847</v>
      </c>
      <c r="I7437" s="0" t="n">
        <v>0</v>
      </c>
      <c r="J7437" s="0" t="n">
        <v>0.833333333333333</v>
      </c>
    </row>
    <row r="7438" customFormat="false" ht="15.75" hidden="false" customHeight="false" outlineLevel="0" collapsed="false">
      <c r="B7438" s="0" t="n">
        <v>2019</v>
      </c>
      <c r="C7438" s="0" t="n">
        <v>133</v>
      </c>
      <c r="D7438" s="0" t="n">
        <v>4.102</v>
      </c>
      <c r="E7438" s="0" t="n">
        <v>23.89</v>
      </c>
      <c r="F7438" s="0" t="n">
        <v>29.57</v>
      </c>
      <c r="G7438" s="0" t="n">
        <v>88.8875</v>
      </c>
      <c r="H7438" s="0" t="n">
        <v>1914.14200595602</v>
      </c>
      <c r="I7438" s="0" t="n">
        <v>0</v>
      </c>
      <c r="J7438" s="0" t="n">
        <v>0.833333333333333</v>
      </c>
    </row>
    <row r="7439" customFormat="false" ht="15.75" hidden="false" customHeight="false" outlineLevel="0" collapsed="false">
      <c r="B7439" s="0" t="n">
        <v>2019</v>
      </c>
      <c r="C7439" s="0" t="n">
        <v>134</v>
      </c>
      <c r="D7439" s="0" t="n">
        <v>2.498</v>
      </c>
      <c r="E7439" s="0" t="n">
        <v>21.68</v>
      </c>
      <c r="F7439" s="0" t="n">
        <v>22.76</v>
      </c>
      <c r="G7439" s="0" t="n">
        <v>87.92666666</v>
      </c>
      <c r="H7439" s="0" t="n">
        <v>1937.16145388432</v>
      </c>
      <c r="I7439" s="0" t="n">
        <v>0</v>
      </c>
      <c r="J7439" s="0" t="n">
        <v>0.833333333333333</v>
      </c>
    </row>
    <row r="7440" customFormat="false" ht="15.75" hidden="false" customHeight="false" outlineLevel="0" collapsed="false">
      <c r="B7440" s="0" t="n">
        <v>2019</v>
      </c>
      <c r="C7440" s="0" t="n">
        <v>135</v>
      </c>
      <c r="D7440" s="0" t="n">
        <v>2.529</v>
      </c>
      <c r="E7440" s="0" t="n">
        <v>20.66</v>
      </c>
      <c r="F7440" s="0" t="n">
        <v>34.71</v>
      </c>
      <c r="G7440" s="0" t="n">
        <v>94.17791666</v>
      </c>
      <c r="H7440" s="0" t="n">
        <v>1801.71202529509</v>
      </c>
      <c r="I7440" s="0" t="n">
        <v>0</v>
      </c>
      <c r="J7440" s="0" t="n">
        <v>0.833333333333333</v>
      </c>
    </row>
    <row r="7441" customFormat="false" ht="15.75" hidden="false" customHeight="false" outlineLevel="0" collapsed="false">
      <c r="B7441" s="0" t="n">
        <v>2019</v>
      </c>
      <c r="C7441" s="0" t="n">
        <v>136</v>
      </c>
      <c r="D7441" s="0" t="n">
        <v>9.22</v>
      </c>
      <c r="E7441" s="0" t="n">
        <v>12.01</v>
      </c>
      <c r="F7441" s="0" t="n">
        <v>85.2</v>
      </c>
      <c r="G7441" s="0" t="n">
        <v>100</v>
      </c>
      <c r="H7441" s="0" t="n">
        <v>238.039987555854</v>
      </c>
      <c r="I7441" s="0" t="n">
        <v>20.4</v>
      </c>
      <c r="J7441" s="0" t="n">
        <v>0.833333333333333</v>
      </c>
    </row>
    <row r="7442" customFormat="false" ht="15.75" hidden="false" customHeight="false" outlineLevel="0" collapsed="false">
      <c r="B7442" s="0" t="n">
        <v>2019</v>
      </c>
      <c r="C7442" s="0" t="n">
        <v>137</v>
      </c>
      <c r="D7442" s="0" t="n">
        <v>9.18</v>
      </c>
      <c r="E7442" s="0" t="n">
        <v>18.06</v>
      </c>
      <c r="F7442" s="0" t="n">
        <v>49.85</v>
      </c>
      <c r="G7442" s="0" t="n">
        <v>94.0075</v>
      </c>
      <c r="H7442" s="0" t="n">
        <v>1413.23917267182</v>
      </c>
      <c r="I7442" s="0" t="n">
        <v>0.2</v>
      </c>
      <c r="J7442" s="0" t="n">
        <v>0.833333333333333</v>
      </c>
    </row>
    <row r="7443" customFormat="false" ht="15.75" hidden="false" customHeight="false" outlineLevel="0" collapsed="false">
      <c r="B7443" s="0" t="n">
        <v>2019</v>
      </c>
      <c r="C7443" s="0" t="n">
        <v>138</v>
      </c>
      <c r="D7443" s="0" t="n">
        <v>10.67</v>
      </c>
      <c r="E7443" s="0" t="n">
        <v>15.63</v>
      </c>
      <c r="F7443" s="0" t="n">
        <v>57.58</v>
      </c>
      <c r="G7443" s="0" t="n">
        <v>79.81125</v>
      </c>
      <c r="H7443" s="0" t="n">
        <v>831.52714443084</v>
      </c>
      <c r="I7443" s="0" t="n">
        <v>2</v>
      </c>
      <c r="J7443" s="0" t="n">
        <v>0.833333333333333</v>
      </c>
    </row>
    <row r="7444" customFormat="false" ht="15.75" hidden="false" customHeight="false" outlineLevel="0" collapsed="false">
      <c r="B7444" s="0" t="n">
        <v>2019</v>
      </c>
      <c r="C7444" s="0" t="n">
        <v>139</v>
      </c>
      <c r="D7444" s="0" t="n">
        <v>12.68</v>
      </c>
      <c r="E7444" s="0" t="n">
        <v>19.91</v>
      </c>
      <c r="F7444" s="0" t="n">
        <v>42.72</v>
      </c>
      <c r="G7444" s="0" t="n">
        <v>76.58125</v>
      </c>
      <c r="H7444" s="0" t="n">
        <v>1837.52807899038</v>
      </c>
      <c r="I7444" s="0" t="n">
        <v>0</v>
      </c>
      <c r="J7444" s="0" t="n">
        <v>0.833333333333333</v>
      </c>
    </row>
    <row r="7445" customFormat="false" ht="15.75" hidden="false" customHeight="false" outlineLevel="0" collapsed="false">
      <c r="B7445" s="0" t="n">
        <v>2019</v>
      </c>
      <c r="C7445" s="0" t="n">
        <v>140</v>
      </c>
      <c r="D7445" s="0" t="n">
        <v>8.34</v>
      </c>
      <c r="E7445" s="0" t="n">
        <v>23</v>
      </c>
      <c r="F7445" s="0" t="n">
        <v>40.52</v>
      </c>
      <c r="G7445" s="0" t="n">
        <v>74.56166666</v>
      </c>
      <c r="H7445" s="0" t="n">
        <v>1603.91769526739</v>
      </c>
      <c r="I7445" s="0" t="n">
        <v>0</v>
      </c>
      <c r="J7445" s="0" t="n">
        <v>0.833333333333333</v>
      </c>
    </row>
    <row r="7446" customFormat="false" ht="15.75" hidden="false" customHeight="false" outlineLevel="0" collapsed="false">
      <c r="B7446" s="0" t="n">
        <v>2019</v>
      </c>
      <c r="C7446" s="0" t="n">
        <v>141</v>
      </c>
      <c r="D7446" s="0" t="n">
        <v>7.449</v>
      </c>
      <c r="E7446" s="0" t="n">
        <v>25.74</v>
      </c>
      <c r="F7446" s="0" t="n">
        <v>29</v>
      </c>
      <c r="G7446" s="0" t="n">
        <v>81.22291666</v>
      </c>
      <c r="H7446" s="0" t="n">
        <v>1643.34386724549</v>
      </c>
      <c r="I7446" s="0" t="n">
        <v>0</v>
      </c>
      <c r="J7446" s="0" t="n">
        <v>0.833333333333333</v>
      </c>
    </row>
    <row r="7447" customFormat="false" ht="15.75" hidden="false" customHeight="false" outlineLevel="0" collapsed="false">
      <c r="B7447" s="0" t="n">
        <v>2019</v>
      </c>
      <c r="C7447" s="0" t="n">
        <v>142</v>
      </c>
      <c r="D7447" s="0" t="n">
        <v>7.622</v>
      </c>
      <c r="E7447" s="0" t="n">
        <v>25.62</v>
      </c>
      <c r="F7447" s="0" t="n">
        <v>33.32</v>
      </c>
      <c r="G7447" s="0" t="n">
        <v>90.64833334</v>
      </c>
      <c r="H7447" s="0" t="n">
        <v>1871.18766622786</v>
      </c>
      <c r="I7447" s="0" t="n">
        <v>0</v>
      </c>
      <c r="J7447" s="0" t="n">
        <v>0.833333333333333</v>
      </c>
    </row>
    <row r="7448" customFormat="false" ht="15.75" hidden="false" customHeight="false" outlineLevel="0" collapsed="false">
      <c r="B7448" s="0" t="n">
        <v>2019</v>
      </c>
      <c r="C7448" s="0" t="n">
        <v>143</v>
      </c>
      <c r="D7448" s="0" t="n">
        <v>12.86</v>
      </c>
      <c r="E7448" s="0" t="n">
        <v>20.88</v>
      </c>
      <c r="F7448" s="0" t="n">
        <v>54.57</v>
      </c>
      <c r="G7448" s="0" t="n">
        <v>81.09375</v>
      </c>
      <c r="H7448" s="0" t="n">
        <v>557.54893519249</v>
      </c>
      <c r="I7448" s="0" t="n">
        <v>0</v>
      </c>
      <c r="J7448" s="0" t="n">
        <v>0.833333333333333</v>
      </c>
    </row>
    <row r="7449" customFormat="false" ht="15.75" hidden="false" customHeight="false" outlineLevel="0" collapsed="false">
      <c r="B7449" s="0" t="n">
        <v>2019</v>
      </c>
      <c r="C7449" s="0" t="n">
        <v>144</v>
      </c>
      <c r="D7449" s="0" t="n">
        <v>13.68</v>
      </c>
      <c r="E7449" s="0" t="n">
        <v>25.04</v>
      </c>
      <c r="F7449" s="0" t="n">
        <v>43.83</v>
      </c>
      <c r="G7449" s="0" t="n">
        <v>95.16958334</v>
      </c>
      <c r="H7449" s="0" t="n">
        <v>1119.3076391112</v>
      </c>
      <c r="I7449" s="0" t="n">
        <v>11</v>
      </c>
      <c r="J7449" s="0" t="n">
        <v>0.833333333333333</v>
      </c>
    </row>
    <row r="7450" customFormat="false" ht="15.75" hidden="false" customHeight="false" outlineLevel="0" collapsed="false">
      <c r="B7450" s="0" t="n">
        <v>2019</v>
      </c>
      <c r="C7450" s="0" t="n">
        <v>145</v>
      </c>
      <c r="D7450" s="0" t="n">
        <v>15.42</v>
      </c>
      <c r="E7450" s="0" t="n">
        <v>23.63</v>
      </c>
      <c r="F7450" s="0" t="n">
        <v>37.69</v>
      </c>
      <c r="G7450" s="0" t="n">
        <v>76.26958334</v>
      </c>
      <c r="H7450" s="0" t="n">
        <v>1522.38182121926</v>
      </c>
      <c r="I7450" s="0" t="n">
        <v>0</v>
      </c>
      <c r="J7450" s="0" t="n">
        <v>0.833333333333333</v>
      </c>
    </row>
    <row r="7451" customFormat="false" ht="15.75" hidden="false" customHeight="false" outlineLevel="0" collapsed="false">
      <c r="B7451" s="0" t="n">
        <v>2019</v>
      </c>
      <c r="C7451" s="0" t="n">
        <v>146</v>
      </c>
      <c r="D7451" s="0" t="n">
        <v>15.82</v>
      </c>
      <c r="E7451" s="0" t="n">
        <v>22.17</v>
      </c>
      <c r="F7451" s="0" t="n">
        <v>47.69</v>
      </c>
      <c r="G7451" s="0" t="n">
        <v>72.28583334</v>
      </c>
      <c r="H7451" s="0" t="n">
        <v>1772.38183416411</v>
      </c>
      <c r="I7451" s="0" t="n">
        <v>0</v>
      </c>
      <c r="J7451" s="0" t="n">
        <v>0.833333333333333</v>
      </c>
    </row>
    <row r="7452" customFormat="false" ht="15.75" hidden="false" customHeight="false" outlineLevel="0" collapsed="false">
      <c r="B7452" s="0" t="n">
        <v>2019</v>
      </c>
      <c r="C7452" s="0" t="n">
        <v>147</v>
      </c>
      <c r="D7452" s="0" t="n">
        <v>12.07</v>
      </c>
      <c r="E7452" s="0" t="n">
        <v>18.76</v>
      </c>
      <c r="F7452" s="0" t="n">
        <v>42.49</v>
      </c>
      <c r="G7452" s="0" t="n">
        <v>83.22833334</v>
      </c>
      <c r="H7452" s="0" t="n">
        <v>965.879581117305</v>
      </c>
      <c r="I7452" s="0" t="n">
        <v>0</v>
      </c>
      <c r="J7452" s="0" t="n">
        <v>0.833333333333333</v>
      </c>
    </row>
    <row r="7453" customFormat="false" ht="15.75" hidden="false" customHeight="false" outlineLevel="0" collapsed="false">
      <c r="B7453" s="0" t="n">
        <v>2019</v>
      </c>
      <c r="C7453" s="0" t="n">
        <v>148</v>
      </c>
      <c r="D7453" s="0" t="n">
        <v>11.7</v>
      </c>
      <c r="E7453" s="0" t="n">
        <v>20.72</v>
      </c>
      <c r="F7453" s="0" t="n">
        <v>36.94</v>
      </c>
      <c r="G7453" s="0" t="n">
        <v>63.07125</v>
      </c>
      <c r="H7453" s="0" t="n">
        <v>1717.8217848981</v>
      </c>
      <c r="I7453" s="0" t="n">
        <v>0</v>
      </c>
      <c r="J7453" s="0" t="n">
        <v>0.833333333333333</v>
      </c>
    </row>
    <row r="7454" customFormat="false" ht="15.75" hidden="false" customHeight="false" outlineLevel="0" collapsed="false">
      <c r="B7454" s="0" t="n">
        <v>2019</v>
      </c>
      <c r="C7454" s="0" t="n">
        <v>149</v>
      </c>
      <c r="D7454" s="0" t="n">
        <v>10.34</v>
      </c>
      <c r="E7454" s="0" t="n">
        <v>26.5</v>
      </c>
      <c r="F7454" s="0" t="n">
        <v>34.25</v>
      </c>
      <c r="G7454" s="0" t="n">
        <v>61.21583334</v>
      </c>
      <c r="H7454" s="0" t="n">
        <v>1813.34938779237</v>
      </c>
      <c r="I7454" s="0" t="n">
        <v>0</v>
      </c>
      <c r="J7454" s="0" t="n">
        <v>0.833333333333333</v>
      </c>
    </row>
    <row r="7455" customFormat="false" ht="15.75" hidden="false" customHeight="false" outlineLevel="0" collapsed="false">
      <c r="B7455" s="0" t="n">
        <v>2019</v>
      </c>
      <c r="C7455" s="0" t="n">
        <v>150</v>
      </c>
      <c r="D7455" s="0" t="n">
        <v>8.59</v>
      </c>
      <c r="E7455" s="0" t="n">
        <v>27.67</v>
      </c>
      <c r="F7455" s="0" t="n">
        <v>26.75</v>
      </c>
      <c r="G7455" s="0" t="n">
        <v>87.73791666</v>
      </c>
      <c r="H7455" s="0" t="n">
        <v>1926.64944530464</v>
      </c>
      <c r="I7455" s="0" t="n">
        <v>0</v>
      </c>
      <c r="J7455" s="0" t="n">
        <v>0.833333333333333</v>
      </c>
    </row>
    <row r="7456" customFormat="false" ht="15.75" hidden="false" customHeight="false" outlineLevel="0" collapsed="false">
      <c r="B7456" s="0" t="n">
        <v>2019</v>
      </c>
      <c r="C7456" s="0" t="n">
        <v>151</v>
      </c>
      <c r="D7456" s="0" t="n">
        <v>10.63</v>
      </c>
      <c r="E7456" s="0" t="n">
        <v>27.23</v>
      </c>
      <c r="F7456" s="0" t="n">
        <v>36.06</v>
      </c>
      <c r="G7456" s="0" t="n">
        <v>90.05416666</v>
      </c>
      <c r="H7456" s="0" t="n">
        <v>1901.21831637615</v>
      </c>
      <c r="I7456" s="0" t="n">
        <v>0</v>
      </c>
      <c r="J7456" s="0" t="n">
        <v>0.833333333333333</v>
      </c>
    </row>
    <row r="7457" customFormat="false" ht="15.75" hidden="false" customHeight="false" outlineLevel="0" collapsed="false">
      <c r="B7457" s="0" t="n">
        <v>2019</v>
      </c>
      <c r="C7457" s="0" t="n">
        <v>152</v>
      </c>
      <c r="D7457" s="0" t="n">
        <v>11.22</v>
      </c>
      <c r="E7457" s="0" t="n">
        <v>28.34</v>
      </c>
      <c r="F7457" s="0" t="n">
        <v>30.51</v>
      </c>
      <c r="G7457" s="0" t="n">
        <v>96.44916666</v>
      </c>
      <c r="H7457" s="0" t="n">
        <v>1927.24611377262</v>
      </c>
      <c r="I7457" s="0" t="n">
        <v>0</v>
      </c>
      <c r="J7457" s="0" t="n">
        <v>0.833333333333333</v>
      </c>
    </row>
    <row r="7458" customFormat="false" ht="15.75" hidden="false" customHeight="false" outlineLevel="0" collapsed="false">
      <c r="B7458" s="0" t="n">
        <v>2019</v>
      </c>
      <c r="C7458" s="0" t="n">
        <v>153</v>
      </c>
      <c r="D7458" s="0" t="n">
        <v>13.18</v>
      </c>
      <c r="E7458" s="0" t="n">
        <v>27.98</v>
      </c>
      <c r="F7458" s="0" t="n">
        <v>34.37</v>
      </c>
      <c r="G7458" s="0" t="n">
        <v>100</v>
      </c>
      <c r="H7458" s="0" t="n">
        <v>1596.03569989967</v>
      </c>
      <c r="I7458" s="0" t="n">
        <v>0</v>
      </c>
      <c r="J7458" s="0" t="n">
        <v>0.833333333333333</v>
      </c>
    </row>
    <row r="7459" customFormat="false" ht="15.75" hidden="false" customHeight="false" outlineLevel="0" collapsed="false">
      <c r="B7459" s="0" t="n">
        <v>2019</v>
      </c>
      <c r="C7459" s="0" t="n">
        <v>154</v>
      </c>
      <c r="D7459" s="0" t="n">
        <v>14.45</v>
      </c>
      <c r="E7459" s="0" t="n">
        <v>24.38</v>
      </c>
      <c r="F7459" s="0" t="n">
        <v>39.97</v>
      </c>
      <c r="G7459" s="0" t="n">
        <v>93.95041666</v>
      </c>
      <c r="H7459" s="0" t="n">
        <v>1689.13627443484</v>
      </c>
      <c r="I7459" s="0" t="n">
        <v>0</v>
      </c>
      <c r="J7459" s="0" t="n">
        <v>0.833333333333333</v>
      </c>
    </row>
    <row r="7460" customFormat="false" ht="15.75" hidden="false" customHeight="false" outlineLevel="0" collapsed="false">
      <c r="B7460" s="0" t="n">
        <v>2019</v>
      </c>
      <c r="C7460" s="0" t="n">
        <v>155</v>
      </c>
      <c r="D7460" s="0" t="n">
        <v>11.32</v>
      </c>
      <c r="E7460" s="0" t="n">
        <v>24.19</v>
      </c>
      <c r="F7460" s="0" t="n">
        <v>38.55</v>
      </c>
      <c r="G7460" s="0" t="n">
        <v>94.90666666</v>
      </c>
      <c r="H7460" s="0" t="n">
        <v>1366.89084490238</v>
      </c>
      <c r="I7460" s="0" t="n">
        <v>0.4</v>
      </c>
      <c r="J7460" s="0" t="n">
        <v>0.833333333333333</v>
      </c>
    </row>
    <row r="7461" customFormat="false" ht="15.75" hidden="false" customHeight="false" outlineLevel="0" collapsed="false">
      <c r="B7461" s="0" t="n">
        <v>2019</v>
      </c>
      <c r="C7461" s="0" t="n">
        <v>156</v>
      </c>
      <c r="D7461" s="0" t="n">
        <v>9.67</v>
      </c>
      <c r="E7461" s="0" t="n">
        <v>22.94</v>
      </c>
      <c r="F7461" s="0" t="n">
        <v>32.84</v>
      </c>
      <c r="G7461" s="0" t="n">
        <v>73.79833334</v>
      </c>
      <c r="H7461" s="0" t="n">
        <v>1915.31775316266</v>
      </c>
      <c r="I7461" s="0" t="n">
        <v>0</v>
      </c>
      <c r="J7461" s="0" t="n">
        <v>0.833333333333333</v>
      </c>
    </row>
    <row r="7462" customFormat="false" ht="15.75" hidden="false" customHeight="false" outlineLevel="0" collapsed="false">
      <c r="B7462" s="0" t="n">
        <v>2019</v>
      </c>
      <c r="C7462" s="0" t="n">
        <v>157</v>
      </c>
      <c r="D7462" s="0" t="n">
        <v>12.14</v>
      </c>
      <c r="E7462" s="0" t="n">
        <v>18.79</v>
      </c>
      <c r="F7462" s="0" t="n">
        <v>47.29</v>
      </c>
      <c r="G7462" s="0" t="n">
        <v>96.82166666</v>
      </c>
      <c r="H7462" s="0" t="n">
        <v>640.500351462312</v>
      </c>
      <c r="I7462" s="0" t="n">
        <v>1</v>
      </c>
      <c r="J7462" s="0" t="n">
        <v>0.833333333333333</v>
      </c>
    </row>
    <row r="7463" customFormat="false" ht="15.75" hidden="false" customHeight="false" outlineLevel="0" collapsed="false">
      <c r="B7463" s="0" t="n">
        <v>2019</v>
      </c>
      <c r="C7463" s="0" t="n">
        <v>158</v>
      </c>
      <c r="D7463" s="0" t="n">
        <v>9.13</v>
      </c>
      <c r="E7463" s="0" t="n">
        <v>26.85</v>
      </c>
      <c r="F7463" s="0" t="n">
        <v>19.94</v>
      </c>
      <c r="G7463" s="0" t="n">
        <v>65.04583334</v>
      </c>
      <c r="H7463" s="0" t="n">
        <v>1947.05509071928</v>
      </c>
      <c r="I7463" s="0" t="n">
        <v>0</v>
      </c>
      <c r="J7463" s="0" t="n">
        <v>0.833333333333333</v>
      </c>
    </row>
    <row r="7464" customFormat="false" ht="15.75" hidden="false" customHeight="false" outlineLevel="0" collapsed="false">
      <c r="B7464" s="0" t="n">
        <v>2019</v>
      </c>
      <c r="C7464" s="0" t="n">
        <v>159</v>
      </c>
      <c r="D7464" s="0" t="n">
        <v>12.86</v>
      </c>
      <c r="E7464" s="0" t="n">
        <v>25.44</v>
      </c>
      <c r="F7464" s="0" t="n">
        <v>35.94</v>
      </c>
      <c r="G7464" s="0" t="n">
        <v>83.93375</v>
      </c>
      <c r="H7464" s="0" t="n">
        <v>977.583330871</v>
      </c>
      <c r="I7464" s="0" t="n">
        <v>1.8</v>
      </c>
      <c r="J7464" s="0" t="n">
        <v>0.833333333333333</v>
      </c>
    </row>
    <row r="7465" customFormat="false" ht="15.75" hidden="false" customHeight="false" outlineLevel="0" collapsed="false">
      <c r="B7465" s="0" t="n">
        <v>2019</v>
      </c>
      <c r="C7465" s="0" t="n">
        <v>160</v>
      </c>
      <c r="D7465" s="0" t="n">
        <v>13.92</v>
      </c>
      <c r="E7465" s="0" t="n">
        <v>23.1</v>
      </c>
      <c r="F7465" s="0" t="n">
        <v>48.02</v>
      </c>
      <c r="G7465" s="0" t="n">
        <v>73.90041666</v>
      </c>
      <c r="H7465" s="0" t="n">
        <v>1307.09163584594</v>
      </c>
      <c r="I7465" s="0" t="n">
        <v>1.8</v>
      </c>
      <c r="J7465" s="0" t="n">
        <v>0.833333333333333</v>
      </c>
    </row>
    <row r="7466" customFormat="false" ht="15.75" hidden="false" customHeight="false" outlineLevel="0" collapsed="false">
      <c r="B7466" s="0" t="n">
        <v>2019</v>
      </c>
      <c r="C7466" s="0" t="n">
        <v>161</v>
      </c>
      <c r="D7466" s="0" t="n">
        <v>12.39</v>
      </c>
      <c r="E7466" s="0" t="n">
        <v>16.74</v>
      </c>
      <c r="F7466" s="0" t="n">
        <v>57.53</v>
      </c>
      <c r="G7466" s="0" t="n">
        <v>80.90125</v>
      </c>
      <c r="H7466" s="0" t="n">
        <v>569.186756024415</v>
      </c>
      <c r="I7466" s="0" t="n">
        <v>0.8</v>
      </c>
      <c r="J7466" s="0" t="n">
        <v>0.833333333333333</v>
      </c>
    </row>
    <row r="7467" customFormat="false" ht="15.75" hidden="false" customHeight="false" outlineLevel="0" collapsed="false">
      <c r="B7467" s="0" t="n">
        <v>2019</v>
      </c>
      <c r="C7467" s="0" t="n">
        <v>162</v>
      </c>
      <c r="D7467" s="0" t="n">
        <v>8.53</v>
      </c>
      <c r="E7467" s="0" t="n">
        <v>22.61</v>
      </c>
      <c r="F7467" s="0" t="n">
        <v>31.67</v>
      </c>
      <c r="G7467" s="0" t="n">
        <v>83.09125</v>
      </c>
      <c r="H7467" s="0" t="n">
        <v>1847.49001986055</v>
      </c>
      <c r="I7467" s="0" t="n">
        <v>0</v>
      </c>
      <c r="J7467" s="0" t="n">
        <v>0.833333333333333</v>
      </c>
    </row>
    <row r="7468" customFormat="false" ht="15.75" hidden="false" customHeight="false" outlineLevel="0" collapsed="false">
      <c r="B7468" s="0" t="n">
        <v>2019</v>
      </c>
      <c r="C7468" s="0" t="n">
        <v>163</v>
      </c>
      <c r="D7468" s="0" t="n">
        <v>6.941</v>
      </c>
      <c r="E7468" s="0" t="n">
        <v>25.39</v>
      </c>
      <c r="F7468" s="0" t="n">
        <v>27.81</v>
      </c>
      <c r="G7468" s="0" t="n">
        <v>90.695</v>
      </c>
      <c r="H7468" s="0" t="n">
        <v>1814.16375982518</v>
      </c>
      <c r="I7468" s="0" t="n">
        <v>0</v>
      </c>
      <c r="J7468" s="0" t="n">
        <v>0.833333333333333</v>
      </c>
    </row>
    <row r="7469" customFormat="false" ht="15.75" hidden="false" customHeight="false" outlineLevel="0" collapsed="false">
      <c r="B7469" s="0" t="n">
        <v>2019</v>
      </c>
      <c r="C7469" s="0" t="n">
        <v>164</v>
      </c>
      <c r="D7469" s="0" t="n">
        <v>10.62</v>
      </c>
      <c r="E7469" s="0" t="n">
        <v>26.78</v>
      </c>
      <c r="F7469" s="0" t="n">
        <v>42.65</v>
      </c>
      <c r="G7469" s="0" t="n">
        <v>100</v>
      </c>
      <c r="H7469" s="0" t="n">
        <v>822.497477125262</v>
      </c>
      <c r="I7469" s="0" t="n">
        <v>4.4</v>
      </c>
      <c r="J7469" s="0" t="n">
        <v>0.833333333333333</v>
      </c>
    </row>
    <row r="7470" customFormat="false" ht="15.75" hidden="false" customHeight="false" outlineLevel="0" collapsed="false">
      <c r="B7470" s="0" t="n">
        <v>2019</v>
      </c>
      <c r="C7470" s="0" t="n">
        <v>165</v>
      </c>
      <c r="D7470" s="0" t="n">
        <v>11.72</v>
      </c>
      <c r="E7470" s="0" t="n">
        <v>24.17</v>
      </c>
      <c r="F7470" s="0" t="n">
        <v>50.71</v>
      </c>
      <c r="G7470" s="0" t="n">
        <v>95.82041666</v>
      </c>
      <c r="H7470" s="0" t="n">
        <v>1074.53069899904</v>
      </c>
      <c r="I7470" s="0" t="n">
        <v>0</v>
      </c>
      <c r="J7470" s="0" t="n">
        <v>0.833333333333333</v>
      </c>
    </row>
    <row r="7471" customFormat="false" ht="15.75" hidden="false" customHeight="false" outlineLevel="0" collapsed="false">
      <c r="B7471" s="0" t="n">
        <v>2019</v>
      </c>
      <c r="C7471" s="0" t="n">
        <v>166</v>
      </c>
      <c r="D7471" s="0" t="n">
        <v>10.43</v>
      </c>
      <c r="E7471" s="0" t="n">
        <v>30.01</v>
      </c>
      <c r="F7471" s="0" t="n">
        <v>28.14</v>
      </c>
      <c r="G7471" s="0" t="n">
        <v>76.68833334</v>
      </c>
      <c r="H7471" s="0" t="n">
        <v>1850.84024985543</v>
      </c>
      <c r="I7471" s="0" t="n">
        <v>0</v>
      </c>
      <c r="J7471" s="0" t="n">
        <v>0.833333333333333</v>
      </c>
    </row>
    <row r="7472" customFormat="false" ht="15.75" hidden="false" customHeight="false" outlineLevel="0" collapsed="false">
      <c r="B7472" s="0" t="n">
        <v>2019</v>
      </c>
      <c r="C7472" s="0" t="n">
        <v>167</v>
      </c>
      <c r="D7472" s="0" t="n">
        <v>10.82</v>
      </c>
      <c r="E7472" s="0" t="n">
        <v>31.74</v>
      </c>
      <c r="F7472" s="0" t="n">
        <v>22.3</v>
      </c>
      <c r="G7472" s="0" t="n">
        <v>90.90875</v>
      </c>
      <c r="H7472" s="0" t="n">
        <v>1883.48320971388</v>
      </c>
      <c r="I7472" s="0" t="n">
        <v>0</v>
      </c>
      <c r="J7472" s="0" t="n">
        <v>0.833333333333333</v>
      </c>
    </row>
    <row r="7473" customFormat="false" ht="15.75" hidden="false" customHeight="false" outlineLevel="0" collapsed="false">
      <c r="B7473" s="0" t="n">
        <v>2019</v>
      </c>
      <c r="C7473" s="0" t="n">
        <v>168</v>
      </c>
      <c r="D7473" s="0" t="n">
        <v>13.06</v>
      </c>
      <c r="E7473" s="0" t="n">
        <v>30.08</v>
      </c>
      <c r="F7473" s="0" t="n">
        <v>24.68</v>
      </c>
      <c r="G7473" s="0" t="n">
        <v>90.80666666</v>
      </c>
      <c r="H7473" s="0" t="n">
        <v>1700.99625838404</v>
      </c>
      <c r="I7473" s="0" t="n">
        <v>0</v>
      </c>
      <c r="J7473" s="0" t="n">
        <v>0.833333333333333</v>
      </c>
    </row>
    <row r="7474" customFormat="false" ht="15.75" hidden="false" customHeight="false" outlineLevel="0" collapsed="false">
      <c r="B7474" s="0" t="n">
        <v>2019</v>
      </c>
      <c r="C7474" s="0" t="n">
        <v>169</v>
      </c>
      <c r="D7474" s="0" t="n">
        <v>14.8</v>
      </c>
      <c r="E7474" s="0" t="n">
        <v>27.47</v>
      </c>
      <c r="F7474" s="0" t="n">
        <v>44.67</v>
      </c>
      <c r="G7474" s="0" t="n">
        <v>83.25625</v>
      </c>
      <c r="H7474" s="0" t="n">
        <v>1643.26493311562</v>
      </c>
      <c r="I7474" s="0" t="n">
        <v>0</v>
      </c>
      <c r="J7474" s="0" t="n">
        <v>0.833333333333333</v>
      </c>
    </row>
    <row r="7475" customFormat="false" ht="15.75" hidden="false" customHeight="false" outlineLevel="0" collapsed="false">
      <c r="B7475" s="0" t="n">
        <v>2019</v>
      </c>
      <c r="C7475" s="0" t="n">
        <v>170</v>
      </c>
      <c r="D7475" s="0" t="n">
        <v>13.63</v>
      </c>
      <c r="E7475" s="0" t="n">
        <v>28.56</v>
      </c>
      <c r="F7475" s="0" t="n">
        <v>46.81</v>
      </c>
      <c r="G7475" s="0" t="n">
        <v>98.7525</v>
      </c>
      <c r="H7475" s="0" t="n">
        <v>1317.44509855119</v>
      </c>
      <c r="I7475" s="0" t="n">
        <v>2.8</v>
      </c>
      <c r="J7475" s="0" t="n">
        <v>0.833333333333333</v>
      </c>
    </row>
    <row r="7476" customFormat="false" ht="15.75" hidden="false" customHeight="false" outlineLevel="0" collapsed="false">
      <c r="B7476" s="0" t="n">
        <v>2019</v>
      </c>
      <c r="C7476" s="0" t="n">
        <v>171</v>
      </c>
      <c r="D7476" s="0" t="n">
        <v>13.57</v>
      </c>
      <c r="E7476" s="0" t="n">
        <v>26.43</v>
      </c>
      <c r="F7476" s="0" t="n">
        <v>47.77</v>
      </c>
      <c r="G7476" s="0" t="n">
        <v>98.94791666</v>
      </c>
      <c r="H7476" s="0" t="n">
        <v>1156.97892975834</v>
      </c>
      <c r="I7476" s="0" t="n">
        <v>0.2</v>
      </c>
      <c r="J7476" s="0" t="n">
        <v>0.833333333333333</v>
      </c>
    </row>
    <row r="7477" customFormat="false" ht="15.75" hidden="false" customHeight="false" outlineLevel="0" collapsed="false">
      <c r="B7477" s="0" t="n">
        <v>2019</v>
      </c>
      <c r="C7477" s="0" t="n">
        <v>172</v>
      </c>
      <c r="D7477" s="0" t="n">
        <v>16.41</v>
      </c>
      <c r="E7477" s="0" t="n">
        <v>29.24</v>
      </c>
      <c r="F7477" s="0" t="n">
        <v>36.42</v>
      </c>
      <c r="G7477" s="0" t="n">
        <v>70.77916666</v>
      </c>
      <c r="H7477" s="0" t="n">
        <v>1720.53415380427</v>
      </c>
      <c r="I7477" s="0" t="n">
        <v>0</v>
      </c>
      <c r="J7477" s="0" t="n">
        <v>0.833333333333333</v>
      </c>
    </row>
    <row r="7478" customFormat="false" ht="15.75" hidden="false" customHeight="false" outlineLevel="0" collapsed="false">
      <c r="B7478" s="0" t="n">
        <v>2019</v>
      </c>
      <c r="C7478" s="0" t="n">
        <v>173</v>
      </c>
      <c r="D7478" s="0" t="n">
        <v>14.78</v>
      </c>
      <c r="E7478" s="0" t="n">
        <v>29.91</v>
      </c>
      <c r="F7478" s="0" t="n">
        <v>34.34</v>
      </c>
      <c r="G7478" s="0" t="n">
        <v>93.4525</v>
      </c>
      <c r="H7478" s="0" t="n">
        <v>1626.85179993472</v>
      </c>
      <c r="I7478" s="0" t="n">
        <v>0</v>
      </c>
      <c r="J7478" s="0" t="n">
        <v>0.833333333333333</v>
      </c>
    </row>
    <row r="7479" customFormat="false" ht="15.75" hidden="false" customHeight="false" outlineLevel="0" collapsed="false">
      <c r="B7479" s="0" t="n">
        <v>2019</v>
      </c>
      <c r="C7479" s="0" t="n">
        <v>174</v>
      </c>
      <c r="D7479" s="0" t="n">
        <v>13.38</v>
      </c>
      <c r="E7479" s="0" t="n">
        <v>30.75</v>
      </c>
      <c r="F7479" s="0" t="n">
        <v>31.29</v>
      </c>
      <c r="G7479" s="0" t="n">
        <v>97.37041666</v>
      </c>
      <c r="H7479" s="0" t="n">
        <v>1723.7452786376</v>
      </c>
      <c r="I7479" s="0" t="n">
        <v>0</v>
      </c>
      <c r="J7479" s="0" t="n">
        <v>0.833333333333333</v>
      </c>
    </row>
    <row r="7480" customFormat="false" ht="15.75" hidden="false" customHeight="false" outlineLevel="0" collapsed="false">
      <c r="B7480" s="0" t="n">
        <v>2019</v>
      </c>
      <c r="C7480" s="0" t="n">
        <v>175</v>
      </c>
      <c r="D7480" s="0" t="n">
        <v>13.23</v>
      </c>
      <c r="E7480" s="0" t="n">
        <v>32.67</v>
      </c>
      <c r="F7480" s="0" t="n">
        <v>30.05</v>
      </c>
      <c r="G7480" s="0" t="n">
        <v>86.80541666</v>
      </c>
      <c r="H7480" s="0" t="n">
        <v>1733.43780313099</v>
      </c>
      <c r="I7480" s="0" t="n">
        <v>0</v>
      </c>
      <c r="J7480" s="0" t="n">
        <v>0.833333333333333</v>
      </c>
    </row>
    <row r="7481" customFormat="false" ht="15.75" hidden="false" customHeight="false" outlineLevel="0" collapsed="false">
      <c r="B7481" s="0" t="n">
        <v>2019</v>
      </c>
      <c r="C7481" s="0" t="n">
        <v>176</v>
      </c>
      <c r="D7481" s="0" t="n">
        <v>16.79</v>
      </c>
      <c r="E7481" s="0" t="n">
        <v>35.08</v>
      </c>
      <c r="F7481" s="0" t="n">
        <v>33.02</v>
      </c>
      <c r="G7481" s="0" t="n">
        <v>77.5275</v>
      </c>
      <c r="H7481" s="0" t="n">
        <v>1817.9346919808</v>
      </c>
      <c r="I7481" s="0" t="n">
        <v>0</v>
      </c>
      <c r="J7481" s="0" t="n">
        <v>0.833333333333333</v>
      </c>
    </row>
    <row r="7482" customFormat="false" ht="15.75" hidden="false" customHeight="false" outlineLevel="0" collapsed="false">
      <c r="B7482" s="0" t="n">
        <v>2019</v>
      </c>
      <c r="C7482" s="0" t="n">
        <v>177</v>
      </c>
      <c r="D7482" s="0" t="n">
        <v>16.42</v>
      </c>
      <c r="E7482" s="0" t="n">
        <v>38.06</v>
      </c>
      <c r="F7482" s="0" t="n">
        <v>24.35</v>
      </c>
      <c r="G7482" s="0" t="n">
        <v>81.16666666</v>
      </c>
      <c r="H7482" s="0" t="n">
        <v>1842.15862627632</v>
      </c>
      <c r="I7482" s="0" t="n">
        <v>0</v>
      </c>
      <c r="J7482" s="0" t="n">
        <v>0.833333333333333</v>
      </c>
    </row>
    <row r="7483" customFormat="false" ht="15.75" hidden="false" customHeight="false" outlineLevel="0" collapsed="false">
      <c r="B7483" s="0" t="n">
        <v>2019</v>
      </c>
      <c r="C7483" s="0" t="n">
        <v>178</v>
      </c>
      <c r="D7483" s="0" t="n">
        <v>18.16</v>
      </c>
      <c r="E7483" s="0" t="n">
        <v>43.43</v>
      </c>
      <c r="F7483" s="0" t="n">
        <v>10.67</v>
      </c>
      <c r="G7483" s="0" t="n">
        <v>77.15541666</v>
      </c>
      <c r="H7483" s="0" t="n">
        <v>1814.04022243096</v>
      </c>
      <c r="I7483" s="0" t="n">
        <v>0</v>
      </c>
      <c r="J7483" s="0" t="n">
        <v>0.833333333333333</v>
      </c>
    </row>
    <row r="7484" customFormat="false" ht="15.75" hidden="false" customHeight="false" outlineLevel="0" collapsed="false">
      <c r="B7484" s="0" t="n">
        <v>2019</v>
      </c>
      <c r="C7484" s="0" t="n">
        <v>179</v>
      </c>
      <c r="D7484" s="0" t="n">
        <v>17.34</v>
      </c>
      <c r="E7484" s="0" t="n">
        <v>37.51</v>
      </c>
      <c r="F7484" s="0" t="n">
        <v>29.67</v>
      </c>
      <c r="G7484" s="0" t="n">
        <v>78.01166666</v>
      </c>
      <c r="H7484" s="0" t="n">
        <v>1848.4331220736</v>
      </c>
      <c r="I7484" s="0" t="n">
        <v>0</v>
      </c>
      <c r="J7484" s="0" t="n">
        <v>0.833333333333333</v>
      </c>
    </row>
    <row r="7485" customFormat="false" ht="15.75" hidden="false" customHeight="false" outlineLevel="0" collapsed="false">
      <c r="B7485" s="0" t="n">
        <v>2019</v>
      </c>
      <c r="C7485" s="0" t="n">
        <v>180</v>
      </c>
      <c r="D7485" s="0" t="n">
        <v>17.94</v>
      </c>
      <c r="E7485" s="0" t="n">
        <v>35.96</v>
      </c>
      <c r="F7485" s="0" t="n">
        <v>27.57</v>
      </c>
      <c r="G7485" s="0" t="n">
        <v>77.70958334</v>
      </c>
      <c r="H7485" s="0" t="n">
        <v>1824.75436662159</v>
      </c>
      <c r="I7485" s="0" t="n">
        <v>0</v>
      </c>
      <c r="J7485" s="0" t="n">
        <v>0.833333333333333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J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10.5" defaultRowHeight="15.75" zeroHeight="false" outlineLevelRow="0" outlineLevelCol="0"/>
  <cols>
    <col collapsed="false" customWidth="true" hidden="false" outlineLevel="0" max="3" min="3" style="0" width="8.34"/>
    <col collapsed="false" customWidth="true" hidden="false" outlineLevel="0" max="4" min="4" style="0" width="15.67"/>
    <col collapsed="false" customWidth="true" hidden="false" outlineLevel="0" max="5" min="5" style="0" width="16.33"/>
    <col collapsed="false" customWidth="true" hidden="false" outlineLevel="0" max="6" min="6" style="0" width="17.5"/>
    <col collapsed="false" customWidth="true" hidden="false" outlineLevel="0" max="7" min="7" style="0" width="18.66"/>
    <col collapsed="false" customWidth="true" hidden="false" outlineLevel="0" max="8" min="8" style="0" width="19.16"/>
    <col collapsed="false" customWidth="true" hidden="false" outlineLevel="0" max="9" min="9" style="0" width="11.16"/>
    <col collapsed="false" customWidth="true" hidden="false" outlineLevel="0" max="10" min="10" style="0" width="12.33"/>
  </cols>
  <sheetData>
    <row r="1" customFormat="false" ht="21" hidden="false" customHeight="false" outlineLevel="0" collapsed="false">
      <c r="C1" s="505" t="s">
        <v>1779</v>
      </c>
      <c r="D1" s="505" t="s">
        <v>1772</v>
      </c>
      <c r="E1" s="505" t="s">
        <v>1773</v>
      </c>
      <c r="F1" s="505" t="s">
        <v>1774</v>
      </c>
      <c r="G1" s="505" t="s">
        <v>1775</v>
      </c>
      <c r="H1" s="505" t="s">
        <v>500</v>
      </c>
      <c r="I1" s="505" t="s">
        <v>1780</v>
      </c>
      <c r="J1" s="505" t="s">
        <v>501</v>
      </c>
    </row>
    <row r="2" customFormat="false" ht="15.75" hidden="false" customHeight="false" outlineLevel="0" collapsed="false">
      <c r="C2" s="0" t="n">
        <v>1</v>
      </c>
      <c r="D2" s="0" t="n">
        <v>3.55448028673835</v>
      </c>
      <c r="E2" s="0" t="n">
        <v>15.2534050179211</v>
      </c>
      <c r="F2" s="0" t="n">
        <v>47.1671688715591</v>
      </c>
      <c r="G2" s="0" t="n">
        <v>100</v>
      </c>
      <c r="H2" s="0" t="n">
        <v>516.824468376566</v>
      </c>
      <c r="I2" s="0" t="n">
        <v>0.991397849462367</v>
      </c>
      <c r="J2" s="0" t="n">
        <v>1</v>
      </c>
    </row>
    <row r="3" customFormat="false" ht="15.75" hidden="false" customHeight="false" outlineLevel="0" collapsed="false">
      <c r="C3" s="0" t="n">
        <v>2</v>
      </c>
      <c r="D3" s="0" t="n">
        <v>3.88243727598566</v>
      </c>
      <c r="E3" s="0" t="n">
        <v>17.1677419354839</v>
      </c>
      <c r="F3" s="0" t="n">
        <v>42.8628332229211</v>
      </c>
      <c r="G3" s="0" t="n">
        <v>100</v>
      </c>
      <c r="H3" s="0" t="n">
        <v>730.479221188113</v>
      </c>
      <c r="I3" s="0" t="n">
        <v>0.908781362007168</v>
      </c>
      <c r="J3" s="0" t="n">
        <v>1</v>
      </c>
    </row>
    <row r="4" customFormat="false" ht="15.75" hidden="false" customHeight="false" outlineLevel="0" collapsed="false">
      <c r="C4" s="0" t="n">
        <v>3</v>
      </c>
      <c r="D4" s="0" t="n">
        <v>6.25481481481481</v>
      </c>
      <c r="E4" s="0" t="n">
        <v>21.2057407407407</v>
      </c>
      <c r="F4" s="0" t="n">
        <v>39.7252348794629</v>
      </c>
      <c r="G4" s="0" t="n">
        <v>100</v>
      </c>
      <c r="H4" s="0" t="n">
        <v>1007.33591879165</v>
      </c>
      <c r="I4" s="0" t="n">
        <v>0.93037037037037</v>
      </c>
      <c r="J4" s="0" t="n">
        <v>1</v>
      </c>
    </row>
    <row r="5" customFormat="false" ht="15.75" hidden="false" customHeight="false" outlineLevel="0" collapsed="false">
      <c r="C5" s="0" t="n">
        <v>4</v>
      </c>
      <c r="D5" s="0" t="n">
        <v>9.82060931899641</v>
      </c>
      <c r="E5" s="0" t="n">
        <v>25.6279569892473</v>
      </c>
      <c r="F5" s="0" t="n">
        <v>38.5997001943549</v>
      </c>
      <c r="G5" s="0" t="n">
        <v>100</v>
      </c>
      <c r="H5" s="0" t="n">
        <v>1259.88346958334</v>
      </c>
      <c r="I5" s="0" t="n">
        <v>1.00501792114695</v>
      </c>
      <c r="J5" s="0" t="n">
        <v>1</v>
      </c>
    </row>
    <row r="6" customFormat="false" ht="15.75" hidden="false" customHeight="false" outlineLevel="0" collapsed="false">
      <c r="C6" s="0" t="n">
        <v>5</v>
      </c>
      <c r="D6" s="0" t="n">
        <v>14.0303703703704</v>
      </c>
      <c r="E6" s="0" t="n">
        <v>29.3946296296296</v>
      </c>
      <c r="F6" s="0" t="n">
        <v>40.7039389874074</v>
      </c>
      <c r="G6" s="0" t="n">
        <v>100</v>
      </c>
      <c r="H6" s="0" t="n">
        <v>1384.49333168056</v>
      </c>
      <c r="I6" s="0" t="n">
        <v>1.35814814814815</v>
      </c>
      <c r="J6" s="0" t="n">
        <v>1</v>
      </c>
    </row>
    <row r="7" customFormat="false" ht="15.75" hidden="false" customHeight="false" outlineLevel="0" collapsed="false">
      <c r="C7" s="0" t="n">
        <v>6</v>
      </c>
      <c r="D7" s="0" t="n">
        <v>16.244623655914</v>
      </c>
      <c r="E7" s="0" t="n">
        <v>31.8281362007169</v>
      </c>
      <c r="F7" s="0" t="n">
        <v>40.53252867819</v>
      </c>
      <c r="G7" s="0" t="n">
        <v>100</v>
      </c>
      <c r="H7" s="0" t="n">
        <v>1463.70592155786</v>
      </c>
      <c r="I7" s="0" t="n">
        <v>1.10931899641577</v>
      </c>
      <c r="J7" s="0" t="n">
        <v>1</v>
      </c>
    </row>
    <row r="8" customFormat="false" ht="15.75" hidden="false" customHeight="false" outlineLevel="0" collapsed="false">
      <c r="C8" s="0" t="n">
        <v>7</v>
      </c>
      <c r="D8" s="0" t="n">
        <v>18.7745762711865</v>
      </c>
      <c r="E8" s="0" t="n">
        <v>34.8042372881356</v>
      </c>
      <c r="F8" s="0" t="n">
        <v>40.2753253032034</v>
      </c>
      <c r="G8" s="0" t="n">
        <v>100</v>
      </c>
      <c r="H8" s="0" t="n">
        <v>1392.46342589975</v>
      </c>
      <c r="I8" s="0" t="n">
        <v>0.749152542372881</v>
      </c>
      <c r="J8" s="0" t="n">
        <v>1</v>
      </c>
    </row>
    <row r="9" customFormat="false" ht="15.75" hidden="false" customHeight="false" outlineLevel="0" collapsed="false">
      <c r="C9" s="0" t="n">
        <v>8</v>
      </c>
      <c r="D9" s="0" t="n">
        <v>17.9496240601504</v>
      </c>
      <c r="E9" s="0" t="n">
        <v>32.8956766917293</v>
      </c>
      <c r="F9" s="0" t="n">
        <v>42.3835388096992</v>
      </c>
      <c r="G9" s="0" t="n">
        <v>100</v>
      </c>
      <c r="H9" s="0" t="n">
        <v>1241.14642889545</v>
      </c>
      <c r="I9" s="0" t="n">
        <v>1.13496240601504</v>
      </c>
      <c r="J9" s="0" t="n">
        <v>1</v>
      </c>
    </row>
    <row r="10" customFormat="false" ht="15.75" hidden="false" customHeight="false" outlineLevel="0" collapsed="false">
      <c r="C10" s="0" t="n">
        <v>9</v>
      </c>
      <c r="D10" s="0" t="n">
        <v>14.7013582342954</v>
      </c>
      <c r="E10" s="0" t="n">
        <v>29.4979626485569</v>
      </c>
      <c r="F10" s="0" t="n">
        <v>41.8050331055348</v>
      </c>
      <c r="G10" s="0" t="n">
        <v>100</v>
      </c>
      <c r="H10" s="0" t="n">
        <v>1060.89261926954</v>
      </c>
      <c r="I10" s="0" t="n">
        <v>0.962648556876061</v>
      </c>
      <c r="J10" s="0" t="n">
        <v>1</v>
      </c>
    </row>
    <row r="11" customFormat="false" ht="15.75" hidden="false" customHeight="false" outlineLevel="0" collapsed="false">
      <c r="C11" s="0" t="n">
        <v>10</v>
      </c>
      <c r="D11" s="0" t="n">
        <v>10.6466666666667</v>
      </c>
      <c r="E11" s="0" t="n">
        <v>24.6542105263158</v>
      </c>
      <c r="F11" s="0" t="n">
        <v>42.7800380414561</v>
      </c>
      <c r="G11" s="0" t="n">
        <v>100</v>
      </c>
      <c r="H11" s="0" t="n">
        <v>809.261807957581</v>
      </c>
      <c r="I11" s="0" t="n">
        <v>0.674385964912281</v>
      </c>
      <c r="J11" s="0" t="n">
        <v>1</v>
      </c>
    </row>
    <row r="12" customFormat="false" ht="15.75" hidden="false" customHeight="false" outlineLevel="0" collapsed="false">
      <c r="C12" s="0" t="n">
        <v>11</v>
      </c>
      <c r="D12" s="0" t="n">
        <v>6.1848896434635</v>
      </c>
      <c r="E12" s="0" t="n">
        <v>19.4066213921901</v>
      </c>
      <c r="F12" s="0" t="n">
        <v>43.511745904601</v>
      </c>
      <c r="G12" s="0" t="n">
        <v>100</v>
      </c>
      <c r="H12" s="0" t="n">
        <v>596.559755612165</v>
      </c>
      <c r="I12" s="0" t="n">
        <v>0.867572156196944</v>
      </c>
      <c r="J12" s="0" t="n">
        <v>1</v>
      </c>
    </row>
    <row r="13" customFormat="false" ht="15.75" hidden="false" customHeight="false" outlineLevel="0" collapsed="false">
      <c r="C13" s="0" t="n">
        <v>12</v>
      </c>
      <c r="D13" s="0" t="n">
        <v>4.60122807017544</v>
      </c>
      <c r="E13" s="0" t="n">
        <v>15.8215789473684</v>
      </c>
      <c r="F13" s="0" t="n">
        <v>48.8725927777193</v>
      </c>
      <c r="G13" s="0" t="n">
        <v>100</v>
      </c>
      <c r="H13" s="0" t="n">
        <v>467.475931110242</v>
      </c>
      <c r="I13" s="0" t="n">
        <v>1.2080701754386</v>
      </c>
      <c r="J13" s="0" t="n">
        <v>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X164"/>
  <sheetViews>
    <sheetView showFormulas="false" showGridLines="true" showRowColHeaders="true" showZeros="true" rightToLeft="false" tabSelected="false" showOutlineSymbols="true" defaultGridColor="true" view="normal" topLeftCell="A9" colorId="64" zoomScale="150" zoomScaleNormal="150" zoomScalePageLayoutView="100" workbookViewId="0">
      <selection pane="topLeft" activeCell="G16" activeCellId="0" sqref="G16"/>
    </sheetView>
  </sheetViews>
  <sheetFormatPr defaultColWidth="10.5" defaultRowHeight="15.75" zeroHeight="false" outlineLevelRow="0" outlineLevelCol="0"/>
  <cols>
    <col collapsed="false" customWidth="true" hidden="false" outlineLevel="0" max="4" min="4" style="0" width="11.83"/>
    <col collapsed="false" customWidth="true" hidden="false" outlineLevel="0" max="5" min="5" style="0" width="15.5"/>
    <col collapsed="false" customWidth="true" hidden="false" outlineLevel="0" max="7" min="6" style="0" width="18"/>
    <col collapsed="false" customWidth="true" hidden="false" outlineLevel="0" max="14" min="14" style="0" width="18.66"/>
    <col collapsed="false" customWidth="true" hidden="false" outlineLevel="0" max="15" min="15" style="0" width="16"/>
    <col collapsed="false" customWidth="true" hidden="false" outlineLevel="0" max="16" min="16" style="0" width="16.16"/>
    <col collapsed="false" customWidth="true" hidden="false" outlineLevel="0" max="17" min="17" style="0" width="13.33"/>
    <col collapsed="false" customWidth="true" hidden="false" outlineLevel="0" max="18" min="18" style="0" width="12.83"/>
    <col collapsed="false" customWidth="true" hidden="false" outlineLevel="0" max="23" min="23" style="0" width="17.67"/>
  </cols>
  <sheetData>
    <row r="1" customFormat="false" ht="24" hidden="false" customHeight="false" outlineLevel="0" collapsed="false">
      <c r="B1" s="507" t="s">
        <v>1781</v>
      </c>
      <c r="C1" s="508"/>
      <c r="D1" s="508"/>
      <c r="I1" s="509" t="s">
        <v>1782</v>
      </c>
      <c r="J1" s="508"/>
      <c r="K1" s="508"/>
      <c r="L1" s="508"/>
      <c r="M1" s="508"/>
      <c r="N1" s="508"/>
      <c r="O1" s="508"/>
      <c r="R1" s="510" t="s">
        <v>1783</v>
      </c>
      <c r="S1" s="508"/>
      <c r="T1" s="508"/>
      <c r="V1" s="510" t="s">
        <v>1784</v>
      </c>
      <c r="W1" s="508"/>
      <c r="X1" s="508"/>
    </row>
    <row r="2" customFormat="false" ht="24" hidden="false" customHeight="false" outlineLevel="0" collapsed="false">
      <c r="B2" s="511" t="s">
        <v>1785</v>
      </c>
    </row>
    <row r="3" customFormat="false" ht="21" hidden="false" customHeight="false" outlineLevel="0" collapsed="false">
      <c r="B3" s="505" t="s">
        <v>431</v>
      </c>
      <c r="C3" s="505" t="s">
        <v>382</v>
      </c>
      <c r="D3" s="505" t="s">
        <v>1786</v>
      </c>
      <c r="E3" s="505" t="s">
        <v>1787</v>
      </c>
    </row>
    <row r="4" customFormat="false" ht="18.75" hidden="false" customHeight="false" outlineLevel="0" collapsed="false">
      <c r="B4" s="181" t="n">
        <v>180</v>
      </c>
      <c r="C4" s="181" t="n">
        <v>45</v>
      </c>
      <c r="D4" s="0" t="n">
        <v>500</v>
      </c>
      <c r="E4" s="0" t="n">
        <f aca="false">(198.58*(1/(2/15*ACOS(-TAN(3.1416/180*C4)*TAN(3.1416/180*23.45*SIN((2*3.1416/365*(B4+284)))))/3.1416*180))^2+5.0551/(2/15*ACOS(-TAN(3.1416/180*C4)*TAN(3.1416/180*23.45*SIN((2*3.1416/365*(B4+284)))))/3.1416*180)+1.49)*D4*2.02</f>
        <v>2683.30552744124</v>
      </c>
      <c r="H4" s="424"/>
      <c r="I4" s="512" t="s">
        <v>1788</v>
      </c>
      <c r="J4" s="512" t="s">
        <v>1789</v>
      </c>
      <c r="K4" s="512" t="s">
        <v>1790</v>
      </c>
      <c r="L4" s="512" t="s">
        <v>1791</v>
      </c>
      <c r="M4" s="512" t="s">
        <v>1792</v>
      </c>
      <c r="R4" s="512" t="s">
        <v>1793</v>
      </c>
      <c r="S4" s="512" t="s">
        <v>1794</v>
      </c>
      <c r="T4" s="512" t="s">
        <v>1795</v>
      </c>
      <c r="V4" s="512" t="s">
        <v>1796</v>
      </c>
      <c r="W4" s="512" t="s">
        <v>1797</v>
      </c>
      <c r="X4" s="512" t="s">
        <v>1795</v>
      </c>
    </row>
    <row r="5" customFormat="false" ht="15.75" hidden="false" customHeight="false" outlineLevel="0" collapsed="false">
      <c r="B5" s="181"/>
      <c r="C5" s="181"/>
      <c r="I5" s="0" t="n">
        <v>7.35000000000002</v>
      </c>
      <c r="J5" s="0" t="n">
        <v>11.05</v>
      </c>
      <c r="K5" s="0" t="n">
        <v>4.67</v>
      </c>
      <c r="L5" s="130" t="n">
        <f aca="false">MIN(0.263*K5/1000*1013.25*100/EXP(17.67*J5/(J5+273.16-29.65)), 100)</f>
        <v>57.792991030424</v>
      </c>
      <c r="M5" s="130" t="n">
        <f aca="false">MIN(0.263*K5/1000*1013.25*100/EXP(17.67*I5/(I5+273.16-29.65)),100)</f>
        <v>74.1562196269592</v>
      </c>
      <c r="R5" s="0" t="n">
        <v>25</v>
      </c>
      <c r="S5" s="0" t="n">
        <v>0.5</v>
      </c>
      <c r="T5" s="130" t="n">
        <f aca="false">(-S5*1000+611.21*EXP((18.678-R5/234.5)*R5/(257.14+R5)))/(611.21*EXP((18.678-R5/234.5)*R5/(257.14+R5)))*100</f>
        <v>84.219818744327</v>
      </c>
      <c r="V5" s="0" t="n">
        <v>24</v>
      </c>
      <c r="W5" s="0" t="n">
        <v>15</v>
      </c>
      <c r="X5" s="130" t="n">
        <f aca="false">100*EXP(17.625*W5/(243.04+W5))/EXP(17.625*V5/(V5+243.04))</f>
        <v>57.1505085422392</v>
      </c>
    </row>
    <row r="6" customFormat="false" ht="21" hidden="false" customHeight="false" outlineLevel="0" collapsed="false">
      <c r="B6" s="505" t="s">
        <v>431</v>
      </c>
      <c r="C6" s="505" t="s">
        <v>382</v>
      </c>
      <c r="D6" s="505" t="s">
        <v>1798</v>
      </c>
      <c r="E6" s="505" t="s">
        <v>1787</v>
      </c>
    </row>
    <row r="7" customFormat="false" ht="18.75" hidden="false" customHeight="false" outlineLevel="0" collapsed="false">
      <c r="B7" s="181" t="n">
        <v>200</v>
      </c>
      <c r="C7" s="181" t="n">
        <v>30</v>
      </c>
      <c r="D7" s="0" t="n">
        <v>40</v>
      </c>
      <c r="E7" s="0" t="n">
        <f aca="false">(198.58*(1/(2/15*ACOS(-TAN(3.1416/180*C7)*TAN(3.1416/180*23.45*SIN((2*3.1416/365*(B7+284)))))/3.1416*180))^2+5.0551/(2/15*ACOS(-TAN(3.1416/180*C7)*TAN(3.1416/180*23.45*SIN((2*3.1416/365*(B7+284)))))/3.1416*180)+1.49)*D7/87.4*1000*2.02</f>
        <v>2698.17552414623</v>
      </c>
      <c r="I7" s="512" t="s">
        <v>1799</v>
      </c>
      <c r="J7" s="512" t="s">
        <v>1800</v>
      </c>
      <c r="K7" s="512" t="s">
        <v>1790</v>
      </c>
      <c r="L7" s="512" t="s">
        <v>1791</v>
      </c>
      <c r="M7" s="512" t="s">
        <v>1792</v>
      </c>
    </row>
    <row r="8" customFormat="false" ht="15.75" hidden="false" customHeight="false" outlineLevel="0" collapsed="false">
      <c r="B8" s="181"/>
      <c r="C8" s="181"/>
      <c r="I8" s="0" t="n">
        <f aca="false">AVERAGE(I5:J5)</f>
        <v>9.20000000000002</v>
      </c>
      <c r="J8" s="0" t="n">
        <f aca="false">AVERAGE(L5:M5)</f>
        <v>65.9746053286916</v>
      </c>
      <c r="K8" s="130" t="n">
        <f aca="false">J8/0.263*1000/1013.25/100*EXP(17.67*I8/(I8+273.16-29.65))</f>
        <v>4.71062591011494</v>
      </c>
      <c r="L8" s="130" t="n">
        <f aca="false">MIN(0.263*K8/1000*1013.25*100/EXP(17.67*J5/(J5+273.16-29.65)), 100)</f>
        <v>58.2957518139091</v>
      </c>
      <c r="M8" s="130" t="n">
        <f aca="false">MIN(0.263*K8/1000*1013.25*100/EXP(17.67*I5/(I5+273.16-29.65)), 100)</f>
        <v>74.8013296725756</v>
      </c>
    </row>
    <row r="9" customFormat="false" ht="21" hidden="false" customHeight="false" outlineLevel="0" collapsed="false">
      <c r="B9" s="505" t="s">
        <v>431</v>
      </c>
      <c r="C9" s="505" t="s">
        <v>382</v>
      </c>
      <c r="D9" s="505" t="s">
        <v>1801</v>
      </c>
      <c r="E9" s="505" t="s">
        <v>1787</v>
      </c>
    </row>
    <row r="10" customFormat="false" ht="18.75" hidden="false" customHeight="false" outlineLevel="0" collapsed="false">
      <c r="B10" s="181" t="n">
        <v>1</v>
      </c>
      <c r="C10" s="181" t="n">
        <v>45</v>
      </c>
      <c r="D10" s="513" t="n">
        <v>348.9</v>
      </c>
      <c r="E10" s="0" t="n">
        <f aca="false">100*100/1000000*(198.58*(1/(2/15*ACOS(-TAN(3.1416/180*C10)*TAN(3.1416/180*23.45*SIN((2*3.1416/365*(B10+284)))))/3.1416*180))^2+5.0551/(2/15*ACOS(-TAN(3.1416/180*C10)*TAN(3.1416/180*23.45*SIN((2*3.1416/365*(B10+284)))))/3.1416*180)+1.49)*D10/87.4*1000*2.02</f>
        <v>381.34877249814</v>
      </c>
      <c r="I10" s="512" t="s">
        <v>1802</v>
      </c>
      <c r="J10" s="512" t="s">
        <v>1791</v>
      </c>
      <c r="K10" s="512" t="s">
        <v>1790</v>
      </c>
      <c r="L10" s="512" t="s">
        <v>1791</v>
      </c>
      <c r="M10" s="512" t="s">
        <v>1792</v>
      </c>
    </row>
    <row r="11" customFormat="false" ht="15.75" hidden="false" customHeight="false" outlineLevel="0" collapsed="false">
      <c r="I11" s="0" t="n">
        <f aca="false">J5</f>
        <v>11.05</v>
      </c>
      <c r="J11" s="0" t="n">
        <f aca="false">L5</f>
        <v>57.792991030424</v>
      </c>
      <c r="K11" s="130" t="n">
        <f aca="false">J11/0.263*1000/1013.25/100*EXP(17.67*I11/(I11+273.16-29.65))</f>
        <v>4.67</v>
      </c>
      <c r="L11" s="130" t="n">
        <f aca="false">MIN(0.263*K11/1000*1013.25*100/EXP(17.67*J5/(J5+273.16-29.65)), 100)</f>
        <v>57.792991030424</v>
      </c>
      <c r="M11" s="130" t="n">
        <f aca="false">MIN(0.263*K11/1000*1013.25*100/EXP(17.67*I5/(I5+273.16-29.65)), 100)</f>
        <v>74.1562196269592</v>
      </c>
    </row>
    <row r="13" customFormat="false" ht="18.75" hidden="false" customHeight="false" outlineLevel="0" collapsed="false">
      <c r="B13" s="0" t="s">
        <v>1803</v>
      </c>
      <c r="I13" s="514"/>
      <c r="J13" s="514"/>
      <c r="K13" s="514"/>
      <c r="L13" s="514"/>
    </row>
    <row r="14" customFormat="false" ht="21" hidden="false" customHeight="false" outlineLevel="0" collapsed="false">
      <c r="B14" s="505" t="s">
        <v>431</v>
      </c>
      <c r="C14" s="505" t="s">
        <v>1786</v>
      </c>
      <c r="D14" s="505" t="s">
        <v>1787</v>
      </c>
      <c r="I14" s="515" t="s">
        <v>381</v>
      </c>
      <c r="J14" s="515" t="s">
        <v>1804</v>
      </c>
      <c r="K14" s="515" t="s">
        <v>1805</v>
      </c>
      <c r="L14" s="515" t="s">
        <v>1806</v>
      </c>
      <c r="M14" s="515" t="s">
        <v>1807</v>
      </c>
      <c r="N14" s="516" t="s">
        <v>1808</v>
      </c>
      <c r="O14" s="517" t="s">
        <v>1809</v>
      </c>
      <c r="P14" s="517" t="s">
        <v>1810</v>
      </c>
      <c r="Q14" s="518" t="s">
        <v>1811</v>
      </c>
      <c r="R14" s="181" t="s">
        <v>1812</v>
      </c>
      <c r="S14" s="181" t="s">
        <v>1813</v>
      </c>
      <c r="T14" s="181"/>
      <c r="U14" s="181"/>
      <c r="V14" s="181"/>
      <c r="W14" s="181"/>
    </row>
    <row r="15" customFormat="false" ht="15.75" hidden="false" customHeight="false" outlineLevel="0" collapsed="false">
      <c r="B15" s="0" t="n">
        <v>180</v>
      </c>
      <c r="C15" s="0" t="n">
        <v>500</v>
      </c>
      <c r="D15" s="0" t="n">
        <f aca="false">C15*86.4/1000*219.4/(7.64+2.18*COS((B15+10)/365*3.1416*2+3.1416))*10000/3600</f>
        <v>2686.02291319864</v>
      </c>
      <c r="I15" s="181" t="n">
        <v>180</v>
      </c>
      <c r="J15" s="0" t="n">
        <v>12</v>
      </c>
      <c r="K15" s="181" t="n">
        <v>35</v>
      </c>
      <c r="L15" s="0" t="n">
        <f aca="false">23.45*SIN((2*3.1416/365*(I15+284)))</f>
        <v>23.241566536282</v>
      </c>
      <c r="M15" s="0" t="n">
        <f aca="false">2/15*ACOS(-TAN(3.1416/180*K15)*TAN(3.1416/180*23.45*SIN((2*3.1416/365*(I15+284)))))/3.1416*180</f>
        <v>14.3333536426095</v>
      </c>
      <c r="N15" s="0" t="n">
        <f aca="false">2084 * EXP(-0.174353387144778 / SIN(ATAN((--COS(K15 * 3.1416 / 180) * SIN((J15 - 6) * 3.1416/12) * COS(23.45*SIN((2*3.1416/365*(I15+284)))* 3.1416 / 180) + SIN(K15 * 3.1416 / 180) * SIN(23.45*SIN((2*3.1416/365*(I15+284)))* 3.1416 / 180))/(((COS((J15 - 6) * 3.1416/12) * COS(23.45*SIN((2*3.1416/365*(I15+284)))* 3.1416 / 180))^2+(-SIN(K15 * 3.1416 / 180) * SIN((J15 - 6) * 3.1416/12) * COS(23.45*SIN((2*3.1416/365*(I15+284)))* 3.1416 / 180) - -COS(K15 * 3.1416 / 180) * SIN(23.45*SIN((2*3.1416/365*(I15+284)))* 3.1416 / 180))^2)^0.5))))*(0.1+SIN(ATAN((--COS(K15 * 3.1416 / 180) * SIN((J15 - 6) * 3.1416/12) * COS(23.45*SIN((2*3.1416/365*(I15+284)))* 3.1416 / 180) + SIN(K15 * 3.1416 / 180) * SIN(23.45*SIN((2*3.1416/365*(I15+284)))* 3.1416 / 180))/(((COS((J15 - 6) * 3.1416/12) * COS(23.45*SIN((2*3.1416/365*(I15+284)))* 3.1416 / 180))^2+(-SIN(K15 * 3.1416 / 180) * SIN((J15 - 6) * 3.1416/12) * COS(23.45*SIN((2*3.1416/365*(I15+284)))* 3.1416 / 180) - -COS(K15 * 3.1416 / 180) * SIN(23.45*SIN((2*3.1416/365*(I15+284)))* 3.1416 / 180))^2)^0.5))))</f>
        <v>1881.83530198135</v>
      </c>
      <c r="O15" s="0" t="n">
        <f aca="false">IF(K15&gt;=15,(0.00000000010508*K15^4 - 0.000000017492*K15^3 + 0.0000012363*K15^2 - 0.000044163*K15 + 0.0008144)*N15^2+( -0.000000028*K15^4 + 0.000013654*K15^3 - 0.0019426*K15^2 + 0.11006*K15 - 2.0905)*N15+0.000087115*K15^4 - 0.024852*K15^3 + 2.6437*K15^2 - 124.35*K15 + 2183.8,N15*0.3835-146.8)</f>
        <v>670.690278319301</v>
      </c>
      <c r="P15" s="0" t="n">
        <f aca="false">O15/2.02</f>
        <v>332.02489025708</v>
      </c>
      <c r="Q15" s="0" t="n">
        <v>49.4735028666834</v>
      </c>
      <c r="R15" s="0" t="n">
        <f aca="false">(198.58*(1/(2/15*ACOS(-TAN(3.1416/180*K15)*TAN(3.1416/180*23.45*SIN((2*3.1416/365*(I15+284)))))/3.1416*180))^2+5.0551/(2/15*ACOS(-TAN(3.1416/180*K15)*TAN(3.1416/180*23.45*SIN((2*3.1416/365*(I15+284)))))/3.1416*180)+1.49)*P15*2.02</f>
        <v>1884.1470607227</v>
      </c>
    </row>
    <row r="16" customFormat="false" ht="21" hidden="false" customHeight="false" outlineLevel="0" collapsed="false">
      <c r="F16" s="519"/>
      <c r="G16" s="519"/>
      <c r="I16" s="181" t="n">
        <f aca="false">I15+1</f>
        <v>181</v>
      </c>
      <c r="J16" s="0" t="n">
        <v>12</v>
      </c>
      <c r="K16" s="181" t="n">
        <v>36.67</v>
      </c>
      <c r="L16" s="0" t="n">
        <f aca="false">23.45*SIN((2*3.1416/365*(I16+284)))</f>
        <v>23.1844236211233</v>
      </c>
      <c r="M16" s="0" t="n">
        <f aca="false">2/15*ACOS(-TAN(3.1416/180*K16)*TAN(3.1416/180*23.45*SIN((2*3.1416/365*(I16+284)))))/3.1416*180</f>
        <v>14.4793454214033</v>
      </c>
      <c r="N16" s="0" t="n">
        <f aca="false">2084 * EXP(-0.174353387144778 / SIN(ATAN((--COS(K16 * 3.1416 / 180) * SIN((J16 - 6) * 3.1416/12) * COS(23.45*SIN((2*3.1416/365*(I16+284)))* 3.1416 / 180) + SIN(K16 * 3.1416 / 180) * SIN(23.45*SIN((2*3.1416/365*(I16+284)))* 3.1416 / 180))/(((COS((J16 - 6) * 3.1416/12) * COS(23.45*SIN((2*3.1416/365*(I16+284)))* 3.1416 / 180))^2+(-SIN(K16 * 3.1416 / 180) * SIN((J16 - 6) * 3.1416/12) * COS(23.45*SIN((2*3.1416/365*(I16+284)))* 3.1416 / 180) - -COS(K16 * 3.1416 / 180) * SIN(23.45*SIN((2*3.1416/365*(I16+284)))* 3.1416 / 180))^2)^0.5))))*(0.1+SIN(ATAN((--COS(K16 * 3.1416 / 180) * SIN((J16 - 6) * 3.1416/12) * COS(23.45*SIN((2*3.1416/365*(I16+284)))* 3.1416 / 180) + SIN(K16 * 3.1416 / 180) * SIN(23.45*SIN((2*3.1416/365*(I16+284)))* 3.1416 / 180))/(((COS((J16 - 6) * 3.1416/12) * COS(23.45*SIN((2*3.1416/365*(I16+284)))* 3.1416 / 180))^2+(-SIN(K16 * 3.1416 / 180) * SIN((J16 - 6) * 3.1416/12) * COS(23.45*SIN((2*3.1416/365*(I16+284)))* 3.1416 / 180) - -COS(K16 * 3.1416 / 180) * SIN(23.45*SIN((2*3.1416/365*(I16+284)))* 3.1416 / 180))^2)^0.5))))</f>
        <v>1868.09274521342</v>
      </c>
      <c r="O16" s="0" t="n">
        <f aca="false">IF(K16&gt;=15,(0.00000000010508*K16^4 - 0.000000017492*K16^3 + 0.0000012363*K16^2 - 0.000044163*K16 + 0.0008144)*N16^2+( -0.000000028*K16^4 + 0.000013654*K16^3 - 0.0019426*K16^2 + 0.11006*K16 - 2.0905)*N16+0.000087115*K16^4 - 0.024852*K16^3 + 2.6437*K16^2 - 124.35*K16 + 2183.8,N16*0.3835-146.8)</f>
        <v>673.563670961674</v>
      </c>
      <c r="P16" s="0" t="n">
        <f aca="false">O16/2.02</f>
        <v>333.447361862215</v>
      </c>
      <c r="Q16" s="0" t="n">
        <v>57.2971860824092</v>
      </c>
      <c r="R16" s="0" t="n">
        <f aca="false">(198.58*(1/(2/15*ACOS(-TAN(3.1416/180*K16)*TAN(3.1416/180*23.45*SIN((2*3.1416/365*(I16+284)))))/3.1416*180))^2+5.0551/(2/15*ACOS(-TAN(3.1416/180*K16)*TAN(3.1416/180*23.45*SIN((2*3.1416/365*(I16+284)))))/3.1416*180)+1.49)*P16*2.02</f>
        <v>1876.76129117475</v>
      </c>
    </row>
    <row r="17" customFormat="false" ht="21" hidden="false" customHeight="false" outlineLevel="0" collapsed="false">
      <c r="B17" s="505" t="s">
        <v>431</v>
      </c>
      <c r="C17" s="505" t="s">
        <v>1798</v>
      </c>
      <c r="D17" s="505" t="s">
        <v>1787</v>
      </c>
      <c r="I17" s="181" t="n">
        <f aca="false">I16+1</f>
        <v>182</v>
      </c>
      <c r="J17" s="0" t="n">
        <v>12</v>
      </c>
      <c r="K17" s="181" t="n">
        <v>36.67</v>
      </c>
      <c r="L17" s="0" t="n">
        <f aca="false">23.45*SIN((2*3.1416/365*(I17+284)))</f>
        <v>23.1204106287554</v>
      </c>
      <c r="M17" s="0" t="n">
        <f aca="false">2/15*ACOS(-TAN(3.1416/180*K17)*TAN(3.1416/180*23.45*SIN((2*3.1416/365*(I17+284)))))/3.1416*180</f>
        <v>14.4714158008176</v>
      </c>
      <c r="N17" s="0" t="n">
        <f aca="false">2084 * EXP(-0.174353387144778 / SIN(ATAN((--COS(K17 * 3.1416 / 180) * SIN((J17 - 6) * 3.1416/12) * COS(23.45*SIN((2*3.1416/365*(I17+284)))* 3.1416 / 180) + SIN(K17 * 3.1416 / 180) * SIN(23.45*SIN((2*3.1416/365*(I17+284)))* 3.1416 / 180))/(((COS((J17 - 6) * 3.1416/12) * COS(23.45*SIN((2*3.1416/365*(I17+284)))* 3.1416 / 180))^2+(-SIN(K17 * 3.1416 / 180) * SIN((J17 - 6) * 3.1416/12) * COS(23.45*SIN((2*3.1416/365*(I17+284)))* 3.1416 / 180) - -COS(K17 * 3.1416 / 180) * SIN(23.45*SIN((2*3.1416/365*(I17+284)))* 3.1416 / 180))^2)^0.5))))*(0.1+SIN(ATAN((--COS(K17 * 3.1416 / 180) * SIN((J17 - 6) * 3.1416/12) * COS(23.45*SIN((2*3.1416/365*(I17+284)))* 3.1416 / 180) + SIN(K17 * 3.1416 / 180) * SIN(23.45*SIN((2*3.1416/365*(I17+284)))* 3.1416 / 180))/(((COS((J17 - 6) * 3.1416/12) * COS(23.45*SIN((2*3.1416/365*(I17+284)))* 3.1416 / 180))^2+(-SIN(K17 * 3.1416 / 180) * SIN((J17 - 6) * 3.1416/12) * COS(23.45*SIN((2*3.1416/365*(I17+284)))* 3.1416 / 180) - -COS(K17 * 3.1416 / 180) * SIN(23.45*SIN((2*3.1416/365*(I17+284)))* 3.1416 / 180))^2)^0.5))))</f>
        <v>1867.54789345873</v>
      </c>
      <c r="O17" s="0" t="n">
        <f aca="false">IF(K17&gt;=15,(0.00000000010508*K17^4 - 0.000000017492*K17^3 + 0.0000012363*K17^2 - 0.000044163*K17 + 0.0008144)*N17^2+( -0.000000028*K17^4 + 0.000013654*K17^3 - 0.0019426*K17^2 + 0.11006*K17 - 2.0905)*N17+0.000087115*K17^4 - 0.024852*K17^3 + 2.6437*K17^2 - 124.35*K17 + 2183.8,N17*0.3835-146.8)</f>
        <v>673.211465516937</v>
      </c>
      <c r="P17" s="0" t="n">
        <f aca="false">O17/2.02</f>
        <v>333.273002731157</v>
      </c>
      <c r="Q17" s="0" t="n">
        <v>79.1890199722781</v>
      </c>
      <c r="R17" s="0" t="n">
        <f aca="false">(198.58*(1/(2/15*ACOS(-TAN(3.1416/180*K17)*TAN(3.1416/180*23.45*SIN((2*3.1416/365*(I17+284)))))/3.1416*180))^2+5.0551/(2/15*ACOS(-TAN(3.1416/180*K17)*TAN(3.1416/180*23.45*SIN((2*3.1416/365*(I17+284)))))/3.1416*180)+1.49)*P17*2.02</f>
        <v>1876.60772672506</v>
      </c>
    </row>
    <row r="18" customFormat="false" ht="15.75" hidden="false" customHeight="false" outlineLevel="0" collapsed="false">
      <c r="B18" s="0" t="n">
        <v>200</v>
      </c>
      <c r="C18" s="0" t="n">
        <v>40</v>
      </c>
      <c r="D18" s="0" t="n">
        <f aca="false">C18*219.4/(7.64+2.18*COS((B18+10)/365*3.1416*2+3.1416))*10000/3600</f>
        <v>2544.5882929545</v>
      </c>
      <c r="I18" s="181" t="n">
        <f aca="false">I17+1</f>
        <v>183</v>
      </c>
      <c r="J18" s="0" t="n">
        <v>12</v>
      </c>
      <c r="K18" s="181" t="n">
        <v>36.67</v>
      </c>
      <c r="L18" s="0" t="n">
        <f aca="false">23.45*SIN((2*3.1416/365*(I18+284)))</f>
        <v>23.0495465276979</v>
      </c>
      <c r="M18" s="0" t="n">
        <f aca="false">2/15*ACOS(-TAN(3.1416/180*K18)*TAN(3.1416/180*23.45*SIN((2*3.1416/365*(I18+284)))))/3.1416*180</f>
        <v>14.4626495274734</v>
      </c>
      <c r="N18" s="0" t="n">
        <f aca="false">2084 * EXP(-0.174353387144778 / SIN(ATAN((--COS(K18 * 3.1416 / 180) * SIN((J18 - 6) * 3.1416/12) * COS(23.45*SIN((2*3.1416/365*(I18+284)))* 3.1416 / 180) + SIN(K18 * 3.1416 / 180) * SIN(23.45*SIN((2*3.1416/365*(I18+284)))* 3.1416 / 180))/(((COS((J18 - 6) * 3.1416/12) * COS(23.45*SIN((2*3.1416/365*(I18+284)))* 3.1416 / 180))^2+(-SIN(K18 * 3.1416 / 180) * SIN((J18 - 6) * 3.1416/12) * COS(23.45*SIN((2*3.1416/365*(I18+284)))* 3.1416 / 180) - -COS(K18 * 3.1416 / 180) * SIN(23.45*SIN((2*3.1416/365*(I18+284)))* 3.1416 / 180))^2)^0.5))))*(0.1+SIN(ATAN((--COS(K18 * 3.1416 / 180) * SIN((J18 - 6) * 3.1416/12) * COS(23.45*SIN((2*3.1416/365*(I18+284)))* 3.1416 / 180) + SIN(K18 * 3.1416 / 180) * SIN(23.45*SIN((2*3.1416/365*(I18+284)))* 3.1416 / 180))/(((COS((J18 - 6) * 3.1416/12) * COS(23.45*SIN((2*3.1416/365*(I18+284)))* 3.1416 / 180))^2+(-SIN(K18 * 3.1416 / 180) * SIN((J18 - 6) * 3.1416/12) * COS(23.45*SIN((2*3.1416/365*(I18+284)))* 3.1416 / 180) - -COS(K18 * 3.1416 / 180) * SIN(23.45*SIN((2*3.1416/365*(I18+284)))* 3.1416 / 180))^2)^0.5))))</f>
        <v>1866.9417750375</v>
      </c>
      <c r="O18" s="0" t="n">
        <f aca="false">IF(K18&gt;=15,(0.00000000010508*K18^4 - 0.000000017492*K18^3 + 0.0000012363*K18^2 - 0.000044163*K18 + 0.0008144)*N18^2+( -0.000000028*K18^4 + 0.000013654*K18^3 - 0.0019426*K18^2 + 0.11006*K18 - 2.0905)*N18+0.000087115*K18^4 - 0.024852*K18^3 + 2.6437*K18^2 - 124.35*K18 + 2183.8,N18*0.3835-146.8)</f>
        <v>672.819784769607</v>
      </c>
      <c r="P18" s="0" t="n">
        <f aca="false">O18/2.02</f>
        <v>333.079101371093</v>
      </c>
      <c r="Q18" s="0" t="n">
        <v>93.1249015561994</v>
      </c>
      <c r="R18" s="0" t="n">
        <f aca="false">(198.58*(1/(2/15*ACOS(-TAN(3.1416/180*K18)*TAN(3.1416/180*23.45*SIN((2*3.1416/365*(I18+284)))))/3.1416*180))^2+5.0551/(2/15*ACOS(-TAN(3.1416/180*K18)*TAN(3.1416/180*23.45*SIN((2*3.1416/365*(I18+284)))))/3.1416*180)+1.49)*P18*2.02</f>
        <v>1876.43199965223</v>
      </c>
    </row>
    <row r="19" customFormat="false" ht="15.75" hidden="false" customHeight="false" outlineLevel="0" collapsed="false">
      <c r="I19" s="181" t="n">
        <f aca="false">I18+1</f>
        <v>184</v>
      </c>
      <c r="J19" s="0" t="n">
        <v>12</v>
      </c>
      <c r="K19" s="181" t="n">
        <v>36.67</v>
      </c>
      <c r="L19" s="0" t="n">
        <f aca="false">23.45*SIN((2*3.1416/365*(I19+284)))</f>
        <v>22.9718523166117</v>
      </c>
      <c r="M19" s="0" t="n">
        <f aca="false">2/15*ACOS(-TAN(3.1416/180*K19)*TAN(3.1416/180*23.45*SIN((2*3.1416/365*(I19+284)))))/3.1416*180</f>
        <v>14.4530527817392</v>
      </c>
      <c r="N19" s="0" t="n">
        <f aca="false">2084 * EXP(-0.174353387144778 / SIN(ATAN((--COS(K19 * 3.1416 / 180) * SIN((J19 - 6) * 3.1416/12) * COS(23.45*SIN((2*3.1416/365*(I19+284)))* 3.1416 / 180) + SIN(K19 * 3.1416 / 180) * SIN(23.45*SIN((2*3.1416/365*(I19+284)))* 3.1416 / 180))/(((COS((J19 - 6) * 3.1416/12) * COS(23.45*SIN((2*3.1416/365*(I19+284)))* 3.1416 / 180))^2+(-SIN(K19 * 3.1416 / 180) * SIN((J19 - 6) * 3.1416/12) * COS(23.45*SIN((2*3.1416/365*(I19+284)))* 3.1416 / 180) - -COS(K19 * 3.1416 / 180) * SIN(23.45*SIN((2*3.1416/365*(I19+284)))* 3.1416 / 180))^2)^0.5))))*(0.1+SIN(ATAN((--COS(K19 * 3.1416 / 180) * SIN((J19 - 6) * 3.1416/12) * COS(23.45*SIN((2*3.1416/365*(I19+284)))* 3.1416 / 180) + SIN(K19 * 3.1416 / 180) * SIN(23.45*SIN((2*3.1416/365*(I19+284)))* 3.1416 / 180))/(((COS((J19 - 6) * 3.1416/12) * COS(23.45*SIN((2*3.1416/365*(I19+284)))* 3.1416 / 180))^2+(-SIN(K19 * 3.1416 / 180) * SIN((J19 - 6) * 3.1416/12) * COS(23.45*SIN((2*3.1416/365*(I19+284)))* 3.1416 / 180) - -COS(K19 * 3.1416 / 180) * SIN(23.45*SIN((2*3.1416/365*(I19+284)))* 3.1416 / 180))^2)^0.5))))</f>
        <v>1866.27367212703</v>
      </c>
      <c r="O19" s="0" t="n">
        <f aca="false">IF(K19&gt;=15,(0.00000000010508*K19^4 - 0.000000017492*K19^3 + 0.0000012363*K19^2 - 0.000044163*K19 + 0.0008144)*N19^2+( -0.000000028*K19^4 + 0.000013654*K19^3 - 0.0019426*K19^2 + 0.11006*K19 - 2.0905)*N19+0.000087115*K19^4 - 0.024852*K19^3 + 2.6437*K19^2 - 124.35*K19 + 2183.8,N19*0.3835-146.8)</f>
        <v>672.388206300494</v>
      </c>
      <c r="P19" s="0" t="n">
        <f aca="false">O19/2.02</f>
        <v>332.865448663611</v>
      </c>
      <c r="Q19" s="0" t="n">
        <v>82.6152776902716</v>
      </c>
      <c r="R19" s="0" t="n">
        <f aca="false">(198.58*(1/(2/15*ACOS(-TAN(3.1416/180*K19)*TAN(3.1416/180*23.45*SIN((2*3.1416/365*(I19+284)))))/3.1416*180))^2+5.0551/(2/15*ACOS(-TAN(3.1416/180*K19)*TAN(3.1416/180*23.45*SIN((2*3.1416/365*(I19+284)))))/3.1416*180)+1.49)*P19*2.02</f>
        <v>1876.23242327499</v>
      </c>
    </row>
    <row r="20" customFormat="false" ht="21" hidden="false" customHeight="false" outlineLevel="0" collapsed="false">
      <c r="B20" s="505" t="s">
        <v>431</v>
      </c>
      <c r="C20" s="505" t="s">
        <v>1801</v>
      </c>
      <c r="D20" s="505" t="s">
        <v>1787</v>
      </c>
      <c r="I20" s="181" t="n">
        <f aca="false">I19+1</f>
        <v>185</v>
      </c>
      <c r="J20" s="0" t="n">
        <v>12</v>
      </c>
      <c r="K20" s="181" t="n">
        <v>36.67</v>
      </c>
      <c r="L20" s="0" t="n">
        <f aca="false">23.45*SIN((2*3.1416/365*(I20+284)))</f>
        <v>22.887351018076</v>
      </c>
      <c r="M20" s="0" t="n">
        <f aca="false">2/15*ACOS(-TAN(3.1416/180*K20)*TAN(3.1416/180*23.45*SIN((2*3.1416/365*(I20+284)))))/3.1416*180</f>
        <v>14.4426322857472</v>
      </c>
      <c r="N20" s="0" t="n">
        <f aca="false">2084 * EXP(-0.174353387144778 / SIN(ATAN((--COS(K20 * 3.1416 / 180) * SIN((J20 - 6) * 3.1416/12) * COS(23.45*SIN((2*3.1416/365*(I20+284)))* 3.1416 / 180) + SIN(K20 * 3.1416 / 180) * SIN(23.45*SIN((2*3.1416/365*(I20+284)))* 3.1416 / 180))/(((COS((J20 - 6) * 3.1416/12) * COS(23.45*SIN((2*3.1416/365*(I20+284)))* 3.1416 / 180))^2+(-SIN(K20 * 3.1416 / 180) * SIN((J20 - 6) * 3.1416/12) * COS(23.45*SIN((2*3.1416/365*(I20+284)))* 3.1416 / 180) - -COS(K20 * 3.1416 / 180) * SIN(23.45*SIN((2*3.1416/365*(I20+284)))* 3.1416 / 180))^2)^0.5))))*(0.1+SIN(ATAN((--COS(K20 * 3.1416 / 180) * SIN((J20 - 6) * 3.1416/12) * COS(23.45*SIN((2*3.1416/365*(I20+284)))* 3.1416 / 180) + SIN(K20 * 3.1416 / 180) * SIN(23.45*SIN((2*3.1416/365*(I20+284)))* 3.1416 / 180))/(((COS((J20 - 6) * 3.1416/12) * COS(23.45*SIN((2*3.1416/365*(I20+284)))* 3.1416 / 180))^2+(-SIN(K20 * 3.1416 / 180) * SIN((J20 - 6) * 3.1416/12) * COS(23.45*SIN((2*3.1416/365*(I20+284)))* 3.1416 / 180) - -COS(K20 * 3.1416 / 180) * SIN(23.45*SIN((2*3.1416/365*(I20+284)))* 3.1416 / 180))^2)^0.5))))</f>
        <v>1865.54280246261</v>
      </c>
      <c r="O20" s="0" t="n">
        <f aca="false">IF(K20&gt;=15,(0.00000000010508*K20^4 - 0.000000017492*K20^3 + 0.0000012363*K20^2 - 0.000044163*K20 + 0.0008144)*N20^2+( -0.000000028*K20^4 + 0.000013654*K20^3 - 0.0019426*K20^2 + 0.11006*K20 - 2.0905)*N20+0.000087115*K20^4 - 0.024852*K20^3 + 2.6437*K20^2 - 124.35*K20 + 2183.8,N20*0.3835-146.8)</f>
        <v>671.916271025802</v>
      </c>
      <c r="P20" s="0" t="n">
        <f aca="false">O20/2.02</f>
        <v>332.631817339506</v>
      </c>
      <c r="Q20" s="0" t="n">
        <v>109.396765924269</v>
      </c>
      <c r="R20" s="0" t="n">
        <f aca="false">(198.58*(1/(2/15*ACOS(-TAN(3.1416/180*K20)*TAN(3.1416/180*23.45*SIN((2*3.1416/365*(I20+284)))))/3.1416*180))^2+5.0551/(2/15*ACOS(-TAN(3.1416/180*K20)*TAN(3.1416/180*23.45*SIN((2*3.1416/365*(I20+284)))))/3.1416*180)+1.49)*P20*2.02</f>
        <v>1876.00715845151</v>
      </c>
    </row>
    <row r="21" customFormat="false" ht="15.75" hidden="false" customHeight="false" outlineLevel="0" collapsed="false">
      <c r="B21" s="0" t="n">
        <v>180</v>
      </c>
      <c r="C21" s="0" t="n">
        <v>3000</v>
      </c>
      <c r="D21" s="0" t="n">
        <f aca="false">100*100/1000000*C21*219.4/(7.64+2.18*COS((B21+10)/365*3.1416*2+3.1416))*10000/3600</f>
        <v>1865.29368972128</v>
      </c>
      <c r="I21" s="181" t="n">
        <f aca="false">I20+1</f>
        <v>186</v>
      </c>
      <c r="J21" s="0" t="n">
        <v>12</v>
      </c>
      <c r="K21" s="181" t="n">
        <v>36.67</v>
      </c>
      <c r="L21" s="0" t="n">
        <f aca="false">23.45*SIN((2*3.1416/365*(I21+284)))</f>
        <v>22.7960676717663</v>
      </c>
      <c r="M21" s="0" t="n">
        <f aca="false">2/15*ACOS(-TAN(3.1416/180*K21)*TAN(3.1416/180*23.45*SIN((2*3.1416/365*(I21+284)))))/3.1416*180</f>
        <v>14.4313952871784</v>
      </c>
      <c r="N21" s="0" t="n">
        <f aca="false">2084 * EXP(-0.174353387144778 / SIN(ATAN((--COS(K21 * 3.1416 / 180) * SIN((J21 - 6) * 3.1416/12) * COS(23.45*SIN((2*3.1416/365*(I21+284)))* 3.1416 / 180) + SIN(K21 * 3.1416 / 180) * SIN(23.45*SIN((2*3.1416/365*(I21+284)))* 3.1416 / 180))/(((COS((J21 - 6) * 3.1416/12) * COS(23.45*SIN((2*3.1416/365*(I21+284)))* 3.1416 / 180))^2+(-SIN(K21 * 3.1416 / 180) * SIN((J21 - 6) * 3.1416/12) * COS(23.45*SIN((2*3.1416/365*(I21+284)))* 3.1416 / 180) - -COS(K21 * 3.1416 / 180) * SIN(23.45*SIN((2*3.1416/365*(I21+284)))* 3.1416 / 180))^2)^0.5))))*(0.1+SIN(ATAN((--COS(K21 * 3.1416 / 180) * SIN((J21 - 6) * 3.1416/12) * COS(23.45*SIN((2*3.1416/365*(I21+284)))* 3.1416 / 180) + SIN(K21 * 3.1416 / 180) * SIN(23.45*SIN((2*3.1416/365*(I21+284)))* 3.1416 / 180))/(((COS((J21 - 6) * 3.1416/12) * COS(23.45*SIN((2*3.1416/365*(I21+284)))* 3.1416 / 180))^2+(-SIN(K21 * 3.1416 / 180) * SIN((J21 - 6) * 3.1416/12) * COS(23.45*SIN((2*3.1416/365*(I21+284)))* 3.1416 / 180) - -COS(K21 * 3.1416 / 180) * SIN(23.45*SIN((2*3.1416/365*(I21+284)))* 3.1416 / 180))^2)^0.5))))</f>
        <v>1864.74832087673</v>
      </c>
      <c r="O21" s="0" t="n">
        <f aca="false">IF(K21&gt;=15,(0.00000000010508*K21^4 - 0.000000017492*K21^3 + 0.0000012363*K21^2 - 0.000044163*K21 + 0.0008144)*N21^2+( -0.000000028*K21^4 + 0.000013654*K21^3 - 0.0019426*K21^2 + 0.11006*K21 - 2.0905)*N21+0.000087115*K21^4 - 0.024852*K21^3 + 2.6437*K21^2 - 124.35*K21 + 2183.8,N21*0.3835-146.8)</f>
        <v>671.40348445044</v>
      </c>
      <c r="P21" s="0" t="n">
        <f aca="false">O21/2.02</f>
        <v>332.377962599228</v>
      </c>
      <c r="Q21" s="0" t="n">
        <v>70.2583805207277</v>
      </c>
      <c r="R21" s="0" t="n">
        <f aca="false">(198.58*(1/(2/15*ACOS(-TAN(3.1416/180*K21)*TAN(3.1416/180*23.45*SIN((2*3.1416/365*(I21+284)))))/3.1416*180))^2+5.0551/(2/15*ACOS(-TAN(3.1416/180*K21)*TAN(3.1416/180*23.45*SIN((2*3.1416/365*(I21+284)))))/3.1416*180)+1.49)*P21*2.02</f>
        <v>1875.7542169308</v>
      </c>
    </row>
    <row r="22" customFormat="false" ht="15.75" hidden="false" customHeight="false" outlineLevel="0" collapsed="false">
      <c r="I22" s="181" t="n">
        <f aca="false">I21+1</f>
        <v>187</v>
      </c>
      <c r="J22" s="0" t="n">
        <v>12</v>
      </c>
      <c r="K22" s="181" t="n">
        <v>36.67</v>
      </c>
      <c r="L22" s="0" t="n">
        <f aca="false">23.45*SIN((2*3.1416/365*(I22+284)))</f>
        <v>22.6980293270346</v>
      </c>
      <c r="M22" s="0" t="n">
        <f aca="false">2/15*ACOS(-TAN(3.1416/180*K22)*TAN(3.1416/180*23.45*SIN((2*3.1416/365*(I22+284)))))/3.1416*180</f>
        <v>14.419349541966</v>
      </c>
      <c r="N22" s="0" t="n">
        <f aca="false">2084 * EXP(-0.174353387144778 / SIN(ATAN((--COS(K22 * 3.1416 / 180) * SIN((J22 - 6) * 3.1416/12) * COS(23.45*SIN((2*3.1416/365*(I22+284)))* 3.1416 / 180) + SIN(K22 * 3.1416 / 180) * SIN(23.45*SIN((2*3.1416/365*(I22+284)))* 3.1416 / 180))/(((COS((J22 - 6) * 3.1416/12) * COS(23.45*SIN((2*3.1416/365*(I22+284)))* 3.1416 / 180))^2+(-SIN(K22 * 3.1416 / 180) * SIN((J22 - 6) * 3.1416/12) * COS(23.45*SIN((2*3.1416/365*(I22+284)))* 3.1416 / 180) - -COS(K22 * 3.1416 / 180) * SIN(23.45*SIN((2*3.1416/365*(I22+284)))* 3.1416 / 180))^2)^0.5))))*(0.1+SIN(ATAN((--COS(K22 * 3.1416 / 180) * SIN((J22 - 6) * 3.1416/12) * COS(23.45*SIN((2*3.1416/365*(I22+284)))* 3.1416 / 180) + SIN(K22 * 3.1416 / 180) * SIN(23.45*SIN((2*3.1416/365*(I22+284)))* 3.1416 / 180))/(((COS((J22 - 6) * 3.1416/12) * COS(23.45*SIN((2*3.1416/365*(I22+284)))* 3.1416 / 180))^2+(-SIN(K22 * 3.1416 / 180) * SIN((J22 - 6) * 3.1416/12) * COS(23.45*SIN((2*3.1416/365*(I22+284)))* 3.1416 / 180) - -COS(K22 * 3.1416 / 180) * SIN(23.45*SIN((2*3.1416/365*(I22+284)))* 3.1416 / 180))^2)^0.5))))</f>
        <v>1863.88932096685</v>
      </c>
      <c r="O22" s="0" t="n">
        <f aca="false">IF(K22&gt;=15,(0.00000000010508*K22^4 - 0.000000017492*K22^3 + 0.0000012363*K22^2 - 0.000044163*K22 + 0.0008144)*N22^2+( -0.000000028*K22^4 + 0.000013654*K22^3 - 0.0019426*K22^2 + 0.11006*K22 - 2.0905)*N22+0.000087115*K22^4 - 0.024852*K22^3 + 2.6437*K22^2 - 124.35*K22 + 2183.8,N22*0.3835-146.8)</f>
        <v>670.84931802623</v>
      </c>
      <c r="P22" s="0" t="n">
        <f aca="false">O22/2.02</f>
        <v>332.103622785262</v>
      </c>
      <c r="Q22" s="0" t="n">
        <v>98.0673020885832</v>
      </c>
      <c r="R22" s="0" t="n">
        <f aca="false">(198.58*(1/(2/15*ACOS(-TAN(3.1416/180*K22)*TAN(3.1416/180*23.45*SIN((2*3.1416/365*(I22+284)))))/3.1416*180))^2+5.0551/(2/15*ACOS(-TAN(3.1416/180*K22)*TAN(3.1416/180*23.45*SIN((2*3.1416/365*(I22+284)))))/3.1416*180)+1.49)*P22*2.02</f>
        <v>1875.47146499335</v>
      </c>
    </row>
    <row r="23" customFormat="false" ht="15.75" hidden="false" customHeight="false" outlineLevel="0" collapsed="false">
      <c r="I23" s="181" t="n">
        <f aca="false">I22+1</f>
        <v>188</v>
      </c>
      <c r="J23" s="0" t="n">
        <v>12</v>
      </c>
      <c r="K23" s="181" t="n">
        <v>36.67</v>
      </c>
      <c r="L23" s="0" t="n">
        <f aca="false">23.45*SIN((2*3.1416/365*(I23+284)))</f>
        <v>22.5932650348942</v>
      </c>
      <c r="M23" s="0" t="n">
        <f aca="false">2/15*ACOS(-TAN(3.1416/180*K23)*TAN(3.1416/180*23.45*SIN((2*3.1416/365*(I23+284)))))/3.1416*180</f>
        <v>14.4065032960017</v>
      </c>
      <c r="N23" s="0" t="n">
        <f aca="false">2084 * EXP(-0.174353387144778 / SIN(ATAN((--COS(K23 * 3.1416 / 180) * SIN((J23 - 6) * 3.1416/12) * COS(23.45*SIN((2*3.1416/365*(I23+284)))* 3.1416 / 180) + SIN(K23 * 3.1416 / 180) * SIN(23.45*SIN((2*3.1416/365*(I23+284)))* 3.1416 / 180))/(((COS((J23 - 6) * 3.1416/12) * COS(23.45*SIN((2*3.1416/365*(I23+284)))* 3.1416 / 180))^2+(-SIN(K23 * 3.1416 / 180) * SIN((J23 - 6) * 3.1416/12) * COS(23.45*SIN((2*3.1416/365*(I23+284)))* 3.1416 / 180) - -COS(K23 * 3.1416 / 180) * SIN(23.45*SIN((2*3.1416/365*(I23+284)))* 3.1416 / 180))^2)^0.5))))*(0.1+SIN(ATAN((--COS(K23 * 3.1416 / 180) * SIN((J23 - 6) * 3.1416/12) * COS(23.45*SIN((2*3.1416/365*(I23+284)))* 3.1416 / 180) + SIN(K23 * 3.1416 / 180) * SIN(23.45*SIN((2*3.1416/365*(I23+284)))* 3.1416 / 180))/(((COS((J23 - 6) * 3.1416/12) * COS(23.45*SIN((2*3.1416/365*(I23+284)))* 3.1416 / 180))^2+(-SIN(K23 * 3.1416 / 180) * SIN((J23 - 6) * 3.1416/12) * COS(23.45*SIN((2*3.1416/365*(I23+284)))* 3.1416 / 180) - -COS(K23 * 3.1416 / 180) * SIN(23.45*SIN((2*3.1416/365*(I23+284)))* 3.1416 / 180))^2)^0.5))))</f>
        <v>1862.96483688968</v>
      </c>
      <c r="O23" s="0" t="n">
        <f aca="false">IF(K23&gt;=15,(0.00000000010508*K23^4 - 0.000000017492*K23^3 + 0.0000012363*K23^2 - 0.000044163*K23 + 0.0008144)*N23^2+( -0.000000028*K23^4 + 0.000013654*K23^3 - 0.0019426*K23^2 + 0.11006*K23 - 2.0905)*N23+0.000087115*K23^4 - 0.024852*K23^3 + 2.6437*K23^2 - 124.35*K23 + 2183.8,N23*0.3835-146.8)</f>
        <v>670.253210613273</v>
      </c>
      <c r="P23" s="0" t="n">
        <f aca="false">O23/2.02</f>
        <v>331.80852010558</v>
      </c>
      <c r="Q23" s="0" t="n">
        <v>84.6926387663806</v>
      </c>
      <c r="R23" s="0" t="n">
        <f aca="false">(198.58*(1/(2/15*ACOS(-TAN(3.1416/180*K23)*TAN(3.1416/180*23.45*SIN((2*3.1416/365*(I23+284)))))/3.1416*180))^2+5.0551/(2/15*ACOS(-TAN(3.1416/180*K23)*TAN(3.1416/180*23.45*SIN((2*3.1416/365*(I23+284)))))/3.1416*180)+1.49)*P23*2.02</f>
        <v>1875.1566273786</v>
      </c>
    </row>
    <row r="24" customFormat="false" ht="15.75" hidden="false" customHeight="false" outlineLevel="0" collapsed="false">
      <c r="I24" s="181" t="n">
        <f aca="false">I23+1</f>
        <v>189</v>
      </c>
      <c r="J24" s="0" t="n">
        <v>12</v>
      </c>
      <c r="K24" s="181" t="n">
        <v>36.67</v>
      </c>
      <c r="L24" s="0" t="n">
        <f aca="false">23.45*SIN((2*3.1416/365*(I24+284)))</f>
        <v>22.4818058394111</v>
      </c>
      <c r="M24" s="0" t="n">
        <f aca="false">2/15*ACOS(-TAN(3.1416/180*K24)*TAN(3.1416/180*23.45*SIN((2*3.1416/365*(I24+284)))))/3.1416*180</f>
        <v>14.3928652659295</v>
      </c>
      <c r="N24" s="0" t="n">
        <f aca="false">2084 * EXP(-0.174353387144778 / SIN(ATAN((--COS(K24 * 3.1416 / 180) * SIN((J24 - 6) * 3.1416/12) * COS(23.45*SIN((2*3.1416/365*(I24+284)))* 3.1416 / 180) + SIN(K24 * 3.1416 / 180) * SIN(23.45*SIN((2*3.1416/365*(I24+284)))* 3.1416 / 180))/(((COS((J24 - 6) * 3.1416/12) * COS(23.45*SIN((2*3.1416/365*(I24+284)))* 3.1416 / 180))^2+(-SIN(K24 * 3.1416 / 180) * SIN((J24 - 6) * 3.1416/12) * COS(23.45*SIN((2*3.1416/365*(I24+284)))* 3.1416 / 180) - -COS(K24 * 3.1416 / 180) * SIN(23.45*SIN((2*3.1416/365*(I24+284)))* 3.1416 / 180))^2)^0.5))))*(0.1+SIN(ATAN((--COS(K24 * 3.1416 / 180) * SIN((J24 - 6) * 3.1416/12) * COS(23.45*SIN((2*3.1416/365*(I24+284)))* 3.1416 / 180) + SIN(K24 * 3.1416 / 180) * SIN(23.45*SIN((2*3.1416/365*(I24+284)))* 3.1416 / 180))/(((COS((J24 - 6) * 3.1416/12) * COS(23.45*SIN((2*3.1416/365*(I24+284)))* 3.1416 / 180))^2+(-SIN(K24 * 3.1416 / 180) * SIN((J24 - 6) * 3.1416/12) * COS(23.45*SIN((2*3.1416/365*(I24+284)))* 3.1416 / 180) - -COS(K24 * 3.1416 / 180) * SIN(23.45*SIN((2*3.1416/365*(I24+284)))* 3.1416 / 180))^2)^0.5))))</f>
        <v>1861.97384527965</v>
      </c>
      <c r="O24" s="0" t="n">
        <f aca="false">IF(K24&gt;=15,(0.00000000010508*K24^4 - 0.000000017492*K24^3 + 0.0000012363*K24^2 - 0.000044163*K24 + 0.0008144)*N24^2+( -0.000000028*K24^4 + 0.000013654*K24^3 - 0.0019426*K24^2 + 0.11006*K24 - 2.0905)*N24+0.000087115*K24^4 - 0.024852*K24^3 + 2.6437*K24^2 - 124.35*K24 + 2183.8,N24*0.3835-146.8)</f>
        <v>669.614570042554</v>
      </c>
      <c r="P24" s="0" t="n">
        <f aca="false">O24/2.02</f>
        <v>331.492361407205</v>
      </c>
      <c r="Q24" s="0" t="n">
        <v>84.9819847845258</v>
      </c>
      <c r="R24" s="0" t="n">
        <f aca="false">(198.58*(1/(2/15*ACOS(-TAN(3.1416/180*K24)*TAN(3.1416/180*23.45*SIN((2*3.1416/365*(I24+284)))))/3.1416*180))^2+5.0551/(2/15*ACOS(-TAN(3.1416/180*K24)*TAN(3.1416/180*23.45*SIN((2*3.1416/365*(I24+284)))))/3.1416*180)+1.49)*P24*2.02</f>
        <v>1874.80729149652</v>
      </c>
    </row>
    <row r="25" customFormat="false" ht="15.75" hidden="false" customHeight="false" outlineLevel="0" collapsed="false">
      <c r="I25" s="181" t="n">
        <f aca="false">I24+1</f>
        <v>190</v>
      </c>
      <c r="J25" s="0" t="n">
        <v>12</v>
      </c>
      <c r="K25" s="181" t="n">
        <v>36.67</v>
      </c>
      <c r="L25" s="0" t="n">
        <f aca="false">23.45*SIN((2*3.1416/365*(I25+284)))</f>
        <v>22.3636847685048</v>
      </c>
      <c r="M25" s="0" t="n">
        <f aca="false">2/15*ACOS(-TAN(3.1416/180*K25)*TAN(3.1416/180*23.45*SIN((2*3.1416/365*(I25+284)))))/3.1416*180</f>
        <v>14.378444619117</v>
      </c>
      <c r="N25" s="0" t="n">
        <f aca="false">2084 * EXP(-0.174353387144778 / SIN(ATAN((--COS(K25 * 3.1416 / 180) * SIN((J25 - 6) * 3.1416/12) * COS(23.45*SIN((2*3.1416/365*(I25+284)))* 3.1416 / 180) + SIN(K25 * 3.1416 / 180) * SIN(23.45*SIN((2*3.1416/365*(I25+284)))* 3.1416 / 180))/(((COS((J25 - 6) * 3.1416/12) * COS(23.45*SIN((2*3.1416/365*(I25+284)))* 3.1416 / 180))^2+(-SIN(K25 * 3.1416 / 180) * SIN((J25 - 6) * 3.1416/12) * COS(23.45*SIN((2*3.1416/365*(I25+284)))* 3.1416 / 180) - -COS(K25 * 3.1416 / 180) * SIN(23.45*SIN((2*3.1416/365*(I25+284)))* 3.1416 / 180))^2)^0.5))))*(0.1+SIN(ATAN((--COS(K25 * 3.1416 / 180) * SIN((J25 - 6) * 3.1416/12) * COS(23.45*SIN((2*3.1416/365*(I25+284)))* 3.1416 / 180) + SIN(K25 * 3.1416 / 180) * SIN(23.45*SIN((2*3.1416/365*(I25+284)))* 3.1416 / 180))/(((COS((J25 - 6) * 3.1416/12) * COS(23.45*SIN((2*3.1416/365*(I25+284)))* 3.1416 / 180))^2+(-SIN(K25 * 3.1416 / 180) * SIN((J25 - 6) * 3.1416/12) * COS(23.45*SIN((2*3.1416/365*(I25+284)))* 3.1416 / 180) - -COS(K25 * 3.1416 / 180) * SIN(23.45*SIN((2*3.1416/365*(I25+284)))* 3.1416 / 180))^2)^0.5))))</f>
        <v>1860.91526728913</v>
      </c>
      <c r="O25" s="0" t="n">
        <f aca="false">IF(K25&gt;=15,(0.00000000010508*K25^4 - 0.000000017492*K25^3 + 0.0000012363*K25^2 - 0.000044163*K25 + 0.0008144)*N25^2+( -0.000000028*K25^4 + 0.000013654*K25^3 - 0.0019426*K25^2 + 0.11006*K25 - 2.0905)*N25+0.000087115*K25^4 - 0.024852*K25^3 + 2.6437*K25^2 - 124.35*K25 + 2183.8,N25*0.3835-146.8)</f>
        <v>668.932774777707</v>
      </c>
      <c r="P25" s="0" t="n">
        <f aca="false">O25/2.02</f>
        <v>331.154838998865</v>
      </c>
      <c r="Q25" s="0" t="n">
        <v>109.52891688193</v>
      </c>
      <c r="R25" s="0" t="n">
        <f aca="false">(198.58*(1/(2/15*ACOS(-TAN(3.1416/180*K25)*TAN(3.1416/180*23.45*SIN((2*3.1416/365*(I25+284)))))/3.1416*180))^2+5.0551/(2/15*ACOS(-TAN(3.1416/180*K25)*TAN(3.1416/180*23.45*SIN((2*3.1416/365*(I25+284)))))/3.1416*180)+1.49)*P25*2.02</f>
        <v>1874.42091192033</v>
      </c>
    </row>
    <row r="26" customFormat="false" ht="15.75" hidden="false" customHeight="false" outlineLevel="0" collapsed="false">
      <c r="I26" s="181" t="n">
        <f aca="false">I25+1</f>
        <v>191</v>
      </c>
      <c r="J26" s="0" t="n">
        <v>12</v>
      </c>
      <c r="K26" s="181" t="n">
        <v>36.67</v>
      </c>
      <c r="L26" s="0" t="n">
        <f aca="false">23.45*SIN((2*3.1416/365*(I26+284)))</f>
        <v>22.2389368241616</v>
      </c>
      <c r="M26" s="0" t="n">
        <f aca="false">2/15*ACOS(-TAN(3.1416/180*K26)*TAN(3.1416/180*23.45*SIN((2*3.1416/365*(I26+284)))))/3.1416*180</f>
        <v>14.3632509528962</v>
      </c>
      <c r="N26" s="0" t="n">
        <f aca="false">2084 * EXP(-0.174353387144778 / SIN(ATAN((--COS(K26 * 3.1416 / 180) * SIN((J26 - 6) * 3.1416/12) * COS(23.45*SIN((2*3.1416/365*(I26+284)))* 3.1416 / 180) + SIN(K26 * 3.1416 / 180) * SIN(23.45*SIN((2*3.1416/365*(I26+284)))* 3.1416 / 180))/(((COS((J26 - 6) * 3.1416/12) * COS(23.45*SIN((2*3.1416/365*(I26+284)))* 3.1416 / 180))^2+(-SIN(K26 * 3.1416 / 180) * SIN((J26 - 6) * 3.1416/12) * COS(23.45*SIN((2*3.1416/365*(I26+284)))* 3.1416 / 180) - -COS(K26 * 3.1416 / 180) * SIN(23.45*SIN((2*3.1416/365*(I26+284)))* 3.1416 / 180))^2)^0.5))))*(0.1+SIN(ATAN((--COS(K26 * 3.1416 / 180) * SIN((J26 - 6) * 3.1416/12) * COS(23.45*SIN((2*3.1416/365*(I26+284)))* 3.1416 / 180) + SIN(K26 * 3.1416 / 180) * SIN(23.45*SIN((2*3.1416/365*(I26+284)))* 3.1416 / 180))/(((COS((J26 - 6) * 3.1416/12) * COS(23.45*SIN((2*3.1416/365*(I26+284)))* 3.1416 / 180))^2+(-SIN(K26 * 3.1416 / 180) * SIN((J26 - 6) * 3.1416/12) * COS(23.45*SIN((2*3.1416/365*(I26+284)))* 3.1416 / 180) - -COS(K26 * 3.1416 / 180) * SIN(23.45*SIN((2*3.1416/365*(I26+284)))* 3.1416 / 180))^2)^0.5))))</f>
        <v>1859.78797074778</v>
      </c>
      <c r="O26" s="0" t="n">
        <f aca="false">IF(K26&gt;=15,(0.00000000010508*K26^4 - 0.000000017492*K26^3 + 0.0000012363*K26^2 - 0.000044163*K26 + 0.0008144)*N26^2+( -0.000000028*K26^4 + 0.000013654*K26^3 - 0.0019426*K26^2 + 0.11006*K26 - 2.0905)*N26+0.000087115*K26^4 - 0.024852*K26^3 + 2.6437*K26^2 - 124.35*K26 + 2183.8,N26*0.3835-146.8)</f>
        <v>668.207175673643</v>
      </c>
      <c r="P26" s="0" t="n">
        <f aca="false">O26/2.02</f>
        <v>330.795631521605</v>
      </c>
      <c r="Q26" s="0" t="n">
        <v>94.5441362934723</v>
      </c>
      <c r="R26" s="0" t="n">
        <f aca="false">(198.58*(1/(2/15*ACOS(-TAN(3.1416/180*K26)*TAN(3.1416/180*23.45*SIN((2*3.1416/365*(I26+284)))))/3.1416*180))^2+5.0551/(2/15*ACOS(-TAN(3.1416/180*K26)*TAN(3.1416/180*23.45*SIN((2*3.1416/365*(I26+284)))))/3.1416*180)+1.49)*P26*2.02</f>
        <v>1873.99481515679</v>
      </c>
    </row>
    <row r="27" customFormat="false" ht="15.75" hidden="false" customHeight="false" outlineLevel="0" collapsed="false">
      <c r="I27" s="181" t="n">
        <f aca="false">I26+1</f>
        <v>192</v>
      </c>
      <c r="J27" s="0" t="n">
        <v>12</v>
      </c>
      <c r="K27" s="181" t="n">
        <v>36.67</v>
      </c>
      <c r="L27" s="0" t="n">
        <f aca="false">23.45*SIN((2*3.1416/365*(I27+284)))</f>
        <v>22.1075989720626</v>
      </c>
      <c r="M27" s="0" t="n">
        <f aca="false">2/15*ACOS(-TAN(3.1416/180*K27)*TAN(3.1416/180*23.45*SIN((2*3.1416/365*(I27+284)))))/3.1416*180</f>
        <v>14.3472942731656</v>
      </c>
      <c r="N27" s="0" t="n">
        <f aca="false">2084 * EXP(-0.174353387144778 / SIN(ATAN((--COS(K27 * 3.1416 / 180) * SIN((J27 - 6) * 3.1416/12) * COS(23.45*SIN((2*3.1416/365*(I27+284)))* 3.1416 / 180) + SIN(K27 * 3.1416 / 180) * SIN(23.45*SIN((2*3.1416/365*(I27+284)))* 3.1416 / 180))/(((COS((J27 - 6) * 3.1416/12) * COS(23.45*SIN((2*3.1416/365*(I27+284)))* 3.1416 / 180))^2+(-SIN(K27 * 3.1416 / 180) * SIN((J27 - 6) * 3.1416/12) * COS(23.45*SIN((2*3.1416/365*(I27+284)))* 3.1416 / 180) - -COS(K27 * 3.1416 / 180) * SIN(23.45*SIN((2*3.1416/365*(I27+284)))* 3.1416 / 180))^2)^0.5))))*(0.1+SIN(ATAN((--COS(K27 * 3.1416 / 180) * SIN((J27 - 6) * 3.1416/12) * COS(23.45*SIN((2*3.1416/365*(I27+284)))* 3.1416 / 180) + SIN(K27 * 3.1416 / 180) * SIN(23.45*SIN((2*3.1416/365*(I27+284)))* 3.1416 / 180))/(((COS((J27 - 6) * 3.1416/12) * COS(23.45*SIN((2*3.1416/365*(I27+284)))* 3.1416 / 180))^2+(-SIN(K27 * 3.1416 / 180) * SIN((J27 - 6) * 3.1416/12) * COS(23.45*SIN((2*3.1416/365*(I27+284)))* 3.1416 / 180) - -COS(K27 * 3.1416 / 180) * SIN(23.45*SIN((2*3.1416/365*(I27+284)))* 3.1416 / 180))^2)^0.5))))</f>
        <v>1858.59077243828</v>
      </c>
      <c r="O27" s="0" t="n">
        <f aca="false">IF(K27&gt;=15,(0.00000000010508*K27^4 - 0.000000017492*K27^3 + 0.0000012363*K27^2 - 0.000044163*K27 + 0.0008144)*N27^2+( -0.000000028*K27^4 + 0.000013654*K27^3 - 0.0019426*K27^2 + 0.11006*K27 - 2.0905)*N27+0.000087115*K27^4 - 0.024852*K27^3 + 2.6437*K27^2 - 124.35*K27 + 2183.8,N27*0.3835-146.8)</f>
        <v>667.437097829594</v>
      </c>
      <c r="P27" s="0" t="n">
        <f aca="false">O27/2.02</f>
        <v>330.414404866135</v>
      </c>
      <c r="Q27" s="0" t="n">
        <v>85.0330377394148</v>
      </c>
      <c r="R27" s="0" t="n">
        <f aca="false">(198.58*(1/(2/15*ACOS(-TAN(3.1416/180*K27)*TAN(3.1416/180*23.45*SIN((2*3.1416/365*(I27+284)))))/3.1416*180))^2+5.0551/(2/15*ACOS(-TAN(3.1416/180*K27)*TAN(3.1416/180*23.45*SIN((2*3.1416/365*(I27+284)))))/3.1416*180)+1.49)*P27*2.02</f>
        <v>1873.52620469063</v>
      </c>
    </row>
    <row r="28" customFormat="false" ht="15.75" hidden="false" customHeight="false" outlineLevel="0" collapsed="false">
      <c r="I28" s="181" t="n">
        <f aca="false">I27+1</f>
        <v>193</v>
      </c>
      <c r="J28" s="0" t="n">
        <v>12</v>
      </c>
      <c r="K28" s="181" t="n">
        <v>36.67</v>
      </c>
      <c r="L28" s="0" t="n">
        <f aca="false">23.45*SIN((2*3.1416/365*(I28+284)))</f>
        <v>21.9697101306298</v>
      </c>
      <c r="M28" s="0" t="n">
        <f aca="false">2/15*ACOS(-TAN(3.1416/180*K28)*TAN(3.1416/180*23.45*SIN((2*3.1416/365*(I28+284)))))/3.1416*180</f>
        <v>14.3305849724478</v>
      </c>
      <c r="N28" s="0" t="n">
        <f aca="false">2084 * EXP(-0.174353387144778 / SIN(ATAN((--COS(K28 * 3.1416 / 180) * SIN((J28 - 6) * 3.1416/12) * COS(23.45*SIN((2*3.1416/365*(I28+284)))* 3.1416 / 180) + SIN(K28 * 3.1416 / 180) * SIN(23.45*SIN((2*3.1416/365*(I28+284)))* 3.1416 / 180))/(((COS((J28 - 6) * 3.1416/12) * COS(23.45*SIN((2*3.1416/365*(I28+284)))* 3.1416 / 180))^2+(-SIN(K28 * 3.1416 / 180) * SIN((J28 - 6) * 3.1416/12) * COS(23.45*SIN((2*3.1416/365*(I28+284)))* 3.1416 / 180) - -COS(K28 * 3.1416 / 180) * SIN(23.45*SIN((2*3.1416/365*(I28+284)))* 3.1416 / 180))^2)^0.5))))*(0.1+SIN(ATAN((--COS(K28 * 3.1416 / 180) * SIN((J28 - 6) * 3.1416/12) * COS(23.45*SIN((2*3.1416/365*(I28+284)))* 3.1416 / 180) + SIN(K28 * 3.1416 / 180) * SIN(23.45*SIN((2*3.1416/365*(I28+284)))* 3.1416 / 180))/(((COS((J28 - 6) * 3.1416/12) * COS(23.45*SIN((2*3.1416/365*(I28+284)))* 3.1416 / 180))^2+(-SIN(K28 * 3.1416 / 180) * SIN((J28 - 6) * 3.1416/12) * COS(23.45*SIN((2*3.1416/365*(I28+284)))* 3.1416 / 180) - -COS(K28 * 3.1416 / 180) * SIN(23.45*SIN((2*3.1416/365*(I28+284)))* 3.1416 / 180))^2)^0.5))))</f>
        <v>1857.32244048536</v>
      </c>
      <c r="O28" s="0" t="n">
        <f aca="false">IF(K28&gt;=15,(0.00000000010508*K28^4 - 0.000000017492*K28^3 + 0.0000012363*K28^2 - 0.000044163*K28 + 0.0008144)*N28^2+( -0.000000028*K28^4 + 0.000013654*K28^3 - 0.0019426*K28^2 + 0.11006*K28 - 2.0905)*N28+0.000087115*K28^4 - 0.024852*K28^3 + 2.6437*K28^2 - 124.35*K28 + 2183.8,N28*0.3835-146.8)</f>
        <v>666.621842533873</v>
      </c>
      <c r="P28" s="0" t="n">
        <f aca="false">O28/2.02</f>
        <v>330.01081313558</v>
      </c>
      <c r="Q28" s="0" t="n">
        <v>80.7255308089716</v>
      </c>
      <c r="R28" s="0" t="n">
        <f aca="false">(198.58*(1/(2/15*ACOS(-TAN(3.1416/180*K28)*TAN(3.1416/180*23.45*SIN((2*3.1416/365*(I28+284)))))/3.1416*180))^2+5.0551/(2/15*ACOS(-TAN(3.1416/180*K28)*TAN(3.1416/180*23.45*SIN((2*3.1416/365*(I28+284)))))/3.1416*180)+1.49)*P28*2.02</f>
        <v>1873.01216629874</v>
      </c>
    </row>
    <row r="29" customFormat="false" ht="15.75" hidden="false" customHeight="false" outlineLevel="0" collapsed="false">
      <c r="I29" s="181" t="n">
        <f aca="false">I28+1</f>
        <v>194</v>
      </c>
      <c r="J29" s="0" t="n">
        <v>12</v>
      </c>
      <c r="K29" s="181" t="n">
        <v>36.67</v>
      </c>
      <c r="L29" s="0" t="n">
        <f aca="false">23.45*SIN((2*3.1416/365*(I29+284)))</f>
        <v>21.8253111594939</v>
      </c>
      <c r="M29" s="0" t="n">
        <f aca="false">2/15*ACOS(-TAN(3.1416/180*K29)*TAN(3.1416/180*23.45*SIN((2*3.1416/365*(I29+284)))))/3.1416*180</f>
        <v>14.3131338074967</v>
      </c>
      <c r="N29" s="0" t="n">
        <f aca="false">2084 * EXP(-0.174353387144778 / SIN(ATAN((--COS(K29 * 3.1416 / 180) * SIN((J29 - 6) * 3.1416/12) * COS(23.45*SIN((2*3.1416/365*(I29+284)))* 3.1416 / 180) + SIN(K29 * 3.1416 / 180) * SIN(23.45*SIN((2*3.1416/365*(I29+284)))* 3.1416 / 180))/(((COS((J29 - 6) * 3.1416/12) * COS(23.45*SIN((2*3.1416/365*(I29+284)))* 3.1416 / 180))^2+(-SIN(K29 * 3.1416 / 180) * SIN((J29 - 6) * 3.1416/12) * COS(23.45*SIN((2*3.1416/365*(I29+284)))* 3.1416 / 180) - -COS(K29 * 3.1416 / 180) * SIN(23.45*SIN((2*3.1416/365*(I29+284)))* 3.1416 / 180))^2)^0.5))))*(0.1+SIN(ATAN((--COS(K29 * 3.1416 / 180) * SIN((J29 - 6) * 3.1416/12) * COS(23.45*SIN((2*3.1416/365*(I29+284)))* 3.1416 / 180) + SIN(K29 * 3.1416 / 180) * SIN(23.45*SIN((2*3.1416/365*(I29+284)))* 3.1416 / 180))/(((COS((J29 - 6) * 3.1416/12) * COS(23.45*SIN((2*3.1416/365*(I29+284)))* 3.1416 / 180))^2+(-SIN(K29 * 3.1416 / 180) * SIN((J29 - 6) * 3.1416/12) * COS(23.45*SIN((2*3.1416/365*(I29+284)))* 3.1416 / 180) - -COS(K29 * 3.1416 / 180) * SIN(23.45*SIN((2*3.1416/365*(I29+284)))* 3.1416 / 180))^2)^0.5))))</f>
        <v>1855.98169685514</v>
      </c>
      <c r="O29" s="0" t="n">
        <f aca="false">IF(K29&gt;=15,(0.00000000010508*K29^4 - 0.000000017492*K29^3 + 0.0000012363*K29^2 - 0.000044163*K29 + 0.0008144)*N29^2+( -0.000000028*K29^4 + 0.000013654*K29^3 - 0.0019426*K29^2 + 0.11006*K29 - 2.0905)*N29+0.000087115*K29^4 - 0.024852*K29^3 + 2.6437*K29^2 - 124.35*K29 + 2183.8,N29*0.3835-146.8)</f>
        <v>665.76068929752</v>
      </c>
      <c r="P29" s="0" t="n">
        <f aca="false">O29/2.02</f>
        <v>329.584499652238</v>
      </c>
      <c r="Q29" s="0" t="n">
        <v>115.089032573085</v>
      </c>
      <c r="R29" s="0" t="n">
        <f aca="false">(198.58*(1/(2/15*ACOS(-TAN(3.1416/180*K29)*TAN(3.1416/180*23.45*SIN((2*3.1416/365*(I29+284)))))/3.1416*180))^2+5.0551/(2/15*ACOS(-TAN(3.1416/180*K29)*TAN(3.1416/180*23.45*SIN((2*3.1416/365*(I29+284)))))/3.1416*180)+1.49)*P29*2.02</f>
        <v>1872.44967362978</v>
      </c>
    </row>
    <row r="30" customFormat="false" ht="15.75" hidden="false" customHeight="false" outlineLevel="0" collapsed="false">
      <c r="I30" s="181" t="n">
        <f aca="false">I29+1</f>
        <v>195</v>
      </c>
      <c r="J30" s="0" t="n">
        <v>12</v>
      </c>
      <c r="K30" s="181" t="n">
        <v>36.67</v>
      </c>
      <c r="L30" s="0" t="n">
        <f aca="false">23.45*SIN((2*3.1416/365*(I30+284)))</f>
        <v>21.6744448473867</v>
      </c>
      <c r="M30" s="0" t="n">
        <f aca="false">2/15*ACOS(-TAN(3.1416/180*K30)*TAN(3.1416/180*23.45*SIN((2*3.1416/365*(I30+284)))))/3.1416*180</f>
        <v>14.2949518765473</v>
      </c>
      <c r="N30" s="0" t="n">
        <f aca="false">2084 * EXP(-0.174353387144778 / SIN(ATAN((--COS(K30 * 3.1416 / 180) * SIN((J30 - 6) * 3.1416/12) * COS(23.45*SIN((2*3.1416/365*(I30+284)))* 3.1416 / 180) + SIN(K30 * 3.1416 / 180) * SIN(23.45*SIN((2*3.1416/365*(I30+284)))* 3.1416 / 180))/(((COS((J30 - 6) * 3.1416/12) * COS(23.45*SIN((2*3.1416/365*(I30+284)))* 3.1416 / 180))^2+(-SIN(K30 * 3.1416 / 180) * SIN((J30 - 6) * 3.1416/12) * COS(23.45*SIN((2*3.1416/365*(I30+284)))* 3.1416 / 180) - -COS(K30 * 3.1416 / 180) * SIN(23.45*SIN((2*3.1416/365*(I30+284)))* 3.1416 / 180))^2)^0.5))))*(0.1+SIN(ATAN((--COS(K30 * 3.1416 / 180) * SIN((J30 - 6) * 3.1416/12) * COS(23.45*SIN((2*3.1416/365*(I30+284)))* 3.1416 / 180) + SIN(K30 * 3.1416 / 180) * SIN(23.45*SIN((2*3.1416/365*(I30+284)))* 3.1416 / 180))/(((COS((J30 - 6) * 3.1416/12) * COS(23.45*SIN((2*3.1416/365*(I30+284)))* 3.1416 / 180))^2+(-SIN(K30 * 3.1416 / 180) * SIN((J30 - 6) * 3.1416/12) * COS(23.45*SIN((2*3.1416/365*(I30+284)))* 3.1416 / 180) - -COS(K30 * 3.1416 / 180) * SIN(23.45*SIN((2*3.1416/365*(I30+284)))* 3.1416 / 180))^2)^0.5))))</f>
        <v>1854.56721996129</v>
      </c>
      <c r="O30" s="0" t="n">
        <f aca="false">IF(K30&gt;=15,(0.00000000010508*K30^4 - 0.000000017492*K30^3 + 0.0000012363*K30^2 - 0.000044163*K30 + 0.0008144)*N30^2+( -0.000000028*K30^4 + 0.000013654*K30^3 - 0.0019426*K30^2 + 0.11006*K30 - 2.0905)*N30+0.000087115*K30^4 - 0.024852*K30^3 + 2.6437*K30^2 - 124.35*K30 + 2183.8,N30*0.3835-146.8)</f>
        <v>664.852897973716</v>
      </c>
      <c r="P30" s="0" t="n">
        <f aca="false">O30/2.02</f>
        <v>329.13509800679</v>
      </c>
      <c r="Q30" s="0" t="n">
        <v>75.8828292354458</v>
      </c>
      <c r="R30" s="0" t="n">
        <f aca="false">(198.58*(1/(2/15*ACOS(-TAN(3.1416/180*K30)*TAN(3.1416/180*23.45*SIN((2*3.1416/365*(I30+284)))))/3.1416*180))^2+5.0551/(2/15*ACOS(-TAN(3.1416/180*K30)*TAN(3.1416/180*23.45*SIN((2*3.1416/365*(I30+284)))))/3.1416*180)+1.49)*P30*2.02</f>
        <v>1871.83559404415</v>
      </c>
    </row>
    <row r="31" customFormat="false" ht="15.75" hidden="false" customHeight="false" outlineLevel="0" collapsed="false">
      <c r="I31" s="181" t="n">
        <f aca="false">I30+1</f>
        <v>196</v>
      </c>
      <c r="J31" s="0" t="n">
        <v>12</v>
      </c>
      <c r="K31" s="181" t="n">
        <v>36.67</v>
      </c>
      <c r="L31" s="0" t="n">
        <f aca="false">23.45*SIN((2*3.1416/365*(I31+284)))</f>
        <v>21.5171558994614</v>
      </c>
      <c r="M31" s="0" t="n">
        <f aca="false">2/15*ACOS(-TAN(3.1416/180*K31)*TAN(3.1416/180*23.45*SIN((2*3.1416/365*(I31+284)))))/3.1416*180</f>
        <v>14.2760505963009</v>
      </c>
      <c r="N31" s="0" t="n">
        <f aca="false">2084 * EXP(-0.174353387144778 / SIN(ATAN((--COS(K31 * 3.1416 / 180) * SIN((J31 - 6) * 3.1416/12) * COS(23.45*SIN((2*3.1416/365*(I31+284)))* 3.1416 / 180) + SIN(K31 * 3.1416 / 180) * SIN(23.45*SIN((2*3.1416/365*(I31+284)))* 3.1416 / 180))/(((COS((J31 - 6) * 3.1416/12) * COS(23.45*SIN((2*3.1416/365*(I31+284)))* 3.1416 / 180))^2+(-SIN(K31 * 3.1416 / 180) * SIN((J31 - 6) * 3.1416/12) * COS(23.45*SIN((2*3.1416/365*(I31+284)))* 3.1416 / 180) - -COS(K31 * 3.1416 / 180) * SIN(23.45*SIN((2*3.1416/365*(I31+284)))* 3.1416 / 180))^2)^0.5))))*(0.1+SIN(ATAN((--COS(K31 * 3.1416 / 180) * SIN((J31 - 6) * 3.1416/12) * COS(23.45*SIN((2*3.1416/365*(I31+284)))* 3.1416 / 180) + SIN(K31 * 3.1416 / 180) * SIN(23.45*SIN((2*3.1416/365*(I31+284)))* 3.1416 / 180))/(((COS((J31 - 6) * 3.1416/12) * COS(23.45*SIN((2*3.1416/365*(I31+284)))* 3.1416 / 180))^2+(-SIN(K31 * 3.1416 / 180) * SIN((J31 - 6) * 3.1416/12) * COS(23.45*SIN((2*3.1416/365*(I31+284)))* 3.1416 / 180) - -COS(K31 * 3.1416 / 180) * SIN(23.45*SIN((2*3.1416/365*(I31+284)))* 3.1416 / 180))^2)^0.5))))</f>
        <v>1853.07764737469</v>
      </c>
      <c r="O31" s="0" t="n">
        <f aca="false">IF(K31&gt;=15,(0.00000000010508*K31^4 - 0.000000017492*K31^3 + 0.0000012363*K31^2 - 0.000044163*K31 + 0.0008144)*N31^2+( -0.000000028*K31^4 + 0.000013654*K31^3 - 0.0019426*K31^2 + 0.11006*K31 - 2.0905)*N31+0.000087115*K31^4 - 0.024852*K31^3 + 2.6437*K31^2 - 124.35*K31 + 2183.8,N31*0.3835-146.8)</f>
        <v>663.897710959689</v>
      </c>
      <c r="P31" s="0" t="n">
        <f aca="false">O31/2.02</f>
        <v>328.662233148361</v>
      </c>
      <c r="Q31" s="0" t="n">
        <v>113.397069131174</v>
      </c>
      <c r="R31" s="0" t="n">
        <f aca="false">(198.58*(1/(2/15*ACOS(-TAN(3.1416/180*K31)*TAN(3.1416/180*23.45*SIN((2*3.1416/365*(I31+284)))))/3.1416*180))^2+5.0551/(2/15*ACOS(-TAN(3.1416/180*K31)*TAN(3.1416/180*23.45*SIN((2*3.1416/365*(I31+284)))))/3.1416*180)+1.49)*P31*2.02</f>
        <v>1871.16669470906</v>
      </c>
    </row>
    <row r="32" customFormat="false" ht="15.75" hidden="false" customHeight="false" outlineLevel="0" collapsed="false">
      <c r="I32" s="181" t="n">
        <f aca="false">I31+1</f>
        <v>197</v>
      </c>
      <c r="J32" s="0" t="n">
        <v>12</v>
      </c>
      <c r="K32" s="181" t="n">
        <v>36.67</v>
      </c>
      <c r="L32" s="0" t="n">
        <f aca="false">23.45*SIN((2*3.1416/365*(I32+284)))</f>
        <v>21.3534909240457</v>
      </c>
      <c r="M32" s="0" t="n">
        <f aca="false">2/15*ACOS(-TAN(3.1416/180*K32)*TAN(3.1416/180*23.45*SIN((2*3.1416/365*(I32+284)))))/3.1416*180</f>
        <v>14.2564416787364</v>
      </c>
      <c r="N32" s="0" t="n">
        <f aca="false">2084 * EXP(-0.174353387144778 / SIN(ATAN((--COS(K32 * 3.1416 / 180) * SIN((J32 - 6) * 3.1416/12) * COS(23.45*SIN((2*3.1416/365*(I32+284)))* 3.1416 / 180) + SIN(K32 * 3.1416 / 180) * SIN(23.45*SIN((2*3.1416/365*(I32+284)))* 3.1416 / 180))/(((COS((J32 - 6) * 3.1416/12) * COS(23.45*SIN((2*3.1416/365*(I32+284)))* 3.1416 / 180))^2+(-SIN(K32 * 3.1416 / 180) * SIN((J32 - 6) * 3.1416/12) * COS(23.45*SIN((2*3.1416/365*(I32+284)))* 3.1416 / 180) - -COS(K32 * 3.1416 / 180) * SIN(23.45*SIN((2*3.1416/365*(I32+284)))* 3.1416 / 180))^2)^0.5))))*(0.1+SIN(ATAN((--COS(K32 * 3.1416 / 180) * SIN((J32 - 6) * 3.1416/12) * COS(23.45*SIN((2*3.1416/365*(I32+284)))* 3.1416 / 180) + SIN(K32 * 3.1416 / 180) * SIN(23.45*SIN((2*3.1416/365*(I32+284)))* 3.1416 / 180))/(((COS((J32 - 6) * 3.1416/12) * COS(23.45*SIN((2*3.1416/365*(I32+284)))* 3.1416 / 180))^2+(-SIN(K32 * 3.1416 / 180) * SIN((J32 - 6) * 3.1416/12) * COS(23.45*SIN((2*3.1416/365*(I32+284)))* 3.1416 / 180) - -COS(K32 * 3.1416 / 180) * SIN(23.45*SIN((2*3.1416/365*(I32+284)))* 3.1416 / 180))^2)^0.5))))</f>
        <v>1851.51157863289</v>
      </c>
      <c r="O32" s="0" t="n">
        <f aca="false">IF(K32&gt;=15,(0.00000000010508*K32^4 - 0.000000017492*K32^3 + 0.0000012363*K32^2 - 0.000044163*K32 + 0.0008144)*N32^2+( -0.000000028*K32^4 + 0.000013654*K32^3 - 0.0019426*K32^2 + 0.11006*K32 - 2.0905)*N32+0.000087115*K32^4 - 0.024852*K32^3 + 2.6437*K32^2 - 124.35*K32 + 2183.8,N32*0.3835-146.8)</f>
        <v>662.894355477591</v>
      </c>
      <c r="P32" s="0" t="n">
        <f aca="false">O32/2.02</f>
        <v>328.165522513659</v>
      </c>
      <c r="Q32" s="0" t="n">
        <v>71.1255178143897</v>
      </c>
      <c r="R32" s="0" t="n">
        <f aca="false">(198.58*(1/(2/15*ACOS(-TAN(3.1416/180*K32)*TAN(3.1416/180*23.45*SIN((2*3.1416/365*(I32+284)))))/3.1416*180))^2+5.0551/(2/15*ACOS(-TAN(3.1416/180*K32)*TAN(3.1416/180*23.45*SIN((2*3.1416/365*(I32+284)))))/3.1416*180)+1.49)*P32*2.02</f>
        <v>1870.43964894263</v>
      </c>
    </row>
    <row r="33" customFormat="false" ht="15.75" hidden="false" customHeight="false" outlineLevel="0" collapsed="false">
      <c r="I33" s="181" t="n">
        <f aca="false">I32+1</f>
        <v>198</v>
      </c>
      <c r="J33" s="0" t="n">
        <v>12</v>
      </c>
      <c r="K33" s="181" t="n">
        <v>36.67</v>
      </c>
      <c r="L33" s="0" t="n">
        <f aca="false">23.45*SIN((2*3.1416/365*(I33+284)))</f>
        <v>21.183498418831</v>
      </c>
      <c r="M33" s="0" t="n">
        <f aca="false">2/15*ACOS(-TAN(3.1416/180*K33)*TAN(3.1416/180*23.45*SIN((2*3.1416/365*(I33+284)))))/3.1416*180</f>
        <v>14.2361371078372</v>
      </c>
      <c r="N33" s="0" t="n">
        <f aca="false">2084 * EXP(-0.174353387144778 / SIN(ATAN((--COS(K33 * 3.1416 / 180) * SIN((J33 - 6) * 3.1416/12) * COS(23.45*SIN((2*3.1416/365*(I33+284)))* 3.1416 / 180) + SIN(K33 * 3.1416 / 180) * SIN(23.45*SIN((2*3.1416/365*(I33+284)))* 3.1416 / 180))/(((COS((J33 - 6) * 3.1416/12) * COS(23.45*SIN((2*3.1416/365*(I33+284)))* 3.1416 / 180))^2+(-SIN(K33 * 3.1416 / 180) * SIN((J33 - 6) * 3.1416/12) * COS(23.45*SIN((2*3.1416/365*(I33+284)))* 3.1416 / 180) - -COS(K33 * 3.1416 / 180) * SIN(23.45*SIN((2*3.1416/365*(I33+284)))* 3.1416 / 180))^2)^0.5))))*(0.1+SIN(ATAN((--COS(K33 * 3.1416 / 180) * SIN((J33 - 6) * 3.1416/12) * COS(23.45*SIN((2*3.1416/365*(I33+284)))* 3.1416 / 180) + SIN(K33 * 3.1416 / 180) * SIN(23.45*SIN((2*3.1416/365*(I33+284)))* 3.1416 / 180))/(((COS((J33 - 6) * 3.1416/12) * COS(23.45*SIN((2*3.1416/365*(I33+284)))* 3.1416 / 180))^2+(-SIN(K33 * 3.1416 / 180) * SIN((J33 - 6) * 3.1416/12) * COS(23.45*SIN((2*3.1416/365*(I33+284)))* 3.1416 / 180) - -COS(K33 * 3.1416 / 180) * SIN(23.45*SIN((2*3.1416/365*(I33+284)))* 3.1416 / 180))^2)^0.5))))</f>
        <v>1849.86757814543</v>
      </c>
      <c r="O33" s="0" t="n">
        <f aca="false">IF(K33&gt;=15,(0.00000000010508*K33^4 - 0.000000017492*K33^3 + 0.0000012363*K33^2 - 0.000044163*K33 + 0.0008144)*N33^2+( -0.000000028*K33^4 + 0.000013654*K33^3 - 0.0019426*K33^2 + 0.11006*K33 - 2.0905)*N33+0.000087115*K33^4 - 0.024852*K33^3 + 2.6437*K33^2 - 124.35*K33 + 2183.8,N33*0.3835-146.8)</f>
        <v>661.842045930609</v>
      </c>
      <c r="P33" s="0" t="n">
        <f aca="false">O33/2.02</f>
        <v>327.644577193371</v>
      </c>
      <c r="Q33" s="0" t="n">
        <v>110.07075155935</v>
      </c>
      <c r="R33" s="0" t="n">
        <f aca="false">(198.58*(1/(2/15*ACOS(-TAN(3.1416/180*K33)*TAN(3.1416/180*23.45*SIN((2*3.1416/365*(I33+284)))))/3.1416*180))^2+5.0551/(2/15*ACOS(-TAN(3.1416/180*K33)*TAN(3.1416/180*23.45*SIN((2*3.1416/365*(I33+284)))))/3.1416*180)+1.49)*P33*2.02</f>
        <v>1869.65104280078</v>
      </c>
    </row>
    <row r="34" customFormat="false" ht="15.75" hidden="false" customHeight="false" outlineLevel="0" collapsed="false">
      <c r="I34" s="181" t="n">
        <f aca="false">I33+1</f>
        <v>199</v>
      </c>
      <c r="J34" s="0" t="n">
        <v>12</v>
      </c>
      <c r="K34" s="181" t="n">
        <v>36.67</v>
      </c>
      <c r="L34" s="0" t="n">
        <f aca="false">23.45*SIN((2*3.1416/365*(I34+284)))</f>
        <v>21.0072287565009</v>
      </c>
      <c r="M34" s="0" t="n">
        <f aca="false">2/15*ACOS(-TAN(3.1416/180*K34)*TAN(3.1416/180*23.45*SIN((2*3.1416/365*(I34+284)))))/3.1416*180</f>
        <v>14.2151491163192</v>
      </c>
      <c r="N34" s="0" t="n">
        <f aca="false">2084 * EXP(-0.174353387144778 / SIN(ATAN((--COS(K34 * 3.1416 / 180) * SIN((J34 - 6) * 3.1416/12) * COS(23.45*SIN((2*3.1416/365*(I34+284)))* 3.1416 / 180) + SIN(K34 * 3.1416 / 180) * SIN(23.45*SIN((2*3.1416/365*(I34+284)))* 3.1416 / 180))/(((COS((J34 - 6) * 3.1416/12) * COS(23.45*SIN((2*3.1416/365*(I34+284)))* 3.1416 / 180))^2+(-SIN(K34 * 3.1416 / 180) * SIN((J34 - 6) * 3.1416/12) * COS(23.45*SIN((2*3.1416/365*(I34+284)))* 3.1416 / 180) - -COS(K34 * 3.1416 / 180) * SIN(23.45*SIN((2*3.1416/365*(I34+284)))* 3.1416 / 180))^2)^0.5))))*(0.1+SIN(ATAN((--COS(K34 * 3.1416 / 180) * SIN((J34 - 6) * 3.1416/12) * COS(23.45*SIN((2*3.1416/365*(I34+284)))* 3.1416 / 180) + SIN(K34 * 3.1416 / 180) * SIN(23.45*SIN((2*3.1416/365*(I34+284)))* 3.1416 / 180))/(((COS((J34 - 6) * 3.1416/12) * COS(23.45*SIN((2*3.1416/365*(I34+284)))* 3.1416 / 180))^2+(-SIN(K34 * 3.1416 / 180) * SIN((J34 - 6) * 3.1416/12) * COS(23.45*SIN((2*3.1416/365*(I34+284)))* 3.1416 / 180) - -COS(K34 * 3.1416 / 180) * SIN(23.45*SIN((2*3.1416/365*(I34+284)))* 3.1416 / 180))^2)^0.5))))</f>
        <v>1848.14417819125</v>
      </c>
      <c r="O34" s="0" t="n">
        <f aca="false">IF(K34&gt;=15,(0.00000000010508*K34^4 - 0.000000017492*K34^3 + 0.0000012363*K34^2 - 0.000044163*K34 + 0.0008144)*N34^2+( -0.000000028*K34^4 + 0.000013654*K34^3 - 0.0019426*K34^2 + 0.11006*K34 - 2.0905)*N34+0.000087115*K34^4 - 0.024852*K34^3 + 2.6437*K34^2 - 124.35*K34 + 2183.8,N34*0.3835-146.8)</f>
        <v>660.739986330342</v>
      </c>
      <c r="P34" s="0" t="n">
        <f aca="false">O34/2.02</f>
        <v>327.099003133832</v>
      </c>
      <c r="Q34" s="0" t="n">
        <v>53.775890719506</v>
      </c>
      <c r="R34" s="0" t="n">
        <f aca="false">(198.58*(1/(2/15*ACOS(-TAN(3.1416/180*K34)*TAN(3.1416/180*23.45*SIN((2*3.1416/365*(I34+284)))))/3.1416*180))^2+5.0551/(2/15*ACOS(-TAN(3.1416/180*K34)*TAN(3.1416/180*23.45*SIN((2*3.1416/365*(I34+284)))))/3.1416*180)+1.49)*P34*2.02</f>
        <v>1868.79738189993</v>
      </c>
    </row>
    <row r="35" customFormat="false" ht="15.75" hidden="false" customHeight="false" outlineLevel="0" collapsed="false">
      <c r="I35" s="181" t="n">
        <f aca="false">I34+1</f>
        <v>200</v>
      </c>
      <c r="J35" s="0" t="n">
        <v>12</v>
      </c>
      <c r="K35" s="181" t="n">
        <v>36.67</v>
      </c>
      <c r="L35" s="0" t="n">
        <f aca="false">23.45*SIN((2*3.1416/365*(I35+284)))</f>
        <v>20.8247341698047</v>
      </c>
      <c r="M35" s="0" t="n">
        <f aca="false">2/15*ACOS(-TAN(3.1416/180*K35)*TAN(3.1416/180*23.45*SIN((2*3.1416/365*(I35+284)))))/3.1416*180</f>
        <v>14.1934901624442</v>
      </c>
      <c r="N35" s="0" t="n">
        <f aca="false">2084 * EXP(-0.174353387144778 / SIN(ATAN((--COS(K35 * 3.1416 / 180) * SIN((J35 - 6) * 3.1416/12) * COS(23.45*SIN((2*3.1416/365*(I35+284)))* 3.1416 / 180) + SIN(K35 * 3.1416 / 180) * SIN(23.45*SIN((2*3.1416/365*(I35+284)))* 3.1416 / 180))/(((COS((J35 - 6) * 3.1416/12) * COS(23.45*SIN((2*3.1416/365*(I35+284)))* 3.1416 / 180))^2+(-SIN(K35 * 3.1416 / 180) * SIN((J35 - 6) * 3.1416/12) * COS(23.45*SIN((2*3.1416/365*(I35+284)))* 3.1416 / 180) - -COS(K35 * 3.1416 / 180) * SIN(23.45*SIN((2*3.1416/365*(I35+284)))* 3.1416 / 180))^2)^0.5))))*(0.1+SIN(ATAN((--COS(K35 * 3.1416 / 180) * SIN((J35 - 6) * 3.1416/12) * COS(23.45*SIN((2*3.1416/365*(I35+284)))* 3.1416 / 180) + SIN(K35 * 3.1416 / 180) * SIN(23.45*SIN((2*3.1416/365*(I35+284)))* 3.1416 / 180))/(((COS((J35 - 6) * 3.1416/12) * COS(23.45*SIN((2*3.1416/365*(I35+284)))* 3.1416 / 180))^2+(-SIN(K35 * 3.1416 / 180) * SIN((J35 - 6) * 3.1416/12) * COS(23.45*SIN((2*3.1416/365*(I35+284)))* 3.1416 / 180) - -COS(K35 * 3.1416 / 180) * SIN(23.45*SIN((2*3.1416/365*(I35+284)))* 3.1416 / 180))^2)^0.5))))</f>
        <v>1846.33988200387</v>
      </c>
      <c r="O35" s="0" t="n">
        <f aca="false">IF(K35&gt;=15,(0.00000000010508*K35^4 - 0.000000017492*K35^3 + 0.0000012363*K35^2 - 0.000044163*K35 + 0.0008144)*N35^2+( -0.000000028*K35^4 + 0.000013654*K35^3 - 0.0019426*K35^2 + 0.11006*K35 - 2.0905)*N35+0.000087115*K35^4 - 0.024852*K35^3 + 2.6437*K35^2 - 124.35*K35 + 2183.8,N35*0.3835-146.8)</f>
        <v>659.587372791246</v>
      </c>
      <c r="P35" s="0" t="n">
        <f aca="false">O35/2.02</f>
        <v>326.528402371904</v>
      </c>
      <c r="Q35" s="0" t="n">
        <v>88.7014179845006</v>
      </c>
      <c r="R35" s="0" t="n">
        <f aca="false">(198.58*(1/(2/15*ACOS(-TAN(3.1416/180*K35)*TAN(3.1416/180*23.45*SIN((2*3.1416/365*(I35+284)))))/3.1416*180))^2+5.0551/(2/15*ACOS(-TAN(3.1416/180*K35)*TAN(3.1416/180*23.45*SIN((2*3.1416/365*(I35+284)))))/3.1416*180)+1.49)*P35*2.02</f>
        <v>1867.87509846801</v>
      </c>
    </row>
    <row r="36" customFormat="false" ht="15.75" hidden="false" customHeight="false" outlineLevel="0" collapsed="false">
      <c r="I36" s="181" t="n">
        <f aca="false">I35+1</f>
        <v>201</v>
      </c>
      <c r="J36" s="0" t="n">
        <v>12</v>
      </c>
      <c r="K36" s="181" t="n">
        <v>36.67</v>
      </c>
      <c r="L36" s="0" t="n">
        <f aca="false">23.45*SIN((2*3.1416/365*(I36+284)))</f>
        <v>20.63606873608</v>
      </c>
      <c r="M36" s="0" t="n">
        <f aca="false">2/15*ACOS(-TAN(3.1416/180*K36)*TAN(3.1416/180*23.45*SIN((2*3.1416/365*(I36+284)))))/3.1416*180</f>
        <v>14.1711729069984</v>
      </c>
      <c r="N36" s="0" t="n">
        <f aca="false">2084 * EXP(-0.174353387144778 / SIN(ATAN((--COS(K36 * 3.1416 / 180) * SIN((J36 - 6) * 3.1416/12) * COS(23.45*SIN((2*3.1416/365*(I36+284)))* 3.1416 / 180) + SIN(K36 * 3.1416 / 180) * SIN(23.45*SIN((2*3.1416/365*(I36+284)))* 3.1416 / 180))/(((COS((J36 - 6) * 3.1416/12) * COS(23.45*SIN((2*3.1416/365*(I36+284)))* 3.1416 / 180))^2+(-SIN(K36 * 3.1416 / 180) * SIN((J36 - 6) * 3.1416/12) * COS(23.45*SIN((2*3.1416/365*(I36+284)))* 3.1416 / 180) - -COS(K36 * 3.1416 / 180) * SIN(23.45*SIN((2*3.1416/365*(I36+284)))* 3.1416 / 180))^2)^0.5))))*(0.1+SIN(ATAN((--COS(K36 * 3.1416 / 180) * SIN((J36 - 6) * 3.1416/12) * COS(23.45*SIN((2*3.1416/365*(I36+284)))* 3.1416 / 180) + SIN(K36 * 3.1416 / 180) * SIN(23.45*SIN((2*3.1416/365*(I36+284)))* 3.1416 / 180))/(((COS((J36 - 6) * 3.1416/12) * COS(23.45*SIN((2*3.1416/365*(I36+284)))* 3.1416 / 180))^2+(-SIN(K36 * 3.1416 / 180) * SIN((J36 - 6) * 3.1416/12) * COS(23.45*SIN((2*3.1416/365*(I36+284)))* 3.1416 / 180) - -COS(K36 * 3.1416 / 180) * SIN(23.45*SIN((2*3.1416/365*(I36+284)))* 3.1416 / 180))^2)^0.5))))</f>
        <v>1844.45316694005</v>
      </c>
      <c r="O36" s="0" t="n">
        <f aca="false">IF(K36&gt;=15,(0.00000000010508*K36^4 - 0.000000017492*K36^3 + 0.0000012363*K36^2 - 0.000044163*K36 + 0.0008144)*N36^2+( -0.000000028*K36^4 + 0.000013654*K36^3 - 0.0019426*K36^2 + 0.11006*K36 - 2.0905)*N36+0.000087115*K36^4 - 0.024852*K36^3 + 2.6437*K36^2 - 124.35*K36 + 2183.8,N36*0.3835-146.8)</f>
        <v>658.383396087728</v>
      </c>
      <c r="P36" s="0" t="n">
        <f aca="false">O36/2.02</f>
        <v>325.932374300856</v>
      </c>
      <c r="Q36" s="0" t="n">
        <v>106.283608713457</v>
      </c>
      <c r="R36" s="0" t="n">
        <f aca="false">(198.58*(1/(2/15*ACOS(-TAN(3.1416/180*K36)*TAN(3.1416/180*23.45*SIN((2*3.1416/365*(I36+284)))))/3.1416*180))^2+5.0551/(2/15*ACOS(-TAN(3.1416/180*K36)*TAN(3.1416/180*23.45*SIN((2*3.1416/365*(I36+284)))))/3.1416*180)+1.49)*P36*2.02</f>
        <v>1866.88055861573</v>
      </c>
    </row>
    <row r="37" customFormat="false" ht="15.75" hidden="false" customHeight="false" outlineLevel="0" collapsed="false">
      <c r="B37" s="515" t="s">
        <v>381</v>
      </c>
      <c r="C37" s="515" t="s">
        <v>1804</v>
      </c>
      <c r="D37" s="515" t="s">
        <v>1805</v>
      </c>
      <c r="E37" s="515" t="s">
        <v>1806</v>
      </c>
      <c r="F37" s="515" t="s">
        <v>1807</v>
      </c>
      <c r="G37" s="515" t="s">
        <v>1814</v>
      </c>
      <c r="I37" s="181" t="n">
        <f aca="false">I36+1</f>
        <v>202</v>
      </c>
      <c r="J37" s="0" t="n">
        <v>12</v>
      </c>
      <c r="K37" s="181" t="n">
        <v>36.67</v>
      </c>
      <c r="L37" s="0" t="n">
        <f aca="false">23.45*SIN((2*3.1416/365*(I37+284)))</f>
        <v>20.441288361228</v>
      </c>
      <c r="M37" s="0" t="n">
        <f aca="false">2/15*ACOS(-TAN(3.1416/180*K37)*TAN(3.1416/180*23.45*SIN((2*3.1416/365*(I37+284)))))/3.1416*180</f>
        <v>14.1482101905124</v>
      </c>
      <c r="N37" s="0" t="n">
        <f aca="false">2084 * EXP(-0.174353387144778 / SIN(ATAN((--COS(K37 * 3.1416 / 180) * SIN((J37 - 6) * 3.1416/12) * COS(23.45*SIN((2*3.1416/365*(I37+284)))* 3.1416 / 180) + SIN(K37 * 3.1416 / 180) * SIN(23.45*SIN((2*3.1416/365*(I37+284)))* 3.1416 / 180))/(((COS((J37 - 6) * 3.1416/12) * COS(23.45*SIN((2*3.1416/365*(I37+284)))* 3.1416 / 180))^2+(-SIN(K37 * 3.1416 / 180) * SIN((J37 - 6) * 3.1416/12) * COS(23.45*SIN((2*3.1416/365*(I37+284)))* 3.1416 / 180) - -COS(K37 * 3.1416 / 180) * SIN(23.45*SIN((2*3.1416/365*(I37+284)))* 3.1416 / 180))^2)^0.5))))*(0.1+SIN(ATAN((--COS(K37 * 3.1416 / 180) * SIN((J37 - 6) * 3.1416/12) * COS(23.45*SIN((2*3.1416/365*(I37+284)))* 3.1416 / 180) + SIN(K37 * 3.1416 / 180) * SIN(23.45*SIN((2*3.1416/365*(I37+284)))* 3.1416 / 180))/(((COS((J37 - 6) * 3.1416/12) * COS(23.45*SIN((2*3.1416/365*(I37+284)))* 3.1416 / 180))^2+(-SIN(K37 * 3.1416 / 180) * SIN((J37 - 6) * 3.1416/12) * COS(23.45*SIN((2*3.1416/365*(I37+284)))* 3.1416 / 180) - -COS(K37 * 3.1416 / 180) * SIN(23.45*SIN((2*3.1416/365*(I37+284)))* 3.1416 / 180))^2)^0.5))))</f>
        <v>1842.48248772755</v>
      </c>
      <c r="O37" s="0" t="n">
        <f aca="false">IF(K37&gt;=15,(0.00000000010508*K37^4 - 0.000000017492*K37^3 + 0.0000012363*K37^2 - 0.000044163*K37 + 0.0008144)*N37^2+( -0.000000028*K37^4 + 0.000013654*K37^3 - 0.0019426*K37^2 + 0.11006*K37 - 2.0905)*N37+0.000087115*K37^4 - 0.024852*K37^3 + 2.6437*K37^2 - 124.35*K37 + 2183.8,N37*0.3835-146.8)</f>
        <v>657.127244269213</v>
      </c>
      <c r="P37" s="0" t="n">
        <f aca="false">O37/2.02</f>
        <v>325.310516964957</v>
      </c>
      <c r="Q37" s="0" t="n">
        <v>56.0076904296875</v>
      </c>
      <c r="R37" s="0" t="n">
        <f aca="false">(198.58*(1/(2/15*ACOS(-TAN(3.1416/180*K37)*TAN(3.1416/180*23.45*SIN((2*3.1416/365*(I37+284)))))/3.1416*180))^2+5.0551/(2/15*ACOS(-TAN(3.1416/180*K37)*TAN(3.1416/180*23.45*SIN((2*3.1416/365*(I37+284)))))/3.1416*180)+1.49)*P37*2.02</f>
        <v>1865.81006981947</v>
      </c>
    </row>
    <row r="38" customFormat="false" ht="15.75" hidden="false" customHeight="false" outlineLevel="0" collapsed="false">
      <c r="B38" s="181" t="n">
        <v>180</v>
      </c>
      <c r="C38" s="0" t="n">
        <v>12</v>
      </c>
      <c r="D38" s="181" t="n">
        <v>35</v>
      </c>
      <c r="E38" s="0" t="n">
        <f aca="false">23.45*SIN((2*3.1416/365*(B38+284)))</f>
        <v>23.241566536282</v>
      </c>
      <c r="F38" s="0" t="n">
        <f aca="false">2/15*ACOS(-TAN(3.1416/180*D38)*TAN(3.1416/180*23.45*SIN((2*3.1416/365*(B38+284)))))/3.1416*180</f>
        <v>14.3333536426095</v>
      </c>
      <c r="G38" s="0" t="n">
        <f aca="false">2084 * EXP(-0.174353387144778 / SIN(ATAN((--COS(D38 * 3.1416 / 180) * SIN((C38 - 6) * 3.1416/12) * COS(23.45*SIN((2*3.1416/365*(B38+284)))* 3.1416 / 180) + SIN(D38 * 3.1416 / 180) * SIN(23.45*SIN((2*3.1416/365*(B38+284)))* 3.1416 / 180))/(((COS((C38 - 6) * 3.1416/12) * COS(23.45*SIN((2*3.1416/365*(B38+284)))* 3.1416 / 180))^2+(-SIN(D38 * 3.1416 / 180) * SIN((C38 - 6) * 3.1416/12) * COS(23.45*SIN((2*3.1416/365*(B38+284)))* 3.1416 / 180) - -COS(D38 * 3.1416 / 180) * SIN(23.45*SIN((2*3.1416/365*(B38+284)))* 3.1416 / 180))^2)^0.5))))*(0.1+SIN(ATAN((--COS(D38 * 3.1416 / 180) * SIN((C38 - 6) * 3.1416/12) * COS(23.45*SIN((2*3.1416/365*(B38+284)))* 3.1416 / 180) + SIN(D38 * 3.1416 / 180) * SIN(23.45*SIN((2*3.1416/365*(B38+284)))* 3.1416 / 180))/(((COS((C38 - 6) * 3.1416/12) * COS(23.45*SIN((2*3.1416/365*(B38+284)))* 3.1416 / 180))^2+(-SIN(D38 * 3.1416 / 180) * SIN((C38 - 6) * 3.1416/12) * COS(23.45*SIN((2*3.1416/365*(B38+284)))* 3.1416 / 180) - -COS(D38 * 3.1416 / 180) * SIN(23.45*SIN((2*3.1416/365*(B38+284)))* 3.1416 / 180))^2)^0.5))))</f>
        <v>1881.83530198135</v>
      </c>
      <c r="I38" s="181" t="n">
        <f aca="false">I37+1</f>
        <v>203</v>
      </c>
      <c r="J38" s="0" t="n">
        <v>12</v>
      </c>
      <c r="K38" s="181" t="n">
        <v>36.67</v>
      </c>
      <c r="L38" s="0" t="n">
        <f aca="false">23.45*SIN((2*3.1416/365*(I38+284)))</f>
        <v>20.2404507631474</v>
      </c>
      <c r="M38" s="0" t="n">
        <f aca="false">2/15*ACOS(-TAN(3.1416/180*K38)*TAN(3.1416/180*23.45*SIN((2*3.1416/365*(I38+284)))))/3.1416*180</f>
        <v>14.1246150107955</v>
      </c>
      <c r="N38" s="0" t="n">
        <f aca="false">2084 * EXP(-0.174353387144778 / SIN(ATAN((--COS(K38 * 3.1416 / 180) * SIN((J38 - 6) * 3.1416/12) * COS(23.45*SIN((2*3.1416/365*(I38+284)))* 3.1416 / 180) + SIN(K38 * 3.1416 / 180) * SIN(23.45*SIN((2*3.1416/365*(I38+284)))* 3.1416 / 180))/(((COS((J38 - 6) * 3.1416/12) * COS(23.45*SIN((2*3.1416/365*(I38+284)))* 3.1416 / 180))^2+(-SIN(K38 * 3.1416 / 180) * SIN((J38 - 6) * 3.1416/12) * COS(23.45*SIN((2*3.1416/365*(I38+284)))* 3.1416 / 180) - -COS(K38 * 3.1416 / 180) * SIN(23.45*SIN((2*3.1416/365*(I38+284)))* 3.1416 / 180))^2)^0.5))))*(0.1+SIN(ATAN((--COS(K38 * 3.1416 / 180) * SIN((J38 - 6) * 3.1416/12) * COS(23.45*SIN((2*3.1416/365*(I38+284)))* 3.1416 / 180) + SIN(K38 * 3.1416 / 180) * SIN(23.45*SIN((2*3.1416/365*(I38+284)))* 3.1416 / 180))/(((COS((J38 - 6) * 3.1416/12) * COS(23.45*SIN((2*3.1416/365*(I38+284)))* 3.1416 / 180))^2+(-SIN(K38 * 3.1416 / 180) * SIN((J38 - 6) * 3.1416/12) * COS(23.45*SIN((2*3.1416/365*(I38+284)))* 3.1416 / 180) - -COS(K38 * 3.1416 / 180) * SIN(23.45*SIN((2*3.1416/365*(I38+284)))* 3.1416 / 180))^2)^0.5))))</f>
        <v>1840.42627978733</v>
      </c>
      <c r="O38" s="0" t="n">
        <f aca="false">IF(K38&gt;=15,(0.00000000010508*K38^4 - 0.000000017492*K38^3 + 0.0000012363*K38^2 - 0.000044163*K38 + 0.0008144)*N38^2+( -0.000000028*K38^4 + 0.000013654*K38^3 - 0.0019426*K38^2 + 0.11006*K38 - 2.0905)*N38+0.000087115*K38^4 - 0.024852*K38^3 + 2.6437*K38^2 - 124.35*K38 + 2183.8,N38*0.3835-146.8)</f>
        <v>655.818105328298</v>
      </c>
      <c r="P38" s="0" t="n">
        <f aca="false">O38/2.02</f>
        <v>324.662428380345</v>
      </c>
      <c r="Q38" s="0" t="n">
        <v>67.5088156423258</v>
      </c>
      <c r="R38" s="0" t="n">
        <f aca="false">(198.58*(1/(2/15*ACOS(-TAN(3.1416/180*K38)*TAN(3.1416/180*23.45*SIN((2*3.1416/365*(I38+284)))))/3.1416*180))^2+5.0551/(2/15*ACOS(-TAN(3.1416/180*K38)*TAN(3.1416/180*23.45*SIN((2*3.1416/365*(I38+284)))))/3.1416*180)+1.49)*P38*2.02</f>
        <v>1864.65988860646</v>
      </c>
    </row>
    <row r="39" customFormat="false" ht="15.75" hidden="false" customHeight="false" outlineLevel="0" collapsed="false">
      <c r="B39" s="181"/>
      <c r="C39" s="181"/>
      <c r="I39" s="181" t="n">
        <f aca="false">I38+1</f>
        <v>204</v>
      </c>
      <c r="J39" s="0" t="n">
        <v>12</v>
      </c>
      <c r="K39" s="181" t="n">
        <v>36.67</v>
      </c>
      <c r="L39" s="0" t="n">
        <f aca="false">23.45*SIN((2*3.1416/365*(I39+284)))</f>
        <v>20.0336154546312</v>
      </c>
      <c r="M39" s="0" t="n">
        <f aca="false">2/15*ACOS(-TAN(3.1416/180*K39)*TAN(3.1416/180*23.45*SIN((2*3.1416/365*(I39+284)))))/3.1416*180</f>
        <v>14.1004005008526</v>
      </c>
      <c r="N39" s="0" t="n">
        <f aca="false">2084 * EXP(-0.174353387144778 / SIN(ATAN((--COS(K39 * 3.1416 / 180) * SIN((J39 - 6) * 3.1416/12) * COS(23.45*SIN((2*3.1416/365*(I39+284)))* 3.1416 / 180) + SIN(K39 * 3.1416 / 180) * SIN(23.45*SIN((2*3.1416/365*(I39+284)))* 3.1416 / 180))/(((COS((J39 - 6) * 3.1416/12) * COS(23.45*SIN((2*3.1416/365*(I39+284)))* 3.1416 / 180))^2+(-SIN(K39 * 3.1416 / 180) * SIN((J39 - 6) * 3.1416/12) * COS(23.45*SIN((2*3.1416/365*(I39+284)))* 3.1416 / 180) - -COS(K39 * 3.1416 / 180) * SIN(23.45*SIN((2*3.1416/365*(I39+284)))* 3.1416 / 180))^2)^0.5))))*(0.1+SIN(ATAN((--COS(K39 * 3.1416 / 180) * SIN((J39 - 6) * 3.1416/12) * COS(23.45*SIN((2*3.1416/365*(I39+284)))* 3.1416 / 180) + SIN(K39 * 3.1416 / 180) * SIN(23.45*SIN((2*3.1416/365*(I39+284)))* 3.1416 / 180))/(((COS((J39 - 6) * 3.1416/12) * COS(23.45*SIN((2*3.1416/365*(I39+284)))* 3.1416 / 180))^2+(-SIN(K39 * 3.1416 / 180) * SIN((J39 - 6) * 3.1416/12) * COS(23.45*SIN((2*3.1416/365*(I39+284)))* 3.1416 / 180) - -COS(K39 * 3.1416 / 180) * SIN(23.45*SIN((2*3.1416/365*(I39+284)))* 3.1416 / 180))^2)^0.5))))</f>
        <v>1838.28296262527</v>
      </c>
      <c r="O39" s="0" t="n">
        <f aca="false">IF(K39&gt;=15,(0.00000000010508*K39^4 - 0.000000017492*K39^3 + 0.0000012363*K39^2 - 0.000044163*K39 + 0.0008144)*N39^2+( -0.000000028*K39^4 + 0.000013654*K39^3 - 0.0019426*K39^2 + 0.11006*K39 - 2.0905)*N39+0.000087115*K39^4 - 0.024852*K39^3 + 2.6437*K39^2 - 124.35*K39 + 2183.8,N39*0.3835-146.8)</f>
        <v>654.455169916866</v>
      </c>
      <c r="P39" s="0" t="n">
        <f aca="false">O39/2.02</f>
        <v>323.987707879637</v>
      </c>
      <c r="Q39" s="0" t="n">
        <v>69.1315977035026</v>
      </c>
      <c r="R39" s="0" t="n">
        <f aca="false">(198.58*(1/(2/15*ACOS(-TAN(3.1416/180*K39)*TAN(3.1416/180*23.45*SIN((2*3.1416/365*(I39+284)))))/3.1416*180))^2+5.0551/(2/15*ACOS(-TAN(3.1416/180*K39)*TAN(3.1416/180*23.45*SIN((2*3.1416/365*(I39+284)))))/3.1416*180)+1.49)*P39*2.02</f>
        <v>1863.42622843234</v>
      </c>
    </row>
    <row r="40" customFormat="false" ht="21" hidden="false" customHeight="false" outlineLevel="0" collapsed="false">
      <c r="B40" s="505" t="s">
        <v>431</v>
      </c>
      <c r="C40" s="505" t="s">
        <v>382</v>
      </c>
      <c r="D40" s="505" t="s">
        <v>1786</v>
      </c>
      <c r="E40" s="520" t="s">
        <v>1815</v>
      </c>
      <c r="I40" s="181" t="n">
        <f aca="false">I39+1</f>
        <v>205</v>
      </c>
      <c r="J40" s="0" t="n">
        <v>12</v>
      </c>
      <c r="K40" s="181" t="n">
        <v>36.67</v>
      </c>
      <c r="L40" s="0" t="n">
        <f aca="false">23.45*SIN((2*3.1416/365*(I40+284)))</f>
        <v>19.8208437257319</v>
      </c>
      <c r="M40" s="0" t="n">
        <f aca="false">2/15*ACOS(-TAN(3.1416/180*K40)*TAN(3.1416/180*23.45*SIN((2*3.1416/365*(I40+284)))))/3.1416*180</f>
        <v>14.0755799072464</v>
      </c>
      <c r="N40" s="0" t="n">
        <f aca="false">2084 * EXP(-0.174353387144778 / SIN(ATAN((--COS(K40 * 3.1416 / 180) * SIN((J40 - 6) * 3.1416/12) * COS(23.45*SIN((2*3.1416/365*(I40+284)))* 3.1416 / 180) + SIN(K40 * 3.1416 / 180) * SIN(23.45*SIN((2*3.1416/365*(I40+284)))* 3.1416 / 180))/(((COS((J40 - 6) * 3.1416/12) * COS(23.45*SIN((2*3.1416/365*(I40+284)))* 3.1416 / 180))^2+(-SIN(K40 * 3.1416 / 180) * SIN((J40 - 6) * 3.1416/12) * COS(23.45*SIN((2*3.1416/365*(I40+284)))* 3.1416 / 180) - -COS(K40 * 3.1416 / 180) * SIN(23.45*SIN((2*3.1416/365*(I40+284)))* 3.1416 / 180))^2)^0.5))))*(0.1+SIN(ATAN((--COS(K40 * 3.1416 / 180) * SIN((J40 - 6) * 3.1416/12) * COS(23.45*SIN((2*3.1416/365*(I40+284)))* 3.1416 / 180) + SIN(K40 * 3.1416 / 180) * SIN(23.45*SIN((2*3.1416/365*(I40+284)))* 3.1416 / 180))/(((COS((J40 - 6) * 3.1416/12) * COS(23.45*SIN((2*3.1416/365*(I40+284)))* 3.1416 / 180))^2+(-SIN(K40 * 3.1416 / 180) * SIN((J40 - 6) * 3.1416/12) * COS(23.45*SIN((2*3.1416/365*(I40+284)))* 3.1416 / 180) - -COS(K40 * 3.1416 / 180) * SIN(23.45*SIN((2*3.1416/365*(I40+284)))* 3.1416 / 180))^2)^0.5))))</f>
        <v>1836.05094328875</v>
      </c>
      <c r="O40" s="0" t="n">
        <f aca="false">IF(K40&gt;=15,(0.00000000010508*K40^4 - 0.000000017492*K40^3 + 0.0000012363*K40^2 - 0.000044163*K40 + 0.0008144)*N40^2+( -0.000000028*K40^4 + 0.000013654*K40^3 - 0.0019426*K40^2 + 0.11006*K40 - 2.0905)*N40+0.000087115*K40^4 - 0.024852*K40^3 + 2.6437*K40^2 - 124.35*K40 + 2183.8,N40*0.3835-146.8)</f>
        <v>653.0376341048</v>
      </c>
      <c r="P40" s="0" t="n">
        <f aca="false">O40/2.02</f>
        <v>323.285957477624</v>
      </c>
      <c r="Q40" s="0" t="n">
        <v>30.7877522130166</v>
      </c>
      <c r="R40" s="0" t="n">
        <f aca="false">(198.58*(1/(2/15*ACOS(-TAN(3.1416/180*K40)*TAN(3.1416/180*23.45*SIN((2*3.1416/365*(I40+284)))))/3.1416*180))^2+5.0551/(2/15*ACOS(-TAN(3.1416/180*K40)*TAN(3.1416/180*23.45*SIN((2*3.1416/365*(I40+284)))))/3.1416*180)+1.49)*P40*2.02</f>
        <v>1862.1052677405</v>
      </c>
    </row>
    <row r="41" customFormat="false" ht="15.75" hidden="false" customHeight="false" outlineLevel="0" collapsed="false">
      <c r="B41" s="181" t="n">
        <v>180</v>
      </c>
      <c r="C41" s="181" t="n">
        <v>45</v>
      </c>
      <c r="D41" s="0" t="n">
        <v>300</v>
      </c>
      <c r="E41" s="0" t="n">
        <f aca="false">D41*2.02</f>
        <v>606</v>
      </c>
      <c r="I41" s="181" t="n">
        <f aca="false">I40+1</f>
        <v>206</v>
      </c>
      <c r="J41" s="0" t="n">
        <v>12</v>
      </c>
      <c r="K41" s="181" t="n">
        <v>36.67</v>
      </c>
      <c r="L41" s="0" t="n">
        <f aca="false">23.45*SIN((2*3.1416/365*(I41+284)))</f>
        <v>19.6021986255996</v>
      </c>
      <c r="M41" s="0" t="n">
        <f aca="false">2/15*ACOS(-TAN(3.1416/180*K41)*TAN(3.1416/180*23.45*SIN((2*3.1416/365*(I41+284)))))/3.1416*180</f>
        <v>14.0501665689664</v>
      </c>
      <c r="N41" s="0" t="n">
        <f aca="false">2084 * EXP(-0.174353387144778 / SIN(ATAN((--COS(K41 * 3.1416 / 180) * SIN((J41 - 6) * 3.1416/12) * COS(23.45*SIN((2*3.1416/365*(I41+284)))* 3.1416 / 180) + SIN(K41 * 3.1416 / 180) * SIN(23.45*SIN((2*3.1416/365*(I41+284)))* 3.1416 / 180))/(((COS((J41 - 6) * 3.1416/12) * COS(23.45*SIN((2*3.1416/365*(I41+284)))* 3.1416 / 180))^2+(-SIN(K41 * 3.1416 / 180) * SIN((J41 - 6) * 3.1416/12) * COS(23.45*SIN((2*3.1416/365*(I41+284)))* 3.1416 / 180) - -COS(K41 * 3.1416 / 180) * SIN(23.45*SIN((2*3.1416/365*(I41+284)))* 3.1416 / 180))^2)^0.5))))*(0.1+SIN(ATAN((--COS(K41 * 3.1416 / 180) * SIN((J41 - 6) * 3.1416/12) * COS(23.45*SIN((2*3.1416/365*(I41+284)))* 3.1416 / 180) + SIN(K41 * 3.1416 / 180) * SIN(23.45*SIN((2*3.1416/365*(I41+284)))* 3.1416 / 180))/(((COS((J41 - 6) * 3.1416/12) * COS(23.45*SIN((2*3.1416/365*(I41+284)))* 3.1416 / 180))^2+(-SIN(K41 * 3.1416 / 180) * SIN((J41 - 6) * 3.1416/12) * COS(23.45*SIN((2*3.1416/365*(I41+284)))* 3.1416 / 180) - -COS(K41 * 3.1416 / 180) * SIN(23.45*SIN((2*3.1416/365*(I41+284)))* 3.1416 / 180))^2)^0.5))))</f>
        <v>1833.72861988277</v>
      </c>
      <c r="O41" s="0" t="n">
        <f aca="false">IF(K41&gt;=15,(0.00000000010508*K41^4 - 0.000000017492*K41^3 + 0.0000012363*K41^2 - 0.000044163*K41 + 0.0008144)*N41^2+( -0.000000028*K41^4 + 0.000013654*K41^3 - 0.0019426*K41^2 + 0.11006*K41 - 2.0905)*N41+0.000087115*K41^4 - 0.024852*K41^3 + 2.6437*K41^2 - 124.35*K41 + 2183.8,N41*0.3835-146.8)</f>
        <v>651.564702175705</v>
      </c>
      <c r="P41" s="0" t="n">
        <f aca="false">O41/2.02</f>
        <v>322.556783255299</v>
      </c>
      <c r="Q41" s="0" t="n">
        <v>83.3091292842742</v>
      </c>
      <c r="R41" s="0" t="n">
        <f aca="false">(198.58*(1/(2/15*ACOS(-TAN(3.1416/180*K41)*TAN(3.1416/180*23.45*SIN((2*3.1416/365*(I41+284)))))/3.1416*180))^2+5.0551/(2/15*ACOS(-TAN(3.1416/180*K41)*TAN(3.1416/180*23.45*SIN((2*3.1416/365*(I41+284)))))/3.1416*180)+1.49)*P41*2.02</f>
        <v>1860.69315819197</v>
      </c>
    </row>
    <row r="42" customFormat="false" ht="15.75" hidden="false" customHeight="false" outlineLevel="0" collapsed="false">
      <c r="I42" s="181" t="n">
        <f aca="false">I41+1</f>
        <v>207</v>
      </c>
      <c r="J42" s="0" t="n">
        <v>12</v>
      </c>
      <c r="K42" s="181" t="n">
        <v>36.67</v>
      </c>
      <c r="L42" s="0" t="n">
        <f aca="false">23.45*SIN((2*3.1416/365*(I42+284)))</f>
        <v>19.3777449437993</v>
      </c>
      <c r="M42" s="0" t="n">
        <f aca="false">2/15*ACOS(-TAN(3.1416/180*K42)*TAN(3.1416/180*23.45*SIN((2*3.1416/365*(I42+284)))))/3.1416*180</f>
        <v>14.0241738968572</v>
      </c>
      <c r="N42" s="0" t="n">
        <f aca="false">2084 * EXP(-0.174353387144778 / SIN(ATAN((--COS(K42 * 3.1416 / 180) * SIN((J42 - 6) * 3.1416/12) * COS(23.45*SIN((2*3.1416/365*(I42+284)))* 3.1416 / 180) + SIN(K42 * 3.1416 / 180) * SIN(23.45*SIN((2*3.1416/365*(I42+284)))* 3.1416 / 180))/(((COS((J42 - 6) * 3.1416/12) * COS(23.45*SIN((2*3.1416/365*(I42+284)))* 3.1416 / 180))^2+(-SIN(K42 * 3.1416 / 180) * SIN((J42 - 6) * 3.1416/12) * COS(23.45*SIN((2*3.1416/365*(I42+284)))* 3.1416 / 180) - -COS(K42 * 3.1416 / 180) * SIN(23.45*SIN((2*3.1416/365*(I42+284)))* 3.1416 / 180))^2)^0.5))))*(0.1+SIN(ATAN((--COS(K42 * 3.1416 / 180) * SIN((J42 - 6) * 3.1416/12) * COS(23.45*SIN((2*3.1416/365*(I42+284)))* 3.1416 / 180) + SIN(K42 * 3.1416 / 180) * SIN(23.45*SIN((2*3.1416/365*(I42+284)))* 3.1416 / 180))/(((COS((J42 - 6) * 3.1416/12) * COS(23.45*SIN((2*3.1416/365*(I42+284)))* 3.1416 / 180))^2+(-SIN(K42 * 3.1416 / 180) * SIN((J42 - 6) * 3.1416/12) * COS(23.45*SIN((2*3.1416/365*(I42+284)))* 3.1416 / 180) - -COS(K42 * 3.1416 / 180) * SIN(23.45*SIN((2*3.1416/365*(I42+284)))* 3.1416 / 180))^2)^0.5))))</f>
        <v>1831.31438514056</v>
      </c>
      <c r="O42" s="0" t="n">
        <f aca="false">IF(K42&gt;=15,(0.00000000010508*K42^4 - 0.000000017492*K42^3 + 0.0000012363*K42^2 - 0.000044163*K42 + 0.0008144)*N42^2+( -0.000000028*K42^4 + 0.000013654*K42^3 - 0.0019426*K42^2 + 0.11006*K42 - 2.0905)*N42+0.000087115*K42^4 - 0.024852*K42^3 + 2.6437*K42^2 - 124.35*K42 + 2183.8,N42*0.3835-146.8)</f>
        <v>650.035589453846</v>
      </c>
      <c r="P42" s="0" t="n">
        <f aca="false">O42/2.02</f>
        <v>321.79979675933</v>
      </c>
      <c r="Q42" s="0" t="n">
        <v>35.3758338189894</v>
      </c>
      <c r="R42" s="0" t="n">
        <f aca="false">(198.58*(1/(2/15*ACOS(-TAN(3.1416/180*K42)*TAN(3.1416/180*23.45*SIN((2*3.1416/365*(I42+284)))))/3.1416*180))^2+5.0551/(2/15*ACOS(-TAN(3.1416/180*K42)*TAN(3.1416/180*23.45*SIN((2*3.1416/365*(I42+284)))))/3.1416*180)+1.49)*P42*2.02</f>
        <v>1859.18603305381</v>
      </c>
    </row>
    <row r="43" customFormat="false" ht="21" hidden="false" customHeight="false" outlineLevel="0" collapsed="false">
      <c r="B43" s="505" t="s">
        <v>431</v>
      </c>
      <c r="C43" s="505" t="s">
        <v>1816</v>
      </c>
      <c r="D43" s="505" t="s">
        <v>1787</v>
      </c>
      <c r="I43" s="181" t="n">
        <f aca="false">I42+1</f>
        <v>208</v>
      </c>
      <c r="J43" s="0" t="n">
        <v>12</v>
      </c>
      <c r="K43" s="181" t="n">
        <v>36.67</v>
      </c>
      <c r="L43" s="0" t="n">
        <f aca="false">23.45*SIN((2*3.1416/365*(I43+284)))</f>
        <v>19.1475491911119</v>
      </c>
      <c r="M43" s="0" t="n">
        <f aca="false">2/15*ACOS(-TAN(3.1416/180*K43)*TAN(3.1416/180*23.45*SIN((2*3.1416/365*(I43+284)))))/3.1416*180</f>
        <v>13.9976153536569</v>
      </c>
      <c r="N43" s="0" t="n">
        <f aca="false">2084 * EXP(-0.174353387144778 / SIN(ATAN((--COS(K43 * 3.1416 / 180) * SIN((J43 - 6) * 3.1416/12) * COS(23.45*SIN((2*3.1416/365*(I43+284)))* 3.1416 / 180) + SIN(K43 * 3.1416 / 180) * SIN(23.45*SIN((2*3.1416/365*(I43+284)))* 3.1416 / 180))/(((COS((J43 - 6) * 3.1416/12) * COS(23.45*SIN((2*3.1416/365*(I43+284)))* 3.1416 / 180))^2+(-SIN(K43 * 3.1416 / 180) * SIN((J43 - 6) * 3.1416/12) * COS(23.45*SIN((2*3.1416/365*(I43+284)))* 3.1416 / 180) - -COS(K43 * 3.1416 / 180) * SIN(23.45*SIN((2*3.1416/365*(I43+284)))* 3.1416 / 180))^2)^0.5))))*(0.1+SIN(ATAN((--COS(K43 * 3.1416 / 180) * SIN((J43 - 6) * 3.1416/12) * COS(23.45*SIN((2*3.1416/365*(I43+284)))* 3.1416 / 180) + SIN(K43 * 3.1416 / 180) * SIN(23.45*SIN((2*3.1416/365*(I43+284)))* 3.1416 / 180))/(((COS((J43 - 6) * 3.1416/12) * COS(23.45*SIN((2*3.1416/365*(I43+284)))* 3.1416 / 180))^2+(-SIN(K43 * 3.1416 / 180) * SIN((J43 - 6) * 3.1416/12) * COS(23.45*SIN((2*3.1416/365*(I43+284)))* 3.1416 / 180) - -COS(K43 * 3.1416 / 180) * SIN(23.45*SIN((2*3.1416/365*(I43+284)))* 3.1416 / 180))^2)^0.5))))</f>
        <v>1828.80663004324</v>
      </c>
      <c r="O43" s="0" t="n">
        <f aca="false">IF(K43&gt;=15,(0.00000000010508*K43^4 - 0.000000017492*K43^3 + 0.0000012363*K43^2 - 0.000044163*K43 + 0.0008144)*N43^2+( -0.000000028*K43^4 + 0.000013654*K43^3 - 0.0019426*K43^2 + 0.11006*K43 - 2.0905)*N43+0.000087115*K43^4 - 0.024852*K43^3 + 2.6437*K43^2 - 124.35*K43 + 2183.8,N43*0.3835-146.8)</f>
        <v>648.449525156266</v>
      </c>
      <c r="P43" s="0" t="n">
        <f aca="false">O43/2.02</f>
        <v>321.014616413993</v>
      </c>
      <c r="Q43" s="0" t="n">
        <v>2.08156462638608</v>
      </c>
      <c r="R43" s="0" t="n">
        <f aca="false">(198.58*(1/(2/15*ACOS(-TAN(3.1416/180*K43)*TAN(3.1416/180*23.45*SIN((2*3.1416/365*(I43+284)))))/3.1416*180))^2+5.0551/(2/15*ACOS(-TAN(3.1416/180*K43)*TAN(3.1416/180*23.45*SIN((2*3.1416/365*(I43+284)))))/3.1416*180)+1.49)*P43*2.02</f>
        <v>1857.58001573352</v>
      </c>
    </row>
    <row r="44" customFormat="false" ht="15.75" hidden="false" customHeight="false" outlineLevel="0" collapsed="false">
      <c r="B44" s="0" t="n">
        <v>180</v>
      </c>
      <c r="C44" s="0" t="n">
        <v>3000</v>
      </c>
      <c r="D44" s="0" t="n">
        <f aca="false">C44*2.194/(7.64+2.18*COS((B44+10)/365*3.1416*2+3.1416))*10000/3600</f>
        <v>1865.29368972128</v>
      </c>
      <c r="I44" s="181" t="n">
        <f aca="false">I43+1</f>
        <v>209</v>
      </c>
      <c r="J44" s="0" t="n">
        <v>12</v>
      </c>
      <c r="K44" s="181" t="n">
        <v>36.67</v>
      </c>
      <c r="L44" s="0" t="n">
        <f aca="false">23.45*SIN((2*3.1416/365*(I44+284)))</f>
        <v>18.9116795798261</v>
      </c>
      <c r="M44" s="0" t="n">
        <f aca="false">2/15*ACOS(-TAN(3.1416/180*K44)*TAN(3.1416/180*23.45*SIN((2*3.1416/365*(I44+284)))))/3.1416*180</f>
        <v>13.9705044346903</v>
      </c>
      <c r="N44" s="0" t="n">
        <f aca="false">2084 * EXP(-0.174353387144778 / SIN(ATAN((--COS(K44 * 3.1416 / 180) * SIN((J44 - 6) * 3.1416/12) * COS(23.45*SIN((2*3.1416/365*(I44+284)))* 3.1416 / 180) + SIN(K44 * 3.1416 / 180) * SIN(23.45*SIN((2*3.1416/365*(I44+284)))* 3.1416 / 180))/(((COS((J44 - 6) * 3.1416/12) * COS(23.45*SIN((2*3.1416/365*(I44+284)))* 3.1416 / 180))^2+(-SIN(K44 * 3.1416 / 180) * SIN((J44 - 6) * 3.1416/12) * COS(23.45*SIN((2*3.1416/365*(I44+284)))* 3.1416 / 180) - -COS(K44 * 3.1416 / 180) * SIN(23.45*SIN((2*3.1416/365*(I44+284)))* 3.1416 / 180))^2)^0.5))))*(0.1+SIN(ATAN((--COS(K44 * 3.1416 / 180) * SIN((J44 - 6) * 3.1416/12) * COS(23.45*SIN((2*3.1416/365*(I44+284)))* 3.1416 / 180) + SIN(K44 * 3.1416 / 180) * SIN(23.45*SIN((2*3.1416/365*(I44+284)))* 3.1416 / 180))/(((COS((J44 - 6) * 3.1416/12) * COS(23.45*SIN((2*3.1416/365*(I44+284)))* 3.1416 / 180))^2+(-SIN(K44 * 3.1416 / 180) * SIN((J44 - 6) * 3.1416/12) * COS(23.45*SIN((2*3.1416/365*(I44+284)))* 3.1416 / 180) - -COS(K44 * 3.1416 / 180) * SIN(23.45*SIN((2*3.1416/365*(I44+284)))* 3.1416 / 180))^2)^0.5))))</f>
        <v>1826.20374748317</v>
      </c>
      <c r="O44" s="0" t="n">
        <f aca="false">IF(K44&gt;=15,(0.00000000010508*K44^4 - 0.000000017492*K44^3 + 0.0000012363*K44^2 - 0.000044163*K44 + 0.0008144)*N44^2+( -0.000000028*K44^4 + 0.000013654*K44^3 - 0.0019426*K44^2 + 0.11006*K44 - 2.0905)*N44+0.000087115*K44^4 - 0.024852*K44^3 + 2.6437*K44^2 - 124.35*K44 + 2183.8,N44*0.3835-146.8)</f>
        <v>646.805755263856</v>
      </c>
      <c r="P44" s="0" t="n">
        <f aca="false">O44/2.02</f>
        <v>320.200868942503</v>
      </c>
      <c r="Q44" s="0" t="n">
        <v>98.2952880859374</v>
      </c>
      <c r="R44" s="0" t="n">
        <f aca="false">(198.58*(1/(2/15*ACOS(-TAN(3.1416/180*K44)*TAN(3.1416/180*23.45*SIN((2*3.1416/365*(I44+284)))))/3.1416*180))^2+5.0551/(2/15*ACOS(-TAN(3.1416/180*K44)*TAN(3.1416/180*23.45*SIN((2*3.1416/365*(I44+284)))))/3.1416*180)+1.49)*P44*2.02</f>
        <v>1855.87122844592</v>
      </c>
    </row>
    <row r="45" customFormat="false" ht="15.75" hidden="false" customHeight="false" outlineLevel="0" collapsed="false">
      <c r="I45" s="181" t="n">
        <f aca="false">I44+1</f>
        <v>210</v>
      </c>
      <c r="J45" s="0" t="n">
        <v>12</v>
      </c>
      <c r="K45" s="181" t="n">
        <v>36.67</v>
      </c>
      <c r="L45" s="0" t="n">
        <f aca="false">23.45*SIN((2*3.1416/365*(I45+284)))</f>
        <v>18.6702060035251</v>
      </c>
      <c r="M45" s="0" t="n">
        <f aca="false">2/15*ACOS(-TAN(3.1416/180*K45)*TAN(3.1416/180*23.45*SIN((2*3.1416/365*(I45+284)))))/3.1416*180</f>
        <v>13.9428546492576</v>
      </c>
      <c r="N45" s="0" t="n">
        <f aca="false">2084 * EXP(-0.174353387144778 / SIN(ATAN((--COS(K45 * 3.1416 / 180) * SIN((J45 - 6) * 3.1416/12) * COS(23.45*SIN((2*3.1416/365*(I45+284)))* 3.1416 / 180) + SIN(K45 * 3.1416 / 180) * SIN(23.45*SIN((2*3.1416/365*(I45+284)))* 3.1416 / 180))/(((COS((J45 - 6) * 3.1416/12) * COS(23.45*SIN((2*3.1416/365*(I45+284)))* 3.1416 / 180))^2+(-SIN(K45 * 3.1416 / 180) * SIN((J45 - 6) * 3.1416/12) * COS(23.45*SIN((2*3.1416/365*(I45+284)))* 3.1416 / 180) - -COS(K45 * 3.1416 / 180) * SIN(23.45*SIN((2*3.1416/365*(I45+284)))* 3.1416 / 180))^2)^0.5))))*(0.1+SIN(ATAN((--COS(K45 * 3.1416 / 180) * SIN((J45 - 6) * 3.1416/12) * COS(23.45*SIN((2*3.1416/365*(I45+284)))* 3.1416 / 180) + SIN(K45 * 3.1416 / 180) * SIN(23.45*SIN((2*3.1416/365*(I45+284)))* 3.1416 / 180))/(((COS((J45 - 6) * 3.1416/12) * COS(23.45*SIN((2*3.1416/365*(I45+284)))* 3.1416 / 180))^2+(-SIN(K45 * 3.1416 / 180) * SIN((J45 - 6) * 3.1416/12) * COS(23.45*SIN((2*3.1416/365*(I45+284)))* 3.1416 / 180) - -COS(K45 * 3.1416 / 180) * SIN(23.45*SIN((2*3.1416/365*(I45+284)))* 3.1416 / 180))^2)^0.5))))</f>
        <v>1823.5041359653</v>
      </c>
      <c r="O45" s="0" t="n">
        <f aca="false">IF(K45&gt;=15,(0.00000000010508*K45^4 - 0.000000017492*K45^3 + 0.0000012363*K45^2 - 0.000044163*K45 + 0.0008144)*N45^2+( -0.000000028*K45^4 + 0.000013654*K45^3 - 0.0019426*K45^2 + 0.11006*K45 - 2.0905)*N45+0.000087115*K45^4 - 0.024852*K45^3 + 2.6437*K45^2 - 124.35*K45 + 2183.8,N45*0.3835-146.8)</f>
        <v>645.103545404937</v>
      </c>
      <c r="P45" s="0" t="n">
        <f aca="false">O45/2.02</f>
        <v>319.358190794523</v>
      </c>
      <c r="Q45" s="0" t="n">
        <v>114.114419260332</v>
      </c>
      <c r="R45" s="0" t="n">
        <f aca="false">(198.58*(1/(2/15*ACOS(-TAN(3.1416/180*K45)*TAN(3.1416/180*23.45*SIN((2*3.1416/365*(I45+284)))))/3.1416*180))^2+5.0551/(2/15*ACOS(-TAN(3.1416/180*K45)*TAN(3.1416/180*23.45*SIN((2*3.1416/365*(I45+284)))))/3.1416*180)+1.49)*P45*2.02</f>
        <v>1854.05580099869</v>
      </c>
    </row>
    <row r="46" customFormat="false" ht="21" hidden="false" customHeight="false" outlineLevel="0" collapsed="false">
      <c r="B46" s="505" t="s">
        <v>431</v>
      </c>
      <c r="C46" s="505" t="s">
        <v>1817</v>
      </c>
      <c r="D46" s="505" t="s">
        <v>1787</v>
      </c>
      <c r="I46" s="181" t="n">
        <f aca="false">I45+1</f>
        <v>211</v>
      </c>
      <c r="J46" s="0" t="n">
        <v>12</v>
      </c>
      <c r="K46" s="181" t="n">
        <v>36.67</v>
      </c>
      <c r="L46" s="0" t="n">
        <f aca="false">23.45*SIN((2*3.1416/365*(I46+284)))</f>
        <v>18.4232000163755</v>
      </c>
      <c r="M46" s="0" t="n">
        <f aca="false">2/15*ACOS(-TAN(3.1416/180*K46)*TAN(3.1416/180*23.45*SIN((2*3.1416/365*(I46+284)))))/3.1416*180</f>
        <v>13.9146795027538</v>
      </c>
      <c r="N46" s="0" t="n">
        <f aca="false">2084 * EXP(-0.174353387144778 / SIN(ATAN((--COS(K46 * 3.1416 / 180) * SIN((J46 - 6) * 3.1416/12) * COS(23.45*SIN((2*3.1416/365*(I46+284)))* 3.1416 / 180) + SIN(K46 * 3.1416 / 180) * SIN(23.45*SIN((2*3.1416/365*(I46+284)))* 3.1416 / 180))/(((COS((J46 - 6) * 3.1416/12) * COS(23.45*SIN((2*3.1416/365*(I46+284)))* 3.1416 / 180))^2+(-SIN(K46 * 3.1416 / 180) * SIN((J46 - 6) * 3.1416/12) * COS(23.45*SIN((2*3.1416/365*(I46+284)))* 3.1416 / 180) - -COS(K46 * 3.1416 / 180) * SIN(23.45*SIN((2*3.1416/365*(I46+284)))* 3.1416 / 180))^2)^0.5))))*(0.1+SIN(ATAN((--COS(K46 * 3.1416 / 180) * SIN((J46 - 6) * 3.1416/12) * COS(23.45*SIN((2*3.1416/365*(I46+284)))* 3.1416 / 180) + SIN(K46 * 3.1416 / 180) * SIN(23.45*SIN((2*3.1416/365*(I46+284)))* 3.1416 / 180))/(((COS((J46 - 6) * 3.1416/12) * COS(23.45*SIN((2*3.1416/365*(I46+284)))* 3.1416 / 180))^2+(-SIN(K46 * 3.1416 / 180) * SIN((J46 - 6) * 3.1416/12) * COS(23.45*SIN((2*3.1416/365*(I46+284)))* 3.1416 / 180) - -COS(K46 * 3.1416 / 180) * SIN(23.45*SIN((2*3.1416/365*(I46+284)))* 3.1416 / 180))^2)^0.5))))</f>
        <v>1820.70620334082</v>
      </c>
      <c r="O46" s="0" t="n">
        <f aca="false">IF(K46&gt;=15,(0.00000000010508*K46^4 - 0.000000017492*K46^3 + 0.0000012363*K46^2 - 0.000044163*K46 + 0.0008144)*N46^2+( -0.000000028*K46^4 + 0.000013654*K46^3 - 0.0019426*K46^2 + 0.11006*K46 - 2.0905)*N46+0.000087115*K46^4 - 0.024852*K46^3 + 2.6437*K46^2 - 124.35*K46 + 2183.8,N46*0.3835-146.8)</f>
        <v>643.342183744745</v>
      </c>
      <c r="P46" s="0" t="n">
        <f aca="false">O46/2.02</f>
        <v>318.486229576606</v>
      </c>
      <c r="Q46" s="0" t="n">
        <v>128.956781202746</v>
      </c>
      <c r="R46" s="0" t="n">
        <f aca="false">(198.58*(1/(2/15*ACOS(-TAN(3.1416/180*K46)*TAN(3.1416/180*23.45*SIN((2*3.1416/365*(I46+284)))))/3.1416*180))^2+5.0551/(2/15*ACOS(-TAN(3.1416/180*K46)*TAN(3.1416/180*23.45*SIN((2*3.1416/365*(I46+284)))))/3.1416*180)+1.49)*P46*2.02</f>
        <v>1852.12987968157</v>
      </c>
    </row>
    <row r="47" customFormat="false" ht="21" hidden="false" customHeight="false" outlineLevel="0" collapsed="false">
      <c r="B47" s="0" t="n">
        <v>182</v>
      </c>
      <c r="C47" s="0" t="n">
        <v>1500</v>
      </c>
      <c r="D47" s="0" t="n">
        <f aca="false">2.11*C47*2.194/(7.64+2.18*COS((B47+10)/365*3.1416*2+3.1416))*10000/3600</f>
        <v>1970.08436898208</v>
      </c>
      <c r="F47" s="521"/>
      <c r="G47" s="521"/>
      <c r="I47" s="181" t="n">
        <f aca="false">I46+1</f>
        <v>212</v>
      </c>
      <c r="J47" s="0" t="n">
        <v>12</v>
      </c>
      <c r="K47" s="181" t="n">
        <v>36.67</v>
      </c>
      <c r="L47" s="0" t="n">
        <f aca="false">23.45*SIN((2*3.1416/365*(I47+284)))</f>
        <v>18.1707348119245</v>
      </c>
      <c r="M47" s="0" t="n">
        <f aca="false">2/15*ACOS(-TAN(3.1416/180*K47)*TAN(3.1416/180*23.45*SIN((2*3.1416/365*(I47+284)))))/3.1416*180</f>
        <v>13.8859924795492</v>
      </c>
      <c r="N47" s="0" t="n">
        <f aca="false">2084 * EXP(-0.174353387144778 / SIN(ATAN((--COS(K47 * 3.1416 / 180) * SIN((J47 - 6) * 3.1416/12) * COS(23.45*SIN((2*3.1416/365*(I47+284)))* 3.1416 / 180) + SIN(K47 * 3.1416 / 180) * SIN(23.45*SIN((2*3.1416/365*(I47+284)))* 3.1416 / 180))/(((COS((J47 - 6) * 3.1416/12) * COS(23.45*SIN((2*3.1416/365*(I47+284)))* 3.1416 / 180))^2+(-SIN(K47 * 3.1416 / 180) * SIN((J47 - 6) * 3.1416/12) * COS(23.45*SIN((2*3.1416/365*(I47+284)))* 3.1416 / 180) - -COS(K47 * 3.1416 / 180) * SIN(23.45*SIN((2*3.1416/365*(I47+284)))* 3.1416 / 180))^2)^0.5))))*(0.1+SIN(ATAN((--COS(K47 * 3.1416 / 180) * SIN((J47 - 6) * 3.1416/12) * COS(23.45*SIN((2*3.1416/365*(I47+284)))* 3.1416 / 180) + SIN(K47 * 3.1416 / 180) * SIN(23.45*SIN((2*3.1416/365*(I47+284)))* 3.1416 / 180))/(((COS((J47 - 6) * 3.1416/12) * COS(23.45*SIN((2*3.1416/365*(I47+284)))* 3.1416 / 180))^2+(-SIN(K47 * 3.1416 / 180) * SIN((J47 - 6) * 3.1416/12) * COS(23.45*SIN((2*3.1416/365*(I47+284)))* 3.1416 / 180) - -COS(K47 * 3.1416 / 180) * SIN(23.45*SIN((2*3.1416/365*(I47+284)))* 3.1416 / 180))^2)^0.5))))</f>
        <v>1817.80837056737</v>
      </c>
      <c r="O47" s="0" t="n">
        <f aca="false">IF(K47&gt;=15,(0.00000000010508*K47^4 - 0.000000017492*K47^3 + 0.0000012363*K47^2 - 0.000044163*K47 + 0.0008144)*N47^2+( -0.000000028*K47^4 + 0.000013654*K47^3 - 0.0019426*K47^2 + 0.11006*K47 - 2.0905)*N47+0.000087115*K47^4 - 0.024852*K47^3 + 2.6437*K47^2 - 124.35*K47 + 2183.8,N47*0.3835-146.8)</f>
        <v>641.520983873992</v>
      </c>
      <c r="P47" s="0" t="n">
        <f aca="false">O47/2.02</f>
        <v>317.584645482174</v>
      </c>
      <c r="Q47" s="0" t="n">
        <v>63.4883363785282</v>
      </c>
      <c r="R47" s="0" t="n">
        <f aca="false">(198.58*(1/(2/15*ACOS(-TAN(3.1416/180*K47)*TAN(3.1416/180*23.45*SIN((2*3.1416/365*(I47+284)))))/3.1416*180))^2+5.0551/(2/15*ACOS(-TAN(3.1416/180*K47)*TAN(3.1416/180*23.45*SIN((2*3.1416/365*(I47+284)))))/3.1416*180)+1.49)*P47*2.02</f>
        <v>1850.08963624398</v>
      </c>
    </row>
    <row r="48" customFormat="false" ht="15.75" hidden="false" customHeight="false" outlineLevel="0" collapsed="false">
      <c r="I48" s="181" t="n">
        <f aca="false">I47+1</f>
        <v>213</v>
      </c>
      <c r="J48" s="0" t="n">
        <v>12</v>
      </c>
      <c r="K48" s="181" t="n">
        <v>36.67</v>
      </c>
      <c r="L48" s="0" t="n">
        <f aca="false">23.45*SIN((2*3.1416/365*(I48+284)))</f>
        <v>17.9128852014108</v>
      </c>
      <c r="M48" s="0" t="n">
        <f aca="false">2/15*ACOS(-TAN(3.1416/180*K48)*TAN(3.1416/180*23.45*SIN((2*3.1416/365*(I48+284)))))/3.1416*180</f>
        <v>13.8568070266579</v>
      </c>
      <c r="N48" s="0" t="n">
        <f aca="false">2084 * EXP(-0.174353387144778 / SIN(ATAN((--COS(K48 * 3.1416 / 180) * SIN((J48 - 6) * 3.1416/12) * COS(23.45*SIN((2*3.1416/365*(I48+284)))* 3.1416 / 180) + SIN(K48 * 3.1416 / 180) * SIN(23.45*SIN((2*3.1416/365*(I48+284)))* 3.1416 / 180))/(((COS((J48 - 6) * 3.1416/12) * COS(23.45*SIN((2*3.1416/365*(I48+284)))* 3.1416 / 180))^2+(-SIN(K48 * 3.1416 / 180) * SIN((J48 - 6) * 3.1416/12) * COS(23.45*SIN((2*3.1416/365*(I48+284)))* 3.1416 / 180) - -COS(K48 * 3.1416 / 180) * SIN(23.45*SIN((2*3.1416/365*(I48+284)))* 3.1416 / 180))^2)^0.5))))*(0.1+SIN(ATAN((--COS(K48 * 3.1416 / 180) * SIN((J48 - 6) * 3.1416/12) * COS(23.45*SIN((2*3.1416/365*(I48+284)))* 3.1416 / 180) + SIN(K48 * 3.1416 / 180) * SIN(23.45*SIN((2*3.1416/365*(I48+284)))* 3.1416 / 180))/(((COS((J48 - 6) * 3.1416/12) * COS(23.45*SIN((2*3.1416/365*(I48+284)))* 3.1416 / 180))^2+(-SIN(K48 * 3.1416 / 180) * SIN((J48 - 6) * 3.1416/12) * COS(23.45*SIN((2*3.1416/365*(I48+284)))* 3.1416 / 180) - -COS(K48 * 3.1416 / 180) * SIN(23.45*SIN((2*3.1416/365*(I48+284)))* 3.1416 / 180))^2)^0.5))))</f>
        <v>1814.80907548987</v>
      </c>
      <c r="O48" s="0" t="n">
        <f aca="false">IF(K48&gt;=15,(0.00000000010508*K48^4 - 0.000000017492*K48^3 + 0.0000012363*K48^2 - 0.000044163*K48 + 0.0008144)*N48^2+( -0.000000028*K48^4 + 0.000013654*K48^3 - 0.0019426*K48^2 + 0.11006*K48 - 2.0905)*N48+0.000087115*K48^4 - 0.024852*K48^3 + 2.6437*K48^2 - 124.35*K48 + 2183.8,N48*0.3835-146.8)</f>
        <v>639.639287689563</v>
      </c>
      <c r="P48" s="0" t="n">
        <f aca="false">O48/2.02</f>
        <v>316.653112717605</v>
      </c>
      <c r="Q48" s="0" t="n">
        <v>111.771535565776</v>
      </c>
      <c r="R48" s="0" t="n">
        <f aca="false">(198.58*(1/(2/15*ACOS(-TAN(3.1416/180*K48)*TAN(3.1416/180*23.45*SIN((2*3.1416/365*(I48+284)))))/3.1416*180))^2+5.0551/(2/15*ACOS(-TAN(3.1416/180*K48)*TAN(3.1416/180*23.45*SIN((2*3.1416/365*(I48+284)))))/3.1416*180)+1.49)*P48*2.02</f>
        <v>1847.93127694489</v>
      </c>
    </row>
    <row r="49" customFormat="false" ht="15.75" hidden="false" customHeight="false" outlineLevel="0" collapsed="false">
      <c r="I49" s="181" t="n">
        <f aca="false">I48+1</f>
        <v>214</v>
      </c>
      <c r="J49" s="0" t="n">
        <v>12</v>
      </c>
      <c r="K49" s="181" t="n">
        <v>36.67</v>
      </c>
      <c r="L49" s="0" t="n">
        <f aca="false">23.45*SIN((2*3.1416/365*(I49+284)))</f>
        <v>17.6497275915959</v>
      </c>
      <c r="M49" s="0" t="n">
        <f aca="false">2/15*ACOS(-TAN(3.1416/180*K49)*TAN(3.1416/180*23.45*SIN((2*3.1416/365*(I49+284)))))/3.1416*180</f>
        <v>13.8271365382159</v>
      </c>
      <c r="N49" s="0" t="n">
        <f aca="false">2084 * EXP(-0.174353387144778 / SIN(ATAN((--COS(K49 * 3.1416 / 180) * SIN((J49 - 6) * 3.1416/12) * COS(23.45*SIN((2*3.1416/365*(I49+284)))* 3.1416 / 180) + SIN(K49 * 3.1416 / 180) * SIN(23.45*SIN((2*3.1416/365*(I49+284)))* 3.1416 / 180))/(((COS((J49 - 6) * 3.1416/12) * COS(23.45*SIN((2*3.1416/365*(I49+284)))* 3.1416 / 180))^2+(-SIN(K49 * 3.1416 / 180) * SIN((J49 - 6) * 3.1416/12) * COS(23.45*SIN((2*3.1416/365*(I49+284)))* 3.1416 / 180) - -COS(K49 * 3.1416 / 180) * SIN(23.45*SIN((2*3.1416/365*(I49+284)))* 3.1416 / 180))^2)^0.5))))*(0.1+SIN(ATAN((--COS(K49 * 3.1416 / 180) * SIN((J49 - 6) * 3.1416/12) * COS(23.45*SIN((2*3.1416/365*(I49+284)))* 3.1416 / 180) + SIN(K49 * 3.1416 / 180) * SIN(23.45*SIN((2*3.1416/365*(I49+284)))* 3.1416 / 180))/(((COS((J49 - 6) * 3.1416/12) * COS(23.45*SIN((2*3.1416/365*(I49+284)))* 3.1416 / 180))^2+(-SIN(K49 * 3.1416 / 180) * SIN((J49 - 6) * 3.1416/12) * COS(23.45*SIN((2*3.1416/365*(I49+284)))* 3.1416 / 180) - -COS(K49 * 3.1416 / 180) * SIN(23.45*SIN((2*3.1416/365*(I49+284)))* 3.1416 / 180))^2)^0.5))))</f>
        <v>1811.70677663592</v>
      </c>
      <c r="O49" s="0" t="n">
        <f aca="false">IF(K49&gt;=15,(0.00000000010508*K49^4 - 0.000000017492*K49^3 + 0.0000012363*K49^2 - 0.000044163*K49 + 0.0008144)*N49^2+( -0.000000028*K49^4 + 0.000013654*K49^3 - 0.0019426*K49^2 + 0.11006*K49 - 2.0905)*N49+0.000087115*K49^4 - 0.024852*K49^3 + 2.6437*K49^2 - 124.35*K49 + 2183.8,N49*0.3835-146.8)</f>
        <v>637.696468260203</v>
      </c>
      <c r="P49" s="0" t="n">
        <f aca="false">O49/2.02</f>
        <v>315.691320920892</v>
      </c>
      <c r="Q49" s="0" t="n">
        <v>126.459252142137</v>
      </c>
      <c r="R49" s="0" t="n">
        <f aca="false">(198.58*(1/(2/15*ACOS(-TAN(3.1416/180*K49)*TAN(3.1416/180*23.45*SIN((2*3.1416/365*(I49+284)))))/3.1416*180))^2+5.0551/(2/15*ACOS(-TAN(3.1416/180*K49)*TAN(3.1416/180*23.45*SIN((2*3.1416/365*(I49+284)))))/3.1416*180)+1.49)*P49*2.02</f>
        <v>1845.65105165802</v>
      </c>
    </row>
    <row r="50" customFormat="false" ht="21" hidden="false" customHeight="false" outlineLevel="0" collapsed="false">
      <c r="B50" s="505" t="s">
        <v>431</v>
      </c>
      <c r="C50" s="505" t="s">
        <v>1798</v>
      </c>
      <c r="D50" s="505" t="s">
        <v>1787</v>
      </c>
      <c r="I50" s="181" t="n">
        <f aca="false">I49+1</f>
        <v>215</v>
      </c>
      <c r="J50" s="0" t="n">
        <v>12</v>
      </c>
      <c r="K50" s="181" t="n">
        <v>36.67</v>
      </c>
      <c r="L50" s="0" t="n">
        <f aca="false">23.45*SIN((2*3.1416/365*(I50+284)))</f>
        <v>17.381339962124</v>
      </c>
      <c r="M50" s="0" t="n">
        <f aca="false">2/15*ACOS(-TAN(3.1416/180*K50)*TAN(3.1416/180*23.45*SIN((2*3.1416/365*(I50+284)))))/3.1416*180</f>
        <v>13.7969943407863</v>
      </c>
      <c r="N50" s="0" t="n">
        <f aca="false">2084 * EXP(-0.174353387144778 / SIN(ATAN((--COS(K50 * 3.1416 / 180) * SIN((J50 - 6) * 3.1416/12) * COS(23.45*SIN((2*3.1416/365*(I50+284)))* 3.1416 / 180) + SIN(K50 * 3.1416 / 180) * SIN(23.45*SIN((2*3.1416/365*(I50+284)))* 3.1416 / 180))/(((COS((J50 - 6) * 3.1416/12) * COS(23.45*SIN((2*3.1416/365*(I50+284)))* 3.1416 / 180))^2+(-SIN(K50 * 3.1416 / 180) * SIN((J50 - 6) * 3.1416/12) * COS(23.45*SIN((2*3.1416/365*(I50+284)))* 3.1416 / 180) - -COS(K50 * 3.1416 / 180) * SIN(23.45*SIN((2*3.1416/365*(I50+284)))* 3.1416 / 180))^2)^0.5))))*(0.1+SIN(ATAN((--COS(K50 * 3.1416 / 180) * SIN((J50 - 6) * 3.1416/12) * COS(23.45*SIN((2*3.1416/365*(I50+284)))* 3.1416 / 180) + SIN(K50 * 3.1416 / 180) * SIN(23.45*SIN((2*3.1416/365*(I50+284)))* 3.1416 / 180))/(((COS((J50 - 6) * 3.1416/12) * COS(23.45*SIN((2*3.1416/365*(I50+284)))* 3.1416 / 180))^2+(-SIN(K50 * 3.1416 / 180) * SIN((J50 - 6) * 3.1416/12) * COS(23.45*SIN((2*3.1416/365*(I50+284)))* 3.1416 / 180) - -COS(K50 * 3.1416 / 180) * SIN(23.45*SIN((2*3.1416/365*(I50+284)))* 3.1416 / 180))^2)^0.5))))</f>
        <v>1808.49995701976</v>
      </c>
      <c r="O50" s="0" t="n">
        <f aca="false">IF(K50&gt;=15,(0.00000000010508*K50^4 - 0.000000017492*K50^3 + 0.0000012363*K50^2 - 0.000044163*K50 + 0.0008144)*N50^2+( -0.000000028*K50^4 + 0.000013654*K50^3 - 0.0019426*K50^2 + 0.11006*K50 - 2.0905)*N50+0.000087115*K50^4 - 0.024852*K50^3 + 2.6437*K50^2 - 124.35*K50 + 2183.8,N50*0.3835-146.8)</f>
        <v>635.691932669953</v>
      </c>
      <c r="P50" s="0" t="n">
        <f aca="false">O50/2.02</f>
        <v>314.698976569283</v>
      </c>
      <c r="Q50" s="0" t="n">
        <v>119.820792905746</v>
      </c>
      <c r="R50" s="0" t="n">
        <f aca="false">(198.58*(1/(2/15*ACOS(-TAN(3.1416/180*K50)*TAN(3.1416/180*23.45*SIN((2*3.1416/365*(I50+284)))))/3.1416*180))^2+5.0551/(2/15*ACOS(-TAN(3.1416/180*K50)*TAN(3.1416/180*23.45*SIN((2*3.1416/365*(I50+284)))))/3.1416*180)+1.49)*P50*2.02</f>
        <v>1843.24526301511</v>
      </c>
    </row>
    <row r="51" customFormat="false" ht="15.75" hidden="false" customHeight="false" outlineLevel="0" collapsed="false">
      <c r="B51" s="0" t="n">
        <v>182</v>
      </c>
      <c r="C51" s="0" t="n">
        <v>25.92</v>
      </c>
      <c r="D51" s="0" t="n">
        <f aca="false">C51*219.4/(7.64+2.18*COS((B51+10)/365*3.1416*2+3.1416))*10000/3600</f>
        <v>1613.41506616163</v>
      </c>
      <c r="I51" s="181" t="n">
        <f aca="false">I50+1</f>
        <v>216</v>
      </c>
      <c r="J51" s="0" t="n">
        <v>12</v>
      </c>
      <c r="K51" s="181" t="n">
        <v>36.67</v>
      </c>
      <c r="L51" s="0" t="n">
        <f aca="false">23.45*SIN((2*3.1416/365*(I51+284)))</f>
        <v>17.1078018424137</v>
      </c>
      <c r="M51" s="0" t="n">
        <f aca="false">2/15*ACOS(-TAN(3.1416/180*K51)*TAN(3.1416/180*23.45*SIN((2*3.1416/365*(I51+284)))))/3.1416*180</f>
        <v>13.766393679505</v>
      </c>
      <c r="N51" s="0" t="n">
        <f aca="false">2084 * EXP(-0.174353387144778 / SIN(ATAN((--COS(K51 * 3.1416 / 180) * SIN((J51 - 6) * 3.1416/12) * COS(23.45*SIN((2*3.1416/365*(I51+284)))* 3.1416 / 180) + SIN(K51 * 3.1416 / 180) * SIN(23.45*SIN((2*3.1416/365*(I51+284)))* 3.1416 / 180))/(((COS((J51 - 6) * 3.1416/12) * COS(23.45*SIN((2*3.1416/365*(I51+284)))* 3.1416 / 180))^2+(-SIN(K51 * 3.1416 / 180) * SIN((J51 - 6) * 3.1416/12) * COS(23.45*SIN((2*3.1416/365*(I51+284)))* 3.1416 / 180) - -COS(K51 * 3.1416 / 180) * SIN(23.45*SIN((2*3.1416/365*(I51+284)))* 3.1416 / 180))^2)^0.5))))*(0.1+SIN(ATAN((--COS(K51 * 3.1416 / 180) * SIN((J51 - 6) * 3.1416/12) * COS(23.45*SIN((2*3.1416/365*(I51+284)))* 3.1416 / 180) + SIN(K51 * 3.1416 / 180) * SIN(23.45*SIN((2*3.1416/365*(I51+284)))* 3.1416 / 180))/(((COS((J51 - 6) * 3.1416/12) * COS(23.45*SIN((2*3.1416/365*(I51+284)))* 3.1416 / 180))^2+(-SIN(K51 * 3.1416 / 180) * SIN((J51 - 6) * 3.1416/12) * COS(23.45*SIN((2*3.1416/365*(I51+284)))* 3.1416 / 180) - -COS(K51 * 3.1416 / 180) * SIN(23.45*SIN((2*3.1416/365*(I51+284)))* 3.1416 / 180))^2)^0.5))))</f>
        <v>1805.18712794854</v>
      </c>
      <c r="O51" s="0" t="n">
        <f aca="false">IF(K51&gt;=15,(0.00000000010508*K51^4 - 0.000000017492*K51^3 + 0.0000012363*K51^2 - 0.000044163*K51 + 0.0008144)*N51^2+( -0.000000028*K51^4 + 0.000013654*K51^3 - 0.0019426*K51^2 + 0.11006*K51 - 2.0905)*N51+0.000087115*K51^4 - 0.024852*K51^3 + 2.6437*K51^2 - 124.35*K51 + 2183.8,N51*0.3835-146.8)</f>
        <v>633.625124831964</v>
      </c>
      <c r="P51" s="0" t="n">
        <f aca="false">O51/2.02</f>
        <v>313.675804372259</v>
      </c>
      <c r="Q51" s="0" t="n">
        <v>123.998590284778</v>
      </c>
      <c r="R51" s="0" t="n">
        <f aca="false">(198.58*(1/(2/15*ACOS(-TAN(3.1416/180*K51)*TAN(3.1416/180*23.45*SIN((2*3.1416/365*(I51+284)))))/3.1416*180))^2+5.0551/(2/15*ACOS(-TAN(3.1416/180*K51)*TAN(3.1416/180*23.45*SIN((2*3.1416/365*(I51+284)))))/3.1416*180)+1.49)*P51*2.02</f>
        <v>1840.71027556903</v>
      </c>
    </row>
    <row r="52" customFormat="false" ht="15.75" hidden="false" customHeight="false" outlineLevel="0" collapsed="false">
      <c r="B52" s="0" t="n">
        <v>182</v>
      </c>
      <c r="C52" s="0" t="n">
        <v>25.92</v>
      </c>
      <c r="D52" s="0" t="n">
        <f aca="false">C52*219.4/(7.64+2.18*COS((B52+11)/365*3.1416*2+3.1416))*10000/3600</f>
        <v>1614.4751133061</v>
      </c>
      <c r="F52" s="272"/>
      <c r="G52" s="272"/>
      <c r="I52" s="181" t="n">
        <f aca="false">I51+1</f>
        <v>217</v>
      </c>
      <c r="J52" s="0" t="n">
        <v>12</v>
      </c>
      <c r="K52" s="181" t="n">
        <v>36.67</v>
      </c>
      <c r="L52" s="0" t="n">
        <f aca="false">23.45*SIN((2*3.1416/365*(I52+284)))</f>
        <v>16.8291942880926</v>
      </c>
      <c r="M52" s="0" t="n">
        <f aca="false">2/15*ACOS(-TAN(3.1416/180*K52)*TAN(3.1416/180*23.45*SIN((2*3.1416/365*(I52+284)))))/3.1416*180</f>
        <v>13.7353477050754</v>
      </c>
      <c r="N52" s="0" t="n">
        <f aca="false">2084 * EXP(-0.174353387144778 / SIN(ATAN((--COS(K52 * 3.1416 / 180) * SIN((J52 - 6) * 3.1416/12) * COS(23.45*SIN((2*3.1416/365*(I52+284)))* 3.1416 / 180) + SIN(K52 * 3.1416 / 180) * SIN(23.45*SIN((2*3.1416/365*(I52+284)))* 3.1416 / 180))/(((COS((J52 - 6) * 3.1416/12) * COS(23.45*SIN((2*3.1416/365*(I52+284)))* 3.1416 / 180))^2+(-SIN(K52 * 3.1416 / 180) * SIN((J52 - 6) * 3.1416/12) * COS(23.45*SIN((2*3.1416/365*(I52+284)))* 3.1416 / 180) - -COS(K52 * 3.1416 / 180) * SIN(23.45*SIN((2*3.1416/365*(I52+284)))* 3.1416 / 180))^2)^0.5))))*(0.1+SIN(ATAN((--COS(K52 * 3.1416 / 180) * SIN((J52 - 6) * 3.1416/12) * COS(23.45*SIN((2*3.1416/365*(I52+284)))* 3.1416 / 180) + SIN(K52 * 3.1416 / 180) * SIN(23.45*SIN((2*3.1416/365*(I52+284)))* 3.1416 / 180))/(((COS((J52 - 6) * 3.1416/12) * COS(23.45*SIN((2*3.1416/365*(I52+284)))* 3.1416 / 180))^2+(-SIN(K52 * 3.1416 / 180) * SIN((J52 - 6) * 3.1416/12) * COS(23.45*SIN((2*3.1416/365*(I52+284)))* 3.1416 / 180) - -COS(K52 * 3.1416 / 180) * SIN(23.45*SIN((2*3.1416/365*(I52+284)))* 3.1416 / 180))^2)^0.5))))</f>
        <v>1801.7668328248</v>
      </c>
      <c r="O52" s="0" t="n">
        <f aca="false">IF(K52&gt;=15,(0.00000000010508*K52^4 - 0.000000017492*K52^3 + 0.0000012363*K52^2 - 0.000044163*K52 + 0.0008144)*N52^2+( -0.000000028*K52^4 + 0.000013654*K52^3 - 0.0019426*K52^2 + 0.11006*K52 - 2.0905)*N52+0.000087115*K52^4 - 0.024852*K52^3 + 2.6437*K52^2 - 124.35*K52 + 2183.8,N52*0.3835-146.8)</f>
        <v>631.495528265208</v>
      </c>
      <c r="P52" s="0" t="n">
        <f aca="false">O52/2.02</f>
        <v>312.621548646143</v>
      </c>
      <c r="Q52" s="0" t="n">
        <v>76.4861912881174</v>
      </c>
      <c r="R52" s="0" t="n">
        <f aca="false">(198.58*(1/(2/15*ACOS(-TAN(3.1416/180*K52)*TAN(3.1416/180*23.45*SIN((2*3.1416/365*(I52+284)))))/3.1416*180))^2+5.0551/(2/15*ACOS(-TAN(3.1416/180*K52)*TAN(3.1416/180*23.45*SIN((2*3.1416/365*(I52+284)))))/3.1416*180)+1.49)*P52*2.02</f>
        <v>1838.0425249582</v>
      </c>
    </row>
    <row r="53" customFormat="false" ht="15.75" hidden="false" customHeight="false" outlineLevel="0" collapsed="false">
      <c r="I53" s="181" t="n">
        <f aca="false">I52+1</f>
        <v>218</v>
      </c>
      <c r="J53" s="0" t="n">
        <v>12</v>
      </c>
      <c r="K53" s="181" t="n">
        <v>36.67</v>
      </c>
      <c r="L53" s="0" t="n">
        <f aca="false">23.45*SIN((2*3.1416/365*(I53+284)))</f>
        <v>16.5455998569777</v>
      </c>
      <c r="M53" s="0" t="n">
        <f aca="false">2/15*ACOS(-TAN(3.1416/180*K53)*TAN(3.1416/180*23.45*SIN((2*3.1416/365*(I53+284)))))/3.1416*180</f>
        <v>13.7038694616205</v>
      </c>
      <c r="N53" s="0" t="n">
        <f aca="false">2084 * EXP(-0.174353387144778 / SIN(ATAN((--COS(K53 * 3.1416 / 180) * SIN((J53 - 6) * 3.1416/12) * COS(23.45*SIN((2*3.1416/365*(I53+284)))* 3.1416 / 180) + SIN(K53 * 3.1416 / 180) * SIN(23.45*SIN((2*3.1416/365*(I53+284)))* 3.1416 / 180))/(((COS((J53 - 6) * 3.1416/12) * COS(23.45*SIN((2*3.1416/365*(I53+284)))* 3.1416 / 180))^2+(-SIN(K53 * 3.1416 / 180) * SIN((J53 - 6) * 3.1416/12) * COS(23.45*SIN((2*3.1416/365*(I53+284)))* 3.1416 / 180) - -COS(K53 * 3.1416 / 180) * SIN(23.45*SIN((2*3.1416/365*(I53+284)))* 3.1416 / 180))^2)^0.5))))*(0.1+SIN(ATAN((--COS(K53 * 3.1416 / 180) * SIN((J53 - 6) * 3.1416/12) * COS(23.45*SIN((2*3.1416/365*(I53+284)))* 3.1416 / 180) + SIN(K53 * 3.1416 / 180) * SIN(23.45*SIN((2*3.1416/365*(I53+284)))* 3.1416 / 180))/(((COS((J53 - 6) * 3.1416/12) * COS(23.45*SIN((2*3.1416/365*(I53+284)))* 3.1416 / 180))^2+(-SIN(K53 * 3.1416 / 180) * SIN((J53 - 6) * 3.1416/12) * COS(23.45*SIN((2*3.1416/365*(I53+284)))* 3.1416 / 180) - -COS(K53 * 3.1416 / 180) * SIN(23.45*SIN((2*3.1416/365*(I53+284)))* 3.1416 / 180))^2)^0.5))))</f>
        <v>1798.23765093876</v>
      </c>
      <c r="O53" s="0" t="n">
        <f aca="false">IF(K53&gt;=15,(0.00000000010508*K53^4 - 0.000000017492*K53^3 + 0.0000012363*K53^2 - 0.000044163*K53 + 0.0008144)*N53^2+( -0.000000028*K53^4 + 0.000013654*K53^3 - 0.0019426*K53^2 + 0.11006*K53 - 2.0905)*N53+0.000087115*K53^4 - 0.024852*K53^3 + 2.6437*K53^2 - 124.35*K53 + 2183.8,N53*0.3835-146.8)</f>
        <v>629.302668826539</v>
      </c>
      <c r="P53" s="0" t="n">
        <f aca="false">O53/2.02</f>
        <v>311.535974666603</v>
      </c>
      <c r="Q53" s="0" t="n">
        <v>52.5926208496094</v>
      </c>
      <c r="R53" s="0" t="n">
        <f aca="false">(198.58*(1/(2/15*ACOS(-TAN(3.1416/180*K53)*TAN(3.1416/180*23.45*SIN((2*3.1416/365*(I53+284)))))/3.1416*180))^2+5.0551/(2/15*ACOS(-TAN(3.1416/180*K53)*TAN(3.1416/180*23.45*SIN((2*3.1416/365*(I53+284)))))/3.1416*180)+1.49)*P53*2.02</f>
        <v>1835.23852705286</v>
      </c>
    </row>
    <row r="54" customFormat="false" ht="15.75" hidden="false" customHeight="false" outlineLevel="0" collapsed="false">
      <c r="C54" s="0" t="n">
        <f aca="false">D54/86.4*1000</f>
        <v>366.898148148148</v>
      </c>
      <c r="D54" s="0" t="n">
        <v>31.7</v>
      </c>
      <c r="I54" s="181" t="n">
        <f aca="false">I53+1</f>
        <v>219</v>
      </c>
      <c r="J54" s="0" t="n">
        <v>12</v>
      </c>
      <c r="K54" s="181" t="n">
        <v>36.67</v>
      </c>
      <c r="L54" s="0" t="n">
        <f aca="false">23.45*SIN((2*3.1416/365*(I54+284)))</f>
        <v>16.2571025846127</v>
      </c>
      <c r="M54" s="0" t="n">
        <f aca="false">2/15*ACOS(-TAN(3.1416/180*K54)*TAN(3.1416/180*23.45*SIN((2*3.1416/365*(I54+284)))))/3.1416*180</f>
        <v>13.6719718753909</v>
      </c>
      <c r="N54" s="0" t="n">
        <f aca="false">2084 * EXP(-0.174353387144778 / SIN(ATAN((--COS(K54 * 3.1416 / 180) * SIN((J54 - 6) * 3.1416/12) * COS(23.45*SIN((2*3.1416/365*(I54+284)))* 3.1416 / 180) + SIN(K54 * 3.1416 / 180) * SIN(23.45*SIN((2*3.1416/365*(I54+284)))* 3.1416 / 180))/(((COS((J54 - 6) * 3.1416/12) * COS(23.45*SIN((2*3.1416/365*(I54+284)))* 3.1416 / 180))^2+(-SIN(K54 * 3.1416 / 180) * SIN((J54 - 6) * 3.1416/12) * COS(23.45*SIN((2*3.1416/365*(I54+284)))* 3.1416 / 180) - -COS(K54 * 3.1416 / 180) * SIN(23.45*SIN((2*3.1416/365*(I54+284)))* 3.1416 / 180))^2)^0.5))))*(0.1+SIN(ATAN((--COS(K54 * 3.1416 / 180) * SIN((J54 - 6) * 3.1416/12) * COS(23.45*SIN((2*3.1416/365*(I54+284)))* 3.1416 / 180) + SIN(K54 * 3.1416 / 180) * SIN(23.45*SIN((2*3.1416/365*(I54+284)))* 3.1416 / 180))/(((COS((J54 - 6) * 3.1416/12) * COS(23.45*SIN((2*3.1416/365*(I54+284)))* 3.1416 / 180))^2+(-SIN(K54 * 3.1416 / 180) * SIN((J54 - 6) * 3.1416/12) * COS(23.45*SIN((2*3.1416/365*(I54+284)))* 3.1416 / 180) - -COS(K54 * 3.1416 / 180) * SIN(23.45*SIN((2*3.1416/365*(I54+284)))* 3.1416 / 180))^2)^0.5))))</f>
        <v>1794.59820124424</v>
      </c>
      <c r="O54" s="0" t="n">
        <f aca="false">IF(K54&gt;=15,(0.00000000010508*K54^4 - 0.000000017492*K54^3 + 0.0000012363*K54^2 - 0.000044163*K54 + 0.0008144)*N54^2+( -0.000000028*K54^4 + 0.000013654*K54^3 - 0.0019426*K54^2 + 0.11006*K54 - 2.0905)*N54+0.000087115*K54^4 - 0.024852*K54^3 + 2.6437*K54^2 - 124.35*K54 + 2183.8,N54*0.3835-146.8)</f>
        <v>627.046117390501</v>
      </c>
      <c r="P54" s="0" t="n">
        <f aca="false">O54/2.02</f>
        <v>310.418869995298</v>
      </c>
      <c r="Q54" s="0" t="n">
        <v>36.1342399351058</v>
      </c>
      <c r="R54" s="0" t="n">
        <f aca="false">(198.58*(1/(2/15*ACOS(-TAN(3.1416/180*K54)*TAN(3.1416/180*23.45*SIN((2*3.1416/365*(I54+284)))))/3.1416*180))^2+5.0551/(2/15*ACOS(-TAN(3.1416/180*K54)*TAN(3.1416/180*23.45*SIN((2*3.1416/365*(I54+284)))))/3.1416*180)+1.49)*P54*2.02</f>
        <v>1832.2948870637</v>
      </c>
    </row>
    <row r="55" customFormat="false" ht="15.75" hidden="false" customHeight="false" outlineLevel="0" collapsed="false">
      <c r="I55" s="181" t="n">
        <f aca="false">I54+1</f>
        <v>220</v>
      </c>
      <c r="J55" s="0" t="n">
        <v>12</v>
      </c>
      <c r="K55" s="181" t="n">
        <v>36.67</v>
      </c>
      <c r="L55" s="0" t="n">
        <f aca="false">23.45*SIN((2*3.1416/365*(I55+284)))</f>
        <v>15.9637879593653</v>
      </c>
      <c r="M55" s="0" t="n">
        <f aca="false">2/15*ACOS(-TAN(3.1416/180*K55)*TAN(3.1416/180*23.45*SIN((2*3.1416/365*(I55+284)))))/3.1416*180</f>
        <v>13.6396677443306</v>
      </c>
      <c r="N55" s="0" t="n">
        <f aca="false">2084 * EXP(-0.174353387144778 / SIN(ATAN((--COS(K55 * 3.1416 / 180) * SIN((J55 - 6) * 3.1416/12) * COS(23.45*SIN((2*3.1416/365*(I55+284)))* 3.1416 / 180) + SIN(K55 * 3.1416 / 180) * SIN(23.45*SIN((2*3.1416/365*(I55+284)))* 3.1416 / 180))/(((COS((J55 - 6) * 3.1416/12) * COS(23.45*SIN((2*3.1416/365*(I55+284)))* 3.1416 / 180))^2+(-SIN(K55 * 3.1416 / 180) * SIN((J55 - 6) * 3.1416/12) * COS(23.45*SIN((2*3.1416/365*(I55+284)))* 3.1416 / 180) - -COS(K55 * 3.1416 / 180) * SIN(23.45*SIN((2*3.1416/365*(I55+284)))* 3.1416 / 180))^2)^0.5))))*(0.1+SIN(ATAN((--COS(K55 * 3.1416 / 180) * SIN((J55 - 6) * 3.1416/12) * COS(23.45*SIN((2*3.1416/365*(I55+284)))* 3.1416 / 180) + SIN(K55 * 3.1416 / 180) * SIN(23.45*SIN((2*3.1416/365*(I55+284)))* 3.1416 / 180))/(((COS((J55 - 6) * 3.1416/12) * COS(23.45*SIN((2*3.1416/365*(I55+284)))* 3.1416 / 180))^2+(-SIN(K55 * 3.1416 / 180) * SIN((J55 - 6) * 3.1416/12) * COS(23.45*SIN((2*3.1416/365*(I55+284)))* 3.1416 / 180) - -COS(K55 * 3.1416 / 180) * SIN(23.45*SIN((2*3.1416/365*(I55+284)))* 3.1416 / 180))^2)^0.5))))</f>
        <v>1790.8471461117</v>
      </c>
      <c r="O55" s="0" t="n">
        <f aca="false">IF(K55&gt;=15,(0.00000000010508*K55^4 - 0.000000017492*K55^3 + 0.0000012363*K55^2 - 0.000044163*K55 + 0.0008144)*N55^2+( -0.000000028*K55^4 + 0.000013654*K55^3 - 0.0019426*K55^2 + 0.11006*K55 - 2.0905)*N55+0.000087115*K55^4 - 0.024852*K55^3 + 2.6437*K55^2 - 124.35*K55 + 2183.8,N55*0.3835-146.8)</f>
        <v>624.725492469243</v>
      </c>
      <c r="P55" s="0" t="n">
        <f aca="false">O55/2.02</f>
        <v>309.270045776853</v>
      </c>
      <c r="Q55" s="0" t="n">
        <v>154.633572486139</v>
      </c>
      <c r="R55" s="0" t="n">
        <f aca="false">(198.58*(1/(2/15*ACOS(-TAN(3.1416/180*K55)*TAN(3.1416/180*23.45*SIN((2*3.1416/365*(I55+284)))))/3.1416*180))^2+5.0551/(2/15*ACOS(-TAN(3.1416/180*K55)*TAN(3.1416/180*23.45*SIN((2*3.1416/365*(I55+284)))))/3.1416*180)+1.49)*P55*2.02</f>
        <v>1829.20830859236</v>
      </c>
    </row>
    <row r="56" customFormat="false" ht="15.75" hidden="false" customHeight="false" outlineLevel="0" collapsed="false">
      <c r="B56" s="522" t="s">
        <v>1818</v>
      </c>
      <c r="C56" s="522" t="s">
        <v>1819</v>
      </c>
      <c r="D56" s="522" t="s">
        <v>1820</v>
      </c>
      <c r="E56" s="522" t="s">
        <v>1821</v>
      </c>
      <c r="I56" s="181" t="n">
        <f aca="false">I55+1</f>
        <v>221</v>
      </c>
      <c r="J56" s="0" t="n">
        <v>12</v>
      </c>
      <c r="K56" s="181" t="n">
        <v>36.67</v>
      </c>
      <c r="L56" s="0" t="n">
        <f aca="false">23.45*SIN((2*3.1416/365*(I56+284)))</f>
        <v>15.6657428970958</v>
      </c>
      <c r="M56" s="0" t="n">
        <f aca="false">2/15*ACOS(-TAN(3.1416/180*K56)*TAN(3.1416/180*23.45*SIN((2*3.1416/365*(I56+284)))))/3.1416*180</f>
        <v>13.6069697284949</v>
      </c>
      <c r="N56" s="0" t="n">
        <f aca="false">2084 * EXP(-0.174353387144778 / SIN(ATAN((--COS(K56 * 3.1416 / 180) * SIN((J56 - 6) * 3.1416/12) * COS(23.45*SIN((2*3.1416/365*(I56+284)))* 3.1416 / 180) + SIN(K56 * 3.1416 / 180) * SIN(23.45*SIN((2*3.1416/365*(I56+284)))* 3.1416 / 180))/(((COS((J56 - 6) * 3.1416/12) * COS(23.45*SIN((2*3.1416/365*(I56+284)))* 3.1416 / 180))^2+(-SIN(K56 * 3.1416 / 180) * SIN((J56 - 6) * 3.1416/12) * COS(23.45*SIN((2*3.1416/365*(I56+284)))* 3.1416 / 180) - -COS(K56 * 3.1416 / 180) * SIN(23.45*SIN((2*3.1416/365*(I56+284)))* 3.1416 / 180))^2)^0.5))))*(0.1+SIN(ATAN((--COS(K56 * 3.1416 / 180) * SIN((J56 - 6) * 3.1416/12) * COS(23.45*SIN((2*3.1416/365*(I56+284)))* 3.1416 / 180) + SIN(K56 * 3.1416 / 180) * SIN(23.45*SIN((2*3.1416/365*(I56+284)))* 3.1416 / 180))/(((COS((J56 - 6) * 3.1416/12) * COS(23.45*SIN((2*3.1416/365*(I56+284)))* 3.1416 / 180))^2+(-SIN(K56 * 3.1416 / 180) * SIN((J56 - 6) * 3.1416/12) * COS(23.45*SIN((2*3.1416/365*(I56+284)))* 3.1416 / 180) - -COS(K56 * 3.1416 / 180) * SIN(23.45*SIN((2*3.1416/365*(I56+284)))* 3.1416 / 180))^2)^0.5))))</f>
        <v>1786.98319505218</v>
      </c>
      <c r="O56" s="0" t="n">
        <f aca="false">IF(K56&gt;=15,(0.00000000010508*K56^4 - 0.000000017492*K56^3 + 0.0000012363*K56^2 - 0.000044163*K56 + 0.0008144)*N56^2+( -0.000000028*K56^4 + 0.000013654*K56^3 - 0.0019426*K56^2 + 0.11006*K56 - 2.0905)*N56+0.000087115*K56^4 - 0.024852*K56^3 + 2.6437*K56^2 - 124.35*K56 + 2183.8,N56*0.3835-146.8)</f>
        <v>622.340462764874</v>
      </c>
      <c r="P56" s="0" t="n">
        <f aca="false">O56/2.02</f>
        <v>308.089338002413</v>
      </c>
      <c r="Q56" s="0" t="n">
        <v>160.735168457031</v>
      </c>
      <c r="R56" s="0" t="n">
        <f aca="false">(198.58*(1/(2/15*ACOS(-TAN(3.1416/180*K56)*TAN(3.1416/180*23.45*SIN((2*3.1416/365*(I56+284)))))/3.1416*180))^2+5.0551/(2/15*ACOS(-TAN(3.1416/180*K56)*TAN(3.1416/180*23.45*SIN((2*3.1416/365*(I56+284)))))/3.1416*180)+1.49)*P56*2.02</f>
        <v>1825.97560260317</v>
      </c>
    </row>
    <row r="57" customFormat="false" ht="15.75" hidden="false" customHeight="false" outlineLevel="0" collapsed="false">
      <c r="B57" s="0" t="n">
        <v>0</v>
      </c>
      <c r="C57" s="0" t="n">
        <f aca="false">B57*2.11</f>
        <v>0</v>
      </c>
      <c r="D57" s="0" t="n">
        <f aca="false">C57*10000/1000000*277.78</f>
        <v>0</v>
      </c>
      <c r="E57" s="0" t="n">
        <f aca="false">D57*2.02</f>
        <v>0</v>
      </c>
      <c r="I57" s="181" t="n">
        <f aca="false">I56+1</f>
        <v>222</v>
      </c>
      <c r="J57" s="0" t="n">
        <v>12</v>
      </c>
      <c r="K57" s="181" t="n">
        <v>36.67</v>
      </c>
      <c r="L57" s="0" t="n">
        <f aca="false">23.45*SIN((2*3.1416/365*(I57+284)))</f>
        <v>15.3630557154015</v>
      </c>
      <c r="M57" s="0" t="n">
        <f aca="false">2/15*ACOS(-TAN(3.1416/180*K57)*TAN(3.1416/180*23.45*SIN((2*3.1416/365*(I57+284)))))/3.1416*180</f>
        <v>13.5738903413138</v>
      </c>
      <c r="N57" s="0" t="n">
        <f aca="false">2084 * EXP(-0.174353387144778 / SIN(ATAN((--COS(K57 * 3.1416 / 180) * SIN((J57 - 6) * 3.1416/12) * COS(23.45*SIN((2*3.1416/365*(I57+284)))* 3.1416 / 180) + SIN(K57 * 3.1416 / 180) * SIN(23.45*SIN((2*3.1416/365*(I57+284)))* 3.1416 / 180))/(((COS((J57 - 6) * 3.1416/12) * COS(23.45*SIN((2*3.1416/365*(I57+284)))* 3.1416 / 180))^2+(-SIN(K57 * 3.1416 / 180) * SIN((J57 - 6) * 3.1416/12) * COS(23.45*SIN((2*3.1416/365*(I57+284)))* 3.1416 / 180) - -COS(K57 * 3.1416 / 180) * SIN(23.45*SIN((2*3.1416/365*(I57+284)))* 3.1416 / 180))^2)^0.5))))*(0.1+SIN(ATAN((--COS(K57 * 3.1416 / 180) * SIN((J57 - 6) * 3.1416/12) * COS(23.45*SIN((2*3.1416/365*(I57+284)))* 3.1416 / 180) + SIN(K57 * 3.1416 / 180) * SIN(23.45*SIN((2*3.1416/365*(I57+284)))* 3.1416 / 180))/(((COS((J57 - 6) * 3.1416/12) * COS(23.45*SIN((2*3.1416/365*(I57+284)))* 3.1416 / 180))^2+(-SIN(K57 * 3.1416 / 180) * SIN((J57 - 6) * 3.1416/12) * COS(23.45*SIN((2*3.1416/365*(I57+284)))* 3.1416 / 180) - -COS(K57 * 3.1416 / 180) * SIN(23.45*SIN((2*3.1416/365*(I57+284)))* 3.1416 / 180))^2)^0.5))))</f>
        <v>1783.0051084057</v>
      </c>
      <c r="O57" s="0" t="n">
        <f aca="false">IF(K57&gt;=15,(0.00000000010508*K57^4 - 0.000000017492*K57^3 + 0.0000012363*K57^2 - 0.000044163*K57 + 0.0008144)*N57^2+( -0.000000028*K57^4 + 0.000013654*K57^3 - 0.0019426*K57^2 + 0.11006*K57 - 2.0905)*N57+0.000087115*K57^4 - 0.024852*K57^3 + 2.6437*K57^2 - 124.35*K57 + 2183.8,N57*0.3835-146.8)</f>
        <v>619.890749646651</v>
      </c>
      <c r="P57" s="0" t="n">
        <f aca="false">O57/2.02</f>
        <v>306.876608735966</v>
      </c>
      <c r="Q57" s="0" t="n">
        <v>154.232856996597</v>
      </c>
      <c r="R57" s="0" t="n">
        <f aca="false">(198.58*(1/(2/15*ACOS(-TAN(3.1416/180*K57)*TAN(3.1416/180*23.45*SIN((2*3.1416/365*(I57+284)))))/3.1416*180))^2+5.0551/(2/15*ACOS(-TAN(3.1416/180*K57)*TAN(3.1416/180*23.45*SIN((2*3.1416/365*(I57+284)))))/3.1416*180)+1.49)*P57*2.02</f>
        <v>1822.59369629506</v>
      </c>
    </row>
    <row r="58" customFormat="false" ht="15.75" hidden="false" customHeight="false" outlineLevel="0" collapsed="false">
      <c r="B58" s="0" t="n">
        <v>0</v>
      </c>
      <c r="C58" s="0" t="n">
        <f aca="false">B58*2.11</f>
        <v>0</v>
      </c>
      <c r="D58" s="0" t="n">
        <f aca="false">C58*10000/1000000*277.78</f>
        <v>0</v>
      </c>
      <c r="E58" s="0" t="n">
        <f aca="false">D58*2.02</f>
        <v>0</v>
      </c>
      <c r="I58" s="181" t="n">
        <f aca="false">I57+1</f>
        <v>223</v>
      </c>
      <c r="J58" s="0" t="n">
        <v>12</v>
      </c>
      <c r="K58" s="181" t="n">
        <v>36.67</v>
      </c>
      <c r="L58" s="0" t="n">
        <f aca="false">23.45*SIN((2*3.1416/365*(I58+284)))</f>
        <v>15.0558161074463</v>
      </c>
      <c r="M58" s="0" t="n">
        <f aca="false">2/15*ACOS(-TAN(3.1416/180*K58)*TAN(3.1416/180*23.45*SIN((2*3.1416/365*(I58+284)))))/3.1416*180</f>
        <v>13.5404419416912</v>
      </c>
      <c r="N58" s="0" t="n">
        <f aca="false">2084 * EXP(-0.174353387144778 / SIN(ATAN((--COS(K58 * 3.1416 / 180) * SIN((J58 - 6) * 3.1416/12) * COS(23.45*SIN((2*3.1416/365*(I58+284)))* 3.1416 / 180) + SIN(K58 * 3.1416 / 180) * SIN(23.45*SIN((2*3.1416/365*(I58+284)))* 3.1416 / 180))/(((COS((J58 - 6) * 3.1416/12) * COS(23.45*SIN((2*3.1416/365*(I58+284)))* 3.1416 / 180))^2+(-SIN(K58 * 3.1416 / 180) * SIN((J58 - 6) * 3.1416/12) * COS(23.45*SIN((2*3.1416/365*(I58+284)))* 3.1416 / 180) - -COS(K58 * 3.1416 / 180) * SIN(23.45*SIN((2*3.1416/365*(I58+284)))* 3.1416 / 180))^2)^0.5))))*(0.1+SIN(ATAN((--COS(K58 * 3.1416 / 180) * SIN((J58 - 6) * 3.1416/12) * COS(23.45*SIN((2*3.1416/365*(I58+284)))* 3.1416 / 180) + SIN(K58 * 3.1416 / 180) * SIN(23.45*SIN((2*3.1416/365*(I58+284)))* 3.1416 / 180))/(((COS((J58 - 6) * 3.1416/12) * COS(23.45*SIN((2*3.1416/365*(I58+284)))* 3.1416 / 180))^2+(-SIN(K58 * 3.1416 / 180) * SIN((J58 - 6) * 3.1416/12) * COS(23.45*SIN((2*3.1416/365*(I58+284)))* 3.1416 / 180) - -COS(K58 * 3.1416 / 180) * SIN(23.45*SIN((2*3.1416/365*(I58+284)))* 3.1416 / 180))^2)^0.5))))</f>
        <v>1778.9117009877</v>
      </c>
      <c r="O58" s="0" t="n">
        <f aca="false">IF(K58&gt;=15,(0.00000000010508*K58^4 - 0.000000017492*K58^3 + 0.0000012363*K58^2 - 0.000044163*K58 + 0.0008144)*N58^2+( -0.000000028*K58^4 + 0.000013654*K58^3 - 0.0019426*K58^2 + 0.11006*K58 - 2.0905)*N58+0.000087115*K58^4 - 0.024852*K58^3 + 2.6437*K58^2 - 124.35*K58 + 2183.8,N58*0.3835-146.8)</f>
        <v>617.376129545372</v>
      </c>
      <c r="P58" s="0" t="n">
        <f aca="false">O58/2.02</f>
        <v>305.631747299689</v>
      </c>
      <c r="Q58" s="0" t="n">
        <v>67.2334141885077</v>
      </c>
      <c r="R58" s="0" t="n">
        <f aca="false">(198.58*(1/(2/15*ACOS(-TAN(3.1416/180*K58)*TAN(3.1416/180*23.45*SIN((2*3.1416/365*(I58+284)))))/3.1416*180))^2+5.0551/(2/15*ACOS(-TAN(3.1416/180*K58)*TAN(3.1416/180*23.45*SIN((2*3.1416/365*(I58+284)))))/3.1416*180)+1.49)*P58*2.02</f>
        <v>1819.05964185227</v>
      </c>
    </row>
    <row r="59" customFormat="false" ht="15.75" hidden="false" customHeight="false" outlineLevel="0" collapsed="false">
      <c r="B59" s="0" t="n">
        <v>0</v>
      </c>
      <c r="C59" s="0" t="n">
        <f aca="false">B59*2.11</f>
        <v>0</v>
      </c>
      <c r="D59" s="0" t="n">
        <f aca="false">C59*10000/1000000*277.78</f>
        <v>0</v>
      </c>
      <c r="E59" s="0" t="n">
        <f aca="false">D59*2.02</f>
        <v>0</v>
      </c>
      <c r="I59" s="181" t="n">
        <f aca="false">I58+1</f>
        <v>224</v>
      </c>
      <c r="J59" s="0" t="n">
        <v>12</v>
      </c>
      <c r="K59" s="181" t="n">
        <v>36.67</v>
      </c>
      <c r="L59" s="0" t="n">
        <f aca="false">23.45*SIN((2*3.1416/365*(I59+284)))</f>
        <v>14.7441151153827</v>
      </c>
      <c r="M59" s="0" t="n">
        <f aca="false">2/15*ACOS(-TAN(3.1416/180*K59)*TAN(3.1416/180*23.45*SIN((2*3.1416/365*(I59+284)))))/3.1416*180</f>
        <v>13.5066367269277</v>
      </c>
      <c r="N59" s="0" t="n">
        <f aca="false">2084 * EXP(-0.174353387144778 / SIN(ATAN((--COS(K59 * 3.1416 / 180) * SIN((J59 - 6) * 3.1416/12) * COS(23.45*SIN((2*3.1416/365*(I59+284)))* 3.1416 / 180) + SIN(K59 * 3.1416 / 180) * SIN(23.45*SIN((2*3.1416/365*(I59+284)))* 3.1416 / 180))/(((COS((J59 - 6) * 3.1416/12) * COS(23.45*SIN((2*3.1416/365*(I59+284)))* 3.1416 / 180))^2+(-SIN(K59 * 3.1416 / 180) * SIN((J59 - 6) * 3.1416/12) * COS(23.45*SIN((2*3.1416/365*(I59+284)))* 3.1416 / 180) - -COS(K59 * 3.1416 / 180) * SIN(23.45*SIN((2*3.1416/365*(I59+284)))* 3.1416 / 180))^2)^0.5))))*(0.1+SIN(ATAN((--COS(K59 * 3.1416 / 180) * SIN((J59 - 6) * 3.1416/12) * COS(23.45*SIN((2*3.1416/365*(I59+284)))* 3.1416 / 180) + SIN(K59 * 3.1416 / 180) * SIN(23.45*SIN((2*3.1416/365*(I59+284)))* 3.1416 / 180))/(((COS((J59 - 6) * 3.1416/12) * COS(23.45*SIN((2*3.1416/365*(I59+284)))* 3.1416 / 180))^2+(-SIN(K59 * 3.1416 / 180) * SIN((J59 - 6) * 3.1416/12) * COS(23.45*SIN((2*3.1416/365*(I59+284)))* 3.1416 / 180) - -COS(K59 * 3.1416 / 180) * SIN(23.45*SIN((2*3.1416/365*(I59+284)))* 3.1416 / 180))^2)^0.5))))</f>
        <v>1774.70184568732</v>
      </c>
      <c r="O59" s="0" t="n">
        <f aca="false">IF(K59&gt;=15,(0.00000000010508*K59^4 - 0.000000017492*K59^3 + 0.0000012363*K59^2 - 0.000044163*K59 + 0.0008144)*N59^2+( -0.000000028*K59^4 + 0.000013654*K59^3 - 0.0019426*K59^2 + 0.11006*K59 - 2.0905)*N59+0.000087115*K59^4 - 0.024852*K59^3 + 2.6437*K59^2 - 124.35*K59 + 2183.8,N59*0.3835-146.8)</f>
        <v>614.796436257477</v>
      </c>
      <c r="P59" s="0" t="n">
        <f aca="false">O59/2.02</f>
        <v>304.354671414592</v>
      </c>
      <c r="Q59" s="0" t="n">
        <v>55.3004111013104</v>
      </c>
      <c r="R59" s="0" t="n">
        <f aca="false">(198.58*(1/(2/15*ACOS(-TAN(3.1416/180*K59)*TAN(3.1416/180*23.45*SIN((2*3.1416/365*(I59+284)))))/3.1416*180))^2+5.0551/(2/15*ACOS(-TAN(3.1416/180*K59)*TAN(3.1416/180*23.45*SIN((2*3.1416/365*(I59+284)))))/3.1416*180)+1.49)*P59*2.02</f>
        <v>1815.37062505196</v>
      </c>
    </row>
    <row r="60" customFormat="false" ht="15.75" hidden="false" customHeight="false" outlineLevel="0" collapsed="false">
      <c r="B60" s="0" t="n">
        <v>0</v>
      </c>
      <c r="C60" s="0" t="n">
        <f aca="false">B60*2.11</f>
        <v>0</v>
      </c>
      <c r="D60" s="0" t="n">
        <f aca="false">C60*10000/1000000*277.78</f>
        <v>0</v>
      </c>
      <c r="E60" s="0" t="n">
        <f aca="false">D60*2.02</f>
        <v>0</v>
      </c>
      <c r="I60" s="181" t="n">
        <f aca="false">I59+1</f>
        <v>225</v>
      </c>
      <c r="J60" s="0" t="n">
        <v>12</v>
      </c>
      <c r="K60" s="181" t="n">
        <v>36.67</v>
      </c>
      <c r="L60" s="0" t="n">
        <f aca="false">23.45*SIN((2*3.1416/365*(I60+284)))</f>
        <v>14.4280451033735</v>
      </c>
      <c r="M60" s="0" t="n">
        <f aca="false">2/15*ACOS(-TAN(3.1416/180*K60)*TAN(3.1416/180*23.45*SIN((2*3.1416/365*(I60+284)))))/3.1416*180</f>
        <v>13.4724867264531</v>
      </c>
      <c r="N60" s="0" t="n">
        <f aca="false">2084 * EXP(-0.174353387144778 / SIN(ATAN((--COS(K60 * 3.1416 / 180) * SIN((J60 - 6) * 3.1416/12) * COS(23.45*SIN((2*3.1416/365*(I60+284)))* 3.1416 / 180) + SIN(K60 * 3.1416 / 180) * SIN(23.45*SIN((2*3.1416/365*(I60+284)))* 3.1416 / 180))/(((COS((J60 - 6) * 3.1416/12) * COS(23.45*SIN((2*3.1416/365*(I60+284)))* 3.1416 / 180))^2+(-SIN(K60 * 3.1416 / 180) * SIN((J60 - 6) * 3.1416/12) * COS(23.45*SIN((2*3.1416/365*(I60+284)))* 3.1416 / 180) - -COS(K60 * 3.1416 / 180) * SIN(23.45*SIN((2*3.1416/365*(I60+284)))* 3.1416 / 180))^2)^0.5))))*(0.1+SIN(ATAN((--COS(K60 * 3.1416 / 180) * SIN((J60 - 6) * 3.1416/12) * COS(23.45*SIN((2*3.1416/365*(I60+284)))* 3.1416 / 180) + SIN(K60 * 3.1416 / 180) * SIN(23.45*SIN((2*3.1416/365*(I60+284)))* 3.1416 / 180))/(((COS((J60 - 6) * 3.1416/12) * COS(23.45*SIN((2*3.1416/365*(I60+284)))* 3.1416 / 180))^2+(-SIN(K60 * 3.1416 / 180) * SIN((J60 - 6) * 3.1416/12) * COS(23.45*SIN((2*3.1416/365*(I60+284)))* 3.1416 / 180) - -COS(K60 * 3.1416 / 180) * SIN(23.45*SIN((2*3.1416/365*(I60+284)))* 3.1416 / 180))^2)^0.5))))</f>
        <v>1770.37447701097</v>
      </c>
      <c r="O60" s="0" t="n">
        <f aca="false">IF(K60&gt;=15,(0.00000000010508*K60^4 - 0.000000017492*K60^3 + 0.0000012363*K60^2 - 0.000044163*K60 + 0.0008144)*N60^2+( -0.000000028*K60^4 + 0.000013654*K60^3 - 0.0019426*K60^2 + 0.11006*K60 - 2.0905)*N60+0.000087115*K60^4 - 0.024852*K60^3 + 2.6437*K60^2 - 124.35*K60 + 2183.8,N60*0.3835-146.8)</f>
        <v>612.151563151407</v>
      </c>
      <c r="P60" s="0" t="n">
        <f aca="false">O60/2.02</f>
        <v>303.045328292776</v>
      </c>
      <c r="Q60" s="0" t="n">
        <v>145.117965206023</v>
      </c>
      <c r="R60" s="0" t="n">
        <f aca="false">(198.58*(1/(2/15*ACOS(-TAN(3.1416/180*K60)*TAN(3.1416/180*23.45*SIN((2*3.1416/365*(I60+284)))))/3.1416*180))^2+5.0551/(2/15*ACOS(-TAN(3.1416/180*K60)*TAN(3.1416/180*23.45*SIN((2*3.1416/365*(I60+284)))))/3.1416*180)+1.49)*P60*2.02</f>
        <v>1811.52397370714</v>
      </c>
    </row>
    <row r="61" customFormat="false" ht="15.75" hidden="false" customHeight="false" outlineLevel="0" collapsed="false">
      <c r="B61" s="0" t="n">
        <v>0</v>
      </c>
      <c r="C61" s="0" t="n">
        <f aca="false">B61*2.11</f>
        <v>0</v>
      </c>
      <c r="D61" s="0" t="n">
        <f aca="false">C61*10000/1000000*277.78</f>
        <v>0</v>
      </c>
      <c r="E61" s="0" t="n">
        <f aca="false">D61*2.02</f>
        <v>0</v>
      </c>
      <c r="I61" s="181" t="n">
        <f aca="false">I60+1</f>
        <v>226</v>
      </c>
      <c r="J61" s="0" t="n">
        <v>12</v>
      </c>
      <c r="K61" s="181" t="n">
        <v>36.67</v>
      </c>
      <c r="L61" s="0" t="n">
        <f aca="false">23.45*SIN((2*3.1416/365*(I61+284)))</f>
        <v>14.1076997302227</v>
      </c>
      <c r="M61" s="0" t="n">
        <f aca="false">2/15*ACOS(-TAN(3.1416/180*K61)*TAN(3.1416/180*23.45*SIN((2*3.1416/365*(I61+284)))))/3.1416*180</f>
        <v>13.4380037963521</v>
      </c>
      <c r="N61" s="0" t="n">
        <f aca="false">2084 * EXP(-0.174353387144778 / SIN(ATAN((--COS(K61 * 3.1416 / 180) * SIN((J61 - 6) * 3.1416/12) * COS(23.45*SIN((2*3.1416/365*(I61+284)))* 3.1416 / 180) + SIN(K61 * 3.1416 / 180) * SIN(23.45*SIN((2*3.1416/365*(I61+284)))* 3.1416 / 180))/(((COS((J61 - 6) * 3.1416/12) * COS(23.45*SIN((2*3.1416/365*(I61+284)))* 3.1416 / 180))^2+(-SIN(K61 * 3.1416 / 180) * SIN((J61 - 6) * 3.1416/12) * COS(23.45*SIN((2*3.1416/365*(I61+284)))* 3.1416 / 180) - -COS(K61 * 3.1416 / 180) * SIN(23.45*SIN((2*3.1416/365*(I61+284)))* 3.1416 / 180))^2)^0.5))))*(0.1+SIN(ATAN((--COS(K61 * 3.1416 / 180) * SIN((J61 - 6) * 3.1416/12) * COS(23.45*SIN((2*3.1416/365*(I61+284)))* 3.1416 / 180) + SIN(K61 * 3.1416 / 180) * SIN(23.45*SIN((2*3.1416/365*(I61+284)))* 3.1416 / 180))/(((COS((J61 - 6) * 3.1416/12) * COS(23.45*SIN((2*3.1416/365*(I61+284)))* 3.1416 / 180))^2+(-SIN(K61 * 3.1416 / 180) * SIN((J61 - 6) * 3.1416/12) * COS(23.45*SIN((2*3.1416/365*(I61+284)))* 3.1416 / 180) - -COS(K61 * 3.1416 / 180) * SIN(23.45*SIN((2*3.1416/365*(I61+284)))* 3.1416 / 180))^2)^0.5))))</f>
        <v>1765.92859456518</v>
      </c>
      <c r="O61" s="0" t="n">
        <f aca="false">IF(K61&gt;=15,(0.00000000010508*K61^4 - 0.000000017492*K61^3 + 0.0000012363*K61^2 - 0.000044163*K61 + 0.0008144)*N61^2+( -0.000000028*K61^4 + 0.000013654*K61^3 - 0.0019426*K61^2 + 0.11006*K61 - 2.0905)*N61+0.000087115*K61^4 - 0.024852*K61^3 + 2.6437*K61^2 - 124.35*K61 + 2183.8,N61*0.3835-146.8)</f>
        <v>609.441465268932</v>
      </c>
      <c r="P61" s="0" t="n">
        <f aca="false">O61/2.02</f>
        <v>301.703695677689</v>
      </c>
      <c r="Q61" s="0" t="n">
        <v>150.283902075983</v>
      </c>
      <c r="R61" s="0" t="n">
        <f aca="false">(198.58*(1/(2/15*ACOS(-TAN(3.1416/180*K61)*TAN(3.1416/180*23.45*SIN((2*3.1416/365*(I61+284)))))/3.1416*180))^2+5.0551/(2/15*ACOS(-TAN(3.1416/180*K61)*TAN(3.1416/180*23.45*SIN((2*3.1416/365*(I61+284)))))/3.1416*180)+1.49)*P61*2.02</f>
        <v>1807.51716592251</v>
      </c>
    </row>
    <row r="62" customFormat="false" ht="15.75" hidden="false" customHeight="false" outlineLevel="0" collapsed="false">
      <c r="B62" s="0" t="n">
        <v>5</v>
      </c>
      <c r="C62" s="0" t="n">
        <f aca="false">B62*2.11</f>
        <v>10.55</v>
      </c>
      <c r="D62" s="0" t="n">
        <f aca="false">C62*10000/1000000*277.78</f>
        <v>29.30579</v>
      </c>
      <c r="E62" s="0" t="n">
        <f aca="false">D62*2.02</f>
        <v>59.1976958</v>
      </c>
      <c r="I62" s="181" t="n">
        <f aca="false">I61+1</f>
        <v>227</v>
      </c>
      <c r="J62" s="0" t="n">
        <v>12</v>
      </c>
      <c r="K62" s="181" t="n">
        <v>36.67</v>
      </c>
      <c r="L62" s="0" t="n">
        <f aca="false">23.45*SIN((2*3.1416/365*(I62+284)))</f>
        <v>13.783173921622</v>
      </c>
      <c r="M62" s="0" t="n">
        <f aca="false">2/15*ACOS(-TAN(3.1416/180*K62)*TAN(3.1416/180*23.45*SIN((2*3.1416/365*(I62+284)))))/3.1416*180</f>
        <v>13.4031996146658</v>
      </c>
      <c r="N62" s="0" t="n">
        <f aca="false">2084 * EXP(-0.174353387144778 / SIN(ATAN((--COS(K62 * 3.1416 / 180) * SIN((J62 - 6) * 3.1416/12) * COS(23.45*SIN((2*3.1416/365*(I62+284)))* 3.1416 / 180) + SIN(K62 * 3.1416 / 180) * SIN(23.45*SIN((2*3.1416/365*(I62+284)))* 3.1416 / 180))/(((COS((J62 - 6) * 3.1416/12) * COS(23.45*SIN((2*3.1416/365*(I62+284)))* 3.1416 / 180))^2+(-SIN(K62 * 3.1416 / 180) * SIN((J62 - 6) * 3.1416/12) * COS(23.45*SIN((2*3.1416/365*(I62+284)))* 3.1416 / 180) - -COS(K62 * 3.1416 / 180) * SIN(23.45*SIN((2*3.1416/365*(I62+284)))* 3.1416 / 180))^2)^0.5))))*(0.1+SIN(ATAN((--COS(K62 * 3.1416 / 180) * SIN((J62 - 6) * 3.1416/12) * COS(23.45*SIN((2*3.1416/365*(I62+284)))* 3.1416 / 180) + SIN(K62 * 3.1416 / 180) * SIN(23.45*SIN((2*3.1416/365*(I62+284)))* 3.1416 / 180))/(((COS((J62 - 6) * 3.1416/12) * COS(23.45*SIN((2*3.1416/365*(I62+284)))* 3.1416 / 180))^2+(-SIN(K62 * 3.1416 / 180) * SIN((J62 - 6) * 3.1416/12) * COS(23.45*SIN((2*3.1416/365*(I62+284)))* 3.1416 / 180) - -COS(K62 * 3.1416 / 180) * SIN(23.45*SIN((2*3.1416/365*(I62+284)))* 3.1416 / 180))^2)^0.5))))</f>
        <v>1761.36326647217</v>
      </c>
      <c r="O62" s="0" t="n">
        <f aca="false">IF(K62&gt;=15,(0.00000000010508*K62^4 - 0.000000017492*K62^3 + 0.0000012363*K62^2 - 0.000044163*K62 + 0.0008144)*N62^2+( -0.000000028*K62^4 + 0.000013654*K62^3 - 0.0019426*K62^2 + 0.11006*K62 - 2.0905)*N62+0.000087115*K62^4 - 0.024852*K62^3 + 2.6437*K62^2 - 124.35*K62 + 2183.8,N62*0.3835-146.8)</f>
        <v>606.66616131428</v>
      </c>
      <c r="P62" s="0" t="n">
        <f aca="false">O62/2.02</f>
        <v>300.329782828851</v>
      </c>
      <c r="Q62" s="0" t="n">
        <v>60.5908400012601</v>
      </c>
      <c r="R62" s="0" t="n">
        <f aca="false">(198.58*(1/(2/15*ACOS(-TAN(3.1416/180*K62)*TAN(3.1416/180*23.45*SIN((2*3.1416/365*(I62+284)))))/3.1416*180))^2+5.0551/(2/15*ACOS(-TAN(3.1416/180*K62)*TAN(3.1416/180*23.45*SIN((2*3.1416/365*(I62+284)))))/3.1416*180)+1.49)*P62*2.02</f>
        <v>1803.34783814143</v>
      </c>
    </row>
    <row r="63" customFormat="false" ht="15.75" hidden="false" customHeight="false" outlineLevel="0" collapsed="false">
      <c r="B63" s="0" t="n">
        <v>21</v>
      </c>
      <c r="C63" s="0" t="n">
        <f aca="false">B63*2.11</f>
        <v>44.31</v>
      </c>
      <c r="D63" s="0" t="n">
        <f aca="false">C63*10000/1000000*277.78</f>
        <v>123.084318</v>
      </c>
      <c r="E63" s="0" t="n">
        <f aca="false">D63*2.02</f>
        <v>248.63032236</v>
      </c>
      <c r="I63" s="181" t="n">
        <f aca="false">I62+1</f>
        <v>228</v>
      </c>
      <c r="J63" s="0" t="n">
        <v>12</v>
      </c>
      <c r="K63" s="181" t="n">
        <v>36.67</v>
      </c>
      <c r="L63" s="0" t="n">
        <f aca="false">23.45*SIN((2*3.1416/365*(I63+284)))</f>
        <v>13.4545638420219</v>
      </c>
      <c r="M63" s="0" t="n">
        <f aca="false">2/15*ACOS(-TAN(3.1416/180*K63)*TAN(3.1416/180*23.45*SIN((2*3.1416/365*(I63+284)))))/3.1416*180</f>
        <v>13.3680856774494</v>
      </c>
      <c r="N63" s="0" t="n">
        <f aca="false">2084 * EXP(-0.174353387144778 / SIN(ATAN((--COS(K63 * 3.1416 / 180) * SIN((J63 - 6) * 3.1416/12) * COS(23.45*SIN((2*3.1416/365*(I63+284)))* 3.1416 / 180) + SIN(K63 * 3.1416 / 180) * SIN(23.45*SIN((2*3.1416/365*(I63+284)))* 3.1416 / 180))/(((COS((J63 - 6) * 3.1416/12) * COS(23.45*SIN((2*3.1416/365*(I63+284)))* 3.1416 / 180))^2+(-SIN(K63 * 3.1416 / 180) * SIN((J63 - 6) * 3.1416/12) * COS(23.45*SIN((2*3.1416/365*(I63+284)))* 3.1416 / 180) - -COS(K63 * 3.1416 / 180) * SIN(23.45*SIN((2*3.1416/365*(I63+284)))* 3.1416 / 180))^2)^0.5))))*(0.1+SIN(ATAN((--COS(K63 * 3.1416 / 180) * SIN((J63 - 6) * 3.1416/12) * COS(23.45*SIN((2*3.1416/365*(I63+284)))* 3.1416 / 180) + SIN(K63 * 3.1416 / 180) * SIN(23.45*SIN((2*3.1416/365*(I63+284)))* 3.1416 / 180))/(((COS((J63 - 6) * 3.1416/12) * COS(23.45*SIN((2*3.1416/365*(I63+284)))* 3.1416 / 180))^2+(-SIN(K63 * 3.1416 / 180) * SIN((J63 - 6) * 3.1416/12) * COS(23.45*SIN((2*3.1416/365*(I63+284)))* 3.1416 / 180) - -COS(K63 * 3.1416 / 180) * SIN(23.45*SIN((2*3.1416/365*(I63+284)))* 3.1416 / 180))^2)^0.5))))</f>
        <v>1756.67763271238</v>
      </c>
      <c r="O63" s="0" t="n">
        <f aca="false">IF(K63&gt;=15,(0.00000000010508*K63^4 - 0.000000017492*K63^3 + 0.0000012363*K63^2 - 0.000044163*K63 + 0.0008144)*N63^2+( -0.000000028*K63^4 + 0.000013654*K63^3 - 0.0019426*K63^2 + 0.11006*K63 - 2.0905)*N63+0.000087115*K63^4 - 0.024852*K63^3 + 2.6437*K63^2 - 124.35*K63 + 2183.8,N63*0.3835-146.8)</f>
        <v>603.825735524121</v>
      </c>
      <c r="P63" s="0" t="n">
        <f aca="false">O63/2.02</f>
        <v>298.923631447585</v>
      </c>
      <c r="Q63" s="0" t="n">
        <v>101.289249543221</v>
      </c>
      <c r="R63" s="0" t="n">
        <f aca="false">(198.58*(1/(2/15*ACOS(-TAN(3.1416/180*K63)*TAN(3.1416/180*23.45*SIN((2*3.1416/365*(I63+284)))))/3.1416*180))^2+5.0551/(2/15*ACOS(-TAN(3.1416/180*K63)*TAN(3.1416/180*23.45*SIN((2*3.1416/365*(I63+284)))))/3.1416*180)+1.49)*P63*2.02</f>
        <v>1799.01379296177</v>
      </c>
    </row>
    <row r="64" customFormat="false" ht="15.75" hidden="false" customHeight="false" outlineLevel="0" collapsed="false">
      <c r="B64" s="0" t="n">
        <v>50</v>
      </c>
      <c r="C64" s="0" t="n">
        <f aca="false">B64*2.11</f>
        <v>105.5</v>
      </c>
      <c r="D64" s="0" t="n">
        <f aca="false">C64*10000/1000000*277.78</f>
        <v>293.0579</v>
      </c>
      <c r="E64" s="0" t="n">
        <f aca="false">D64*2.02</f>
        <v>591.976958</v>
      </c>
      <c r="I64" s="181" t="n">
        <f aca="false">I63+1</f>
        <v>229</v>
      </c>
      <c r="J64" s="0" t="n">
        <v>12</v>
      </c>
      <c r="K64" s="181" t="n">
        <v>36.67</v>
      </c>
      <c r="L64" s="0" t="n">
        <f aca="false">23.45*SIN((2*3.1416/365*(I64+284)))</f>
        <v>13.1219668661365</v>
      </c>
      <c r="M64" s="0" t="n">
        <f aca="false">2/15*ACOS(-TAN(3.1416/180*K64)*TAN(3.1416/180*23.45*SIN((2*3.1416/365*(I64+284)))))/3.1416*180</f>
        <v>13.332673295565</v>
      </c>
      <c r="N64" s="0" t="n">
        <f aca="false">2084 * EXP(-0.174353387144778 / SIN(ATAN((--COS(K64 * 3.1416 / 180) * SIN((J64 - 6) * 3.1416/12) * COS(23.45*SIN((2*3.1416/365*(I64+284)))* 3.1416 / 180) + SIN(K64 * 3.1416 / 180) * SIN(23.45*SIN((2*3.1416/365*(I64+284)))* 3.1416 / 180))/(((COS((J64 - 6) * 3.1416/12) * COS(23.45*SIN((2*3.1416/365*(I64+284)))* 3.1416 / 180))^2+(-SIN(K64 * 3.1416 / 180) * SIN((J64 - 6) * 3.1416/12) * COS(23.45*SIN((2*3.1416/365*(I64+284)))* 3.1416 / 180) - -COS(K64 * 3.1416 / 180) * SIN(23.45*SIN((2*3.1416/365*(I64+284)))* 3.1416 / 180))^2)^0.5))))*(0.1+SIN(ATAN((--COS(K64 * 3.1416 / 180) * SIN((J64 - 6) * 3.1416/12) * COS(23.45*SIN((2*3.1416/365*(I64+284)))* 3.1416 / 180) + SIN(K64 * 3.1416 / 180) * SIN(23.45*SIN((2*3.1416/365*(I64+284)))* 3.1416 / 180))/(((COS((J64 - 6) * 3.1416/12) * COS(23.45*SIN((2*3.1416/365*(I64+284)))* 3.1416 / 180))^2+(-SIN(K64 * 3.1416 / 180) * SIN((J64 - 6) * 3.1416/12) * COS(23.45*SIN((2*3.1416/365*(I64+284)))* 3.1416 / 180) - -COS(K64 * 3.1416 / 180) * SIN(23.45*SIN((2*3.1416/365*(I64+284)))* 3.1416 / 180))^2)^0.5))))</f>
        <v>1751.87090838749</v>
      </c>
      <c r="O64" s="0" t="n">
        <f aca="false">IF(K64&gt;=15,(0.00000000010508*K64^4 - 0.000000017492*K64^3 + 0.0000012363*K64^2 - 0.000044163*K64 + 0.0008144)*N64^2+( -0.000000028*K64^4 + 0.000013654*K64^3 - 0.0019426*K64^2 + 0.11006*K64 - 2.0905)*N64+0.000087115*K64^4 - 0.024852*K64^3 + 2.6437*K64^2 - 124.35*K64 + 2183.8,N64*0.3835-146.8)</f>
        <v>600.920339411633</v>
      </c>
      <c r="P64" s="0" t="n">
        <f aca="false">O64/2.02</f>
        <v>297.485316540412</v>
      </c>
      <c r="Q64" s="0" t="n">
        <v>155.862505512852</v>
      </c>
      <c r="R64" s="0" t="n">
        <f aca="false">(198.58*(1/(2/15*ACOS(-TAN(3.1416/180*K64)*TAN(3.1416/180*23.45*SIN((2*3.1416/365*(I64+284)))))/3.1416*180))^2+5.0551/(2/15*ACOS(-TAN(3.1416/180*K64)*TAN(3.1416/180*23.45*SIN((2*3.1416/365*(I64+284)))))/3.1416*180)+1.49)*P64*2.02</f>
        <v>1794.51300669857</v>
      </c>
    </row>
    <row r="65" customFormat="false" ht="15.75" hidden="false" customHeight="false" outlineLevel="0" collapsed="false">
      <c r="B65" s="0" t="n">
        <v>78</v>
      </c>
      <c r="C65" s="0" t="n">
        <f aca="false">B65*2.11</f>
        <v>164.58</v>
      </c>
      <c r="D65" s="0" t="n">
        <f aca="false">C65*10000/1000000*277.78</f>
        <v>457.170324</v>
      </c>
      <c r="E65" s="0" t="n">
        <f aca="false">D65*2.02</f>
        <v>923.48405448</v>
      </c>
      <c r="I65" s="181" t="n">
        <f aca="false">I64+1</f>
        <v>230</v>
      </c>
      <c r="J65" s="0" t="n">
        <v>12</v>
      </c>
      <c r="K65" s="181" t="n">
        <v>36.67</v>
      </c>
      <c r="L65" s="0" t="n">
        <f aca="false">23.45*SIN((2*3.1416/365*(I65+284)))</f>
        <v>12.7854815500888</v>
      </c>
      <c r="M65" s="0" t="n">
        <f aca="false">2/15*ACOS(-TAN(3.1416/180*K65)*TAN(3.1416/180*23.45*SIN((2*3.1416/365*(I65+284)))))/3.1416*180</f>
        <v>13.2969735921887</v>
      </c>
      <c r="N65" s="0" t="n">
        <f aca="false">2084 * EXP(-0.174353387144778 / SIN(ATAN((--COS(K65 * 3.1416 / 180) * SIN((J65 - 6) * 3.1416/12) * COS(23.45*SIN((2*3.1416/365*(I65+284)))* 3.1416 / 180) + SIN(K65 * 3.1416 / 180) * SIN(23.45*SIN((2*3.1416/365*(I65+284)))* 3.1416 / 180))/(((COS((J65 - 6) * 3.1416/12) * COS(23.45*SIN((2*3.1416/365*(I65+284)))* 3.1416 / 180))^2+(-SIN(K65 * 3.1416 / 180) * SIN((J65 - 6) * 3.1416/12) * COS(23.45*SIN((2*3.1416/365*(I65+284)))* 3.1416 / 180) - -COS(K65 * 3.1416 / 180) * SIN(23.45*SIN((2*3.1416/365*(I65+284)))* 3.1416 / 180))^2)^0.5))))*(0.1+SIN(ATAN((--COS(K65 * 3.1416 / 180) * SIN((J65 - 6) * 3.1416/12) * COS(23.45*SIN((2*3.1416/365*(I65+284)))* 3.1416 / 180) + SIN(K65 * 3.1416 / 180) * SIN(23.45*SIN((2*3.1416/365*(I65+284)))* 3.1416 / 180))/(((COS((J65 - 6) * 3.1416/12) * COS(23.45*SIN((2*3.1416/365*(I65+284)))* 3.1416 / 180))^2+(-SIN(K65 * 3.1416 / 180) * SIN((J65 - 6) * 3.1416/12) * COS(23.45*SIN((2*3.1416/365*(I65+284)))* 3.1416 / 180) - -COS(K65 * 3.1416 / 180) * SIN(23.45*SIN((2*3.1416/365*(I65+284)))* 3.1416 / 180))^2)^0.5))))</f>
        <v>1746.94238689825</v>
      </c>
      <c r="O65" s="0" t="n">
        <f aca="false">IF(K65&gt;=15,(0.00000000010508*K65^4 - 0.000000017492*K65^3 + 0.0000012363*K65^2 - 0.000044163*K65 + 0.0008144)*N65^2+( -0.000000028*K65^4 + 0.000013654*K65^3 - 0.0019426*K65^2 + 0.11006*K65 - 2.0905)*N65+0.000087115*K65^4 - 0.024852*K65^3 + 2.6437*K65^2 - 124.35*K65 + 2183.8,N65*0.3835-146.8)</f>
        <v>597.950193378144</v>
      </c>
      <c r="P65" s="0" t="n">
        <f aca="false">O65/2.02</f>
        <v>296.014947216903</v>
      </c>
      <c r="Q65" s="0" t="n">
        <v>129.903623519405</v>
      </c>
      <c r="R65" s="0" t="n">
        <f aca="false">(198.58*(1/(2/15*ACOS(-TAN(3.1416/180*K65)*TAN(3.1416/180*23.45*SIN((2*3.1416/365*(I65+284)))))/3.1416*180))^2+5.0551/(2/15*ACOS(-TAN(3.1416/180*K65)*TAN(3.1416/180*23.45*SIN((2*3.1416/365*(I65+284)))))/3.1416*180)+1.49)*P65*2.02</f>
        <v>1789.84363667187</v>
      </c>
    </row>
    <row r="66" customFormat="false" ht="15.75" hidden="false" customHeight="false" outlineLevel="0" collapsed="false">
      <c r="B66" s="0" t="n">
        <v>108</v>
      </c>
      <c r="C66" s="0" t="n">
        <f aca="false">B66*2.11</f>
        <v>227.88</v>
      </c>
      <c r="D66" s="0" t="n">
        <f aca="false">C66*10000/1000000*277.78</f>
        <v>633.005064</v>
      </c>
      <c r="E66" s="0" t="n">
        <f aca="false">D66*2.02</f>
        <v>1278.67022928</v>
      </c>
      <c r="I66" s="181" t="n">
        <f aca="false">I65+1</f>
        <v>231</v>
      </c>
      <c r="J66" s="0" t="n">
        <v>12</v>
      </c>
      <c r="K66" s="181" t="n">
        <v>36.67</v>
      </c>
      <c r="L66" s="0" t="n">
        <f aca="false">23.45*SIN((2*3.1416/365*(I66+284)))</f>
        <v>12.4452076022059</v>
      </c>
      <c r="M66" s="0" t="n">
        <f aca="false">2/15*ACOS(-TAN(3.1416/180*K66)*TAN(3.1416/180*23.45*SIN((2*3.1416/365*(I66+284)))))/3.1416*180</f>
        <v>13.2609975010085</v>
      </c>
      <c r="N66" s="0" t="n">
        <f aca="false">2084 * EXP(-0.174353387144778 / SIN(ATAN((--COS(K66 * 3.1416 / 180) * SIN((J66 - 6) * 3.1416/12) * COS(23.45*SIN((2*3.1416/365*(I66+284)))* 3.1416 / 180) + SIN(K66 * 3.1416 / 180) * SIN(23.45*SIN((2*3.1416/365*(I66+284)))* 3.1416 / 180))/(((COS((J66 - 6) * 3.1416/12) * COS(23.45*SIN((2*3.1416/365*(I66+284)))* 3.1416 / 180))^2+(-SIN(K66 * 3.1416 / 180) * SIN((J66 - 6) * 3.1416/12) * COS(23.45*SIN((2*3.1416/365*(I66+284)))* 3.1416 / 180) - -COS(K66 * 3.1416 / 180) * SIN(23.45*SIN((2*3.1416/365*(I66+284)))* 3.1416 / 180))^2)^0.5))))*(0.1+SIN(ATAN((--COS(K66 * 3.1416 / 180) * SIN((J66 - 6) * 3.1416/12) * COS(23.45*SIN((2*3.1416/365*(I66+284)))* 3.1416 / 180) + SIN(K66 * 3.1416 / 180) * SIN(23.45*SIN((2*3.1416/365*(I66+284)))* 3.1416 / 180))/(((COS((J66 - 6) * 3.1416/12) * COS(23.45*SIN((2*3.1416/365*(I66+284)))* 3.1416 / 180))^2+(-SIN(K66 * 3.1416 / 180) * SIN((J66 - 6) * 3.1416/12) * COS(23.45*SIN((2*3.1416/365*(I66+284)))* 3.1416 / 180) - -COS(K66 * 3.1416 / 180) * SIN(23.45*SIN((2*3.1416/365*(I66+284)))* 3.1416 / 180))^2)^0.5))))</f>
        <v>1741.89144303114</v>
      </c>
      <c r="O66" s="0" t="n">
        <f aca="false">IF(K66&gt;=15,(0.00000000010508*K66^4 - 0.000000017492*K66^3 + 0.0000012363*K66^2 - 0.000044163*K66 + 0.0008144)*N66^2+( -0.000000028*K66^4 + 0.000013654*K66^3 - 0.0019426*K66^2 + 0.11006*K66 - 2.0905)*N66+0.000087115*K66^4 - 0.024852*K66^3 + 2.6437*K66^2 - 124.35*K66 + 2183.8,N66*0.3835-146.8)</f>
        <v>594.915588186125</v>
      </c>
      <c r="P66" s="0" t="n">
        <f aca="false">O66/2.02</f>
        <v>294.512667418874</v>
      </c>
      <c r="Q66" s="0" t="n">
        <v>96.0144633631548</v>
      </c>
      <c r="R66" s="0" t="n">
        <f aca="false">(198.58*(1/(2/15*ACOS(-TAN(3.1416/180*K66)*TAN(3.1416/180*23.45*SIN((2*3.1416/365*(I66+284)))))/3.1416*180))^2+5.0551/(2/15*ACOS(-TAN(3.1416/180*K66)*TAN(3.1416/180*23.45*SIN((2*3.1416/365*(I66+284)))))/3.1416*180)+1.49)*P66*2.02</f>
        <v>1785.00402819792</v>
      </c>
    </row>
    <row r="67" customFormat="false" ht="15.75" hidden="false" customHeight="false" outlineLevel="0" collapsed="false">
      <c r="B67" s="0" t="n">
        <v>133</v>
      </c>
      <c r="C67" s="0" t="n">
        <f aca="false">B67*2.11</f>
        <v>280.63</v>
      </c>
      <c r="D67" s="0" t="n">
        <f aca="false">C67*10000/1000000*277.78</f>
        <v>779.534014</v>
      </c>
      <c r="E67" s="0" t="n">
        <f aca="false">D67*2.02</f>
        <v>1574.65870828</v>
      </c>
      <c r="I67" s="181" t="n">
        <f aca="false">I66+1</f>
        <v>232</v>
      </c>
      <c r="J67" s="0" t="n">
        <v>12</v>
      </c>
      <c r="K67" s="181" t="n">
        <v>36.67</v>
      </c>
      <c r="L67" s="0" t="n">
        <f aca="false">23.45*SIN((2*3.1416/365*(I67+284)))</f>
        <v>12.1012458534741</v>
      </c>
      <c r="M67" s="0" t="n">
        <f aca="false">2/15*ACOS(-TAN(3.1416/180*K67)*TAN(3.1416/180*23.45*SIN((2*3.1416/365*(I67+284)))))/3.1416*180</f>
        <v>13.2247557650901</v>
      </c>
      <c r="N67" s="0" t="n">
        <f aca="false">2084 * EXP(-0.174353387144778 / SIN(ATAN((--COS(K67 * 3.1416 / 180) * SIN((J67 - 6) * 3.1416/12) * COS(23.45*SIN((2*3.1416/365*(I67+284)))* 3.1416 / 180) + SIN(K67 * 3.1416 / 180) * SIN(23.45*SIN((2*3.1416/365*(I67+284)))* 3.1416 / 180))/(((COS((J67 - 6) * 3.1416/12) * COS(23.45*SIN((2*3.1416/365*(I67+284)))* 3.1416 / 180))^2+(-SIN(K67 * 3.1416 / 180) * SIN((J67 - 6) * 3.1416/12) * COS(23.45*SIN((2*3.1416/365*(I67+284)))* 3.1416 / 180) - -COS(K67 * 3.1416 / 180) * SIN(23.45*SIN((2*3.1416/365*(I67+284)))* 3.1416 / 180))^2)^0.5))))*(0.1+SIN(ATAN((--COS(K67 * 3.1416 / 180) * SIN((J67 - 6) * 3.1416/12) * COS(23.45*SIN((2*3.1416/365*(I67+284)))* 3.1416 / 180) + SIN(K67 * 3.1416 / 180) * SIN(23.45*SIN((2*3.1416/365*(I67+284)))* 3.1416 / 180))/(((COS((J67 - 6) * 3.1416/12) * COS(23.45*SIN((2*3.1416/365*(I67+284)))* 3.1416 / 180))^2+(-SIN(K67 * 3.1416 / 180) * SIN((J67 - 6) * 3.1416/12) * COS(23.45*SIN((2*3.1416/365*(I67+284)))* 3.1416 / 180) - -COS(K67 * 3.1416 / 180) * SIN(23.45*SIN((2*3.1416/365*(I67+284)))* 3.1416 / 180))^2)^0.5))))</f>
        <v>1736.71753594807</v>
      </c>
      <c r="O67" s="0" t="n">
        <f aca="false">IF(K67&gt;=15,(0.00000000010508*K67^4 - 0.000000017492*K67^3 + 0.0000012363*K67^2 - 0.000044163*K67 + 0.0008144)*N67^2+( -0.000000028*K67^4 + 0.000013654*K67^3 - 0.0019426*K67^2 + 0.11006*K67 - 2.0905)*N67+0.000087115*K67^4 - 0.024852*K67^3 + 2.6437*K67^2 - 124.35*K67 + 2183.8,N67*0.3835-146.8)</f>
        <v>591.816886287576</v>
      </c>
      <c r="P67" s="0" t="n">
        <f aca="false">O67/2.02</f>
        <v>292.978656578008</v>
      </c>
      <c r="Q67" s="0" t="n">
        <v>103.253803868447</v>
      </c>
      <c r="R67" s="0" t="n">
        <f aca="false">(198.58*(1/(2/15*ACOS(-TAN(3.1416/180*K67)*TAN(3.1416/180*23.45*SIN((2*3.1416/365*(I67+284)))))/3.1416*180))^2+5.0551/(2/15*ACOS(-TAN(3.1416/180*K67)*TAN(3.1416/180*23.45*SIN((2*3.1416/365*(I67+284)))))/3.1416*180)+1.49)*P67*2.02</f>
        <v>1779.99272126272</v>
      </c>
    </row>
    <row r="68" customFormat="false" ht="15.75" hidden="false" customHeight="false" outlineLevel="0" collapsed="false">
      <c r="B68" s="0" t="n">
        <v>149</v>
      </c>
      <c r="C68" s="0" t="n">
        <f aca="false">B68*2.11</f>
        <v>314.39</v>
      </c>
      <c r="D68" s="0" t="n">
        <f aca="false">C68*10000/1000000*277.78</f>
        <v>873.312542</v>
      </c>
      <c r="E68" s="0" t="n">
        <f aca="false">D68*2.02</f>
        <v>1764.09133484</v>
      </c>
      <c r="I68" s="181" t="n">
        <f aca="false">I67+1</f>
        <v>233</v>
      </c>
      <c r="J68" s="0" t="n">
        <v>12</v>
      </c>
      <c r="K68" s="181" t="n">
        <v>36.67</v>
      </c>
      <c r="L68" s="0" t="n">
        <f aca="false">23.45*SIN((2*3.1416/365*(I68+284)))</f>
        <v>11.7536982276595</v>
      </c>
      <c r="M68" s="0" t="n">
        <f aca="false">2/15*ACOS(-TAN(3.1416/180*K68)*TAN(3.1416/180*23.45*SIN((2*3.1416/365*(I68+284)))))/3.1416*180</f>
        <v>13.1882589363861</v>
      </c>
      <c r="N68" s="0" t="n">
        <f aca="false">2084 * EXP(-0.174353387144778 / SIN(ATAN((--COS(K68 * 3.1416 / 180) * SIN((J68 - 6) * 3.1416/12) * COS(23.45*SIN((2*3.1416/365*(I68+284)))* 3.1416 / 180) + SIN(K68 * 3.1416 / 180) * SIN(23.45*SIN((2*3.1416/365*(I68+284)))* 3.1416 / 180))/(((COS((J68 - 6) * 3.1416/12) * COS(23.45*SIN((2*3.1416/365*(I68+284)))* 3.1416 / 180))^2+(-SIN(K68 * 3.1416 / 180) * SIN((J68 - 6) * 3.1416/12) * COS(23.45*SIN((2*3.1416/365*(I68+284)))* 3.1416 / 180) - -COS(K68 * 3.1416 / 180) * SIN(23.45*SIN((2*3.1416/365*(I68+284)))* 3.1416 / 180))^2)^0.5))))*(0.1+SIN(ATAN((--COS(K68 * 3.1416 / 180) * SIN((J68 - 6) * 3.1416/12) * COS(23.45*SIN((2*3.1416/365*(I68+284)))* 3.1416 / 180) + SIN(K68 * 3.1416 / 180) * SIN(23.45*SIN((2*3.1416/365*(I68+284)))* 3.1416 / 180))/(((COS((J68 - 6) * 3.1416/12) * COS(23.45*SIN((2*3.1416/365*(I68+284)))* 3.1416 / 180))^2+(-SIN(K68 * 3.1416 / 180) * SIN((J68 - 6) * 3.1416/12) * COS(23.45*SIN((2*3.1416/365*(I68+284)))* 3.1416 / 180) - -COS(K68 * 3.1416 / 180) * SIN(23.45*SIN((2*3.1416/365*(I68+284)))* 3.1416 / 180))^2)^0.5))))</f>
        <v>1731.42021207357</v>
      </c>
      <c r="O68" s="0" t="n">
        <f aca="false">IF(K68&gt;=15,(0.00000000010508*K68^4 - 0.000000017492*K68^3 + 0.0000012363*K68^2 - 0.000044163*K68 + 0.0008144)*N68^2+( -0.000000028*K68^4 + 0.000013654*K68^3 - 0.0019426*K68^2 + 0.11006*K68 - 2.0905)*N68+0.000087115*K68^4 - 0.024852*K68^3 + 2.6437*K68^2 - 124.35*K68 + 2183.8,N68*0.3835-146.8)</f>
        <v>588.654523002219</v>
      </c>
      <c r="P68" s="0" t="n">
        <f aca="false">O68/2.02</f>
        <v>291.413130199118</v>
      </c>
      <c r="Q68" s="0" t="n">
        <v>160.434068249117</v>
      </c>
      <c r="R68" s="0" t="n">
        <f aca="false">(198.58*(1/(2/15*ACOS(-TAN(3.1416/180*K68)*TAN(3.1416/180*23.45*SIN((2*3.1416/365*(I68+284)))))/3.1416*180))^2+5.0551/(2/15*ACOS(-TAN(3.1416/180*K68)*TAN(3.1416/180*23.45*SIN((2*3.1416/365*(I68+284)))))/3.1416*180)+1.49)*P68*2.02</f>
        <v>1774.80845685692</v>
      </c>
    </row>
    <row r="69" customFormat="false" ht="15.75" hidden="false" customHeight="false" outlineLevel="0" collapsed="false">
      <c r="B69" s="0" t="n">
        <v>149</v>
      </c>
      <c r="C69" s="0" t="n">
        <f aca="false">B69*2.11</f>
        <v>314.39</v>
      </c>
      <c r="D69" s="0" t="n">
        <f aca="false">C69*10000/1000000*277.78</f>
        <v>873.312542</v>
      </c>
      <c r="E69" s="0" t="n">
        <f aca="false">D69*2.02</f>
        <v>1764.09133484</v>
      </c>
      <c r="I69" s="181" t="n">
        <f aca="false">I68+1</f>
        <v>234</v>
      </c>
      <c r="J69" s="0" t="n">
        <v>12</v>
      </c>
      <c r="K69" s="181" t="n">
        <v>36.67</v>
      </c>
      <c r="L69" s="0" t="n">
        <f aca="false">23.45*SIN((2*3.1416/365*(I69+284)))</f>
        <v>11.4026677111058</v>
      </c>
      <c r="M69" s="0" t="n">
        <f aca="false">2/15*ACOS(-TAN(3.1416/180*K69)*TAN(3.1416/180*23.45*SIN((2*3.1416/365*(I69+284)))))/3.1416*180</f>
        <v>13.1515173758641</v>
      </c>
      <c r="N69" s="0" t="n">
        <f aca="false">2084 * EXP(-0.174353387144778 / SIN(ATAN((--COS(K69 * 3.1416 / 180) * SIN((J69 - 6) * 3.1416/12) * COS(23.45*SIN((2*3.1416/365*(I69+284)))* 3.1416 / 180) + SIN(K69 * 3.1416 / 180) * SIN(23.45*SIN((2*3.1416/365*(I69+284)))* 3.1416 / 180))/(((COS((J69 - 6) * 3.1416/12) * COS(23.45*SIN((2*3.1416/365*(I69+284)))* 3.1416 / 180))^2+(-SIN(K69 * 3.1416 / 180) * SIN((J69 - 6) * 3.1416/12) * COS(23.45*SIN((2*3.1416/365*(I69+284)))* 3.1416 / 180) - -COS(K69 * 3.1416 / 180) * SIN(23.45*SIN((2*3.1416/365*(I69+284)))* 3.1416 / 180))^2)^0.5))))*(0.1+SIN(ATAN((--COS(K69 * 3.1416 / 180) * SIN((J69 - 6) * 3.1416/12) * COS(23.45*SIN((2*3.1416/365*(I69+284)))* 3.1416 / 180) + SIN(K69 * 3.1416 / 180) * SIN(23.45*SIN((2*3.1416/365*(I69+284)))* 3.1416 / 180))/(((COS((J69 - 6) * 3.1416/12) * COS(23.45*SIN((2*3.1416/365*(I69+284)))* 3.1416 / 180))^2+(-SIN(K69 * 3.1416 / 180) * SIN((J69 - 6) * 3.1416/12) * COS(23.45*SIN((2*3.1416/365*(I69+284)))* 3.1416 / 180) - -COS(K69 * 3.1416 / 180) * SIN(23.45*SIN((2*3.1416/365*(I69+284)))* 3.1416 / 180))^2)^0.5))))</f>
        <v>1725.99910787414</v>
      </c>
      <c r="O69" s="0" t="n">
        <f aca="false">IF(K69&gt;=15,(0.00000000010508*K69^4 - 0.000000017492*K69^3 + 0.0000012363*K69^2 - 0.000044163*K69 + 0.0008144)*N69^2+( -0.000000028*K69^4 + 0.000013654*K69^3 - 0.0019426*K69^2 + 0.11006*K69 - 2.0905)*N69+0.000087115*K69^4 - 0.024852*K69^3 + 2.6437*K69^2 - 124.35*K69 + 2183.8,N69*0.3835-146.8)</f>
        <v>585.429007540234</v>
      </c>
      <c r="P69" s="0" t="n">
        <f aca="false">O69/2.02</f>
        <v>289.816340366453</v>
      </c>
      <c r="Q69" s="0" t="n">
        <v>72.0062649634574</v>
      </c>
      <c r="R69" s="0" t="n">
        <f aca="false">(198.58*(1/(2/15*ACOS(-TAN(3.1416/180*K69)*TAN(3.1416/180*23.45*SIN((2*3.1416/365*(I69+284)))))/3.1416*180))^2+5.0551/(2/15*ACOS(-TAN(3.1416/180*K69)*TAN(3.1416/180*23.45*SIN((2*3.1416/365*(I69+284)))))/3.1416*180)+1.49)*P69*2.02</f>
        <v>1769.45018295189</v>
      </c>
    </row>
    <row r="70" customFormat="false" ht="15.75" hidden="false" customHeight="false" outlineLevel="0" collapsed="false">
      <c r="B70" s="0" t="n">
        <v>167</v>
      </c>
      <c r="C70" s="0" t="n">
        <f aca="false">B70*2.11</f>
        <v>352.37</v>
      </c>
      <c r="D70" s="0" t="n">
        <f aca="false">C70*10000/1000000*277.78</f>
        <v>978.813386</v>
      </c>
      <c r="E70" s="0" t="n">
        <f aca="false">D70*2.02</f>
        <v>1977.20303972</v>
      </c>
      <c r="I70" s="181" t="n">
        <f aca="false">I69+1</f>
        <v>235</v>
      </c>
      <c r="J70" s="0" t="n">
        <v>12</v>
      </c>
      <c r="K70" s="181" t="n">
        <v>36.67</v>
      </c>
      <c r="L70" s="0" t="n">
        <f aca="false">23.45*SIN((2*3.1416/365*(I70+284)))</f>
        <v>11.0482583222175</v>
      </c>
      <c r="M70" s="0" t="n">
        <f aca="false">2/15*ACOS(-TAN(3.1416/180*K70)*TAN(3.1416/180*23.45*SIN((2*3.1416/365*(I70+284)))))/3.1416*180</f>
        <v>13.1145412542302</v>
      </c>
      <c r="N70" s="0" t="n">
        <f aca="false">2084 * EXP(-0.174353387144778 / SIN(ATAN((--COS(K70 * 3.1416 / 180) * SIN((J70 - 6) * 3.1416/12) * COS(23.45*SIN((2*3.1416/365*(I70+284)))* 3.1416 / 180) + SIN(K70 * 3.1416 / 180) * SIN(23.45*SIN((2*3.1416/365*(I70+284)))* 3.1416 / 180))/(((COS((J70 - 6) * 3.1416/12) * COS(23.45*SIN((2*3.1416/365*(I70+284)))* 3.1416 / 180))^2+(-SIN(K70 * 3.1416 / 180) * SIN((J70 - 6) * 3.1416/12) * COS(23.45*SIN((2*3.1416/365*(I70+284)))* 3.1416 / 180) - -COS(K70 * 3.1416 / 180) * SIN(23.45*SIN((2*3.1416/365*(I70+284)))* 3.1416 / 180))^2)^0.5))))*(0.1+SIN(ATAN((--COS(K70 * 3.1416 / 180) * SIN((J70 - 6) * 3.1416/12) * COS(23.45*SIN((2*3.1416/365*(I70+284)))* 3.1416 / 180) + SIN(K70 * 3.1416 / 180) * SIN(23.45*SIN((2*3.1416/365*(I70+284)))* 3.1416 / 180))/(((COS((J70 - 6) * 3.1416/12) * COS(23.45*SIN((2*3.1416/365*(I70+284)))* 3.1416 / 180))^2+(-SIN(K70 * 3.1416 / 180) * SIN((J70 - 6) * 3.1416/12) * COS(23.45*SIN((2*3.1416/365*(I70+284)))* 3.1416 / 180) - -COS(K70 * 3.1416 / 180) * SIN(23.45*SIN((2*3.1416/365*(I70+284)))* 3.1416 / 180))^2)^0.5))))</f>
        <v>1720.45395252417</v>
      </c>
      <c r="O70" s="0" t="n">
        <f aca="false">IF(K70&gt;=15,(0.00000000010508*K70^4 - 0.000000017492*K70^3 + 0.0000012363*K70^2 - 0.000044163*K70 + 0.0008144)*N70^2+( -0.000000028*K70^4 + 0.000013654*K70^3 - 0.0019426*K70^2 + 0.11006*K70 - 2.0905)*N70+0.000087115*K70^4 - 0.024852*K70^3 + 2.6437*K70^2 - 124.35*K70 + 2183.8,N70*0.3835-146.8)</f>
        <v>582.140923864698</v>
      </c>
      <c r="P70" s="0" t="n">
        <f aca="false">O70/2.02</f>
        <v>288.188576170643</v>
      </c>
      <c r="Q70" s="0" t="n">
        <v>53.6467029202368</v>
      </c>
      <c r="R70" s="0" t="n">
        <f aca="false">(198.58*(1/(2/15*ACOS(-TAN(3.1416/180*K70)*TAN(3.1416/180*23.45*SIN((2*3.1416/365*(I70+284)))))/3.1416*180))^2+5.0551/(2/15*ACOS(-TAN(3.1416/180*K70)*TAN(3.1416/180*23.45*SIN((2*3.1416/365*(I70+284)))))/3.1416*180)+1.49)*P70*2.02</f>
        <v>1763.9170600972</v>
      </c>
    </row>
    <row r="71" customFormat="false" ht="15.75" hidden="false" customHeight="false" outlineLevel="0" collapsed="false">
      <c r="B71" s="0" t="n">
        <v>108</v>
      </c>
      <c r="C71" s="0" t="n">
        <f aca="false">B71*2.11</f>
        <v>227.88</v>
      </c>
      <c r="D71" s="0" t="n">
        <f aca="false">C71*10000/1000000*277.78</f>
        <v>633.005064</v>
      </c>
      <c r="E71" s="0" t="n">
        <f aca="false">D71*2.02</f>
        <v>1278.67022928</v>
      </c>
      <c r="I71" s="181" t="n">
        <f aca="false">I70+1</f>
        <v>236</v>
      </c>
      <c r="J71" s="0" t="n">
        <v>12</v>
      </c>
      <c r="K71" s="181" t="n">
        <v>36.67</v>
      </c>
      <c r="L71" s="0" t="n">
        <f aca="false">23.45*SIN((2*3.1416/365*(I71+284)))</f>
        <v>10.6905750806364</v>
      </c>
      <c r="M71" s="0" t="n">
        <f aca="false">2/15*ACOS(-TAN(3.1416/180*K71)*TAN(3.1416/180*23.45*SIN((2*3.1416/365*(I71+284)))))/3.1416*180</f>
        <v>13.0773405532205</v>
      </c>
      <c r="N71" s="0" t="n">
        <f aca="false">2084 * EXP(-0.174353387144778 / SIN(ATAN((--COS(K71 * 3.1416 / 180) * SIN((J71 - 6) * 3.1416/12) * COS(23.45*SIN((2*3.1416/365*(I71+284)))* 3.1416 / 180) + SIN(K71 * 3.1416 / 180) * SIN(23.45*SIN((2*3.1416/365*(I71+284)))* 3.1416 / 180))/(((COS((J71 - 6) * 3.1416/12) * COS(23.45*SIN((2*3.1416/365*(I71+284)))* 3.1416 / 180))^2+(-SIN(K71 * 3.1416 / 180) * SIN((J71 - 6) * 3.1416/12) * COS(23.45*SIN((2*3.1416/365*(I71+284)))* 3.1416 / 180) - -COS(K71 * 3.1416 / 180) * SIN(23.45*SIN((2*3.1416/365*(I71+284)))* 3.1416 / 180))^2)^0.5))))*(0.1+SIN(ATAN((--COS(K71 * 3.1416 / 180) * SIN((J71 - 6) * 3.1416/12) * COS(23.45*SIN((2*3.1416/365*(I71+284)))* 3.1416 / 180) + SIN(K71 * 3.1416 / 180) * SIN(23.45*SIN((2*3.1416/365*(I71+284)))* 3.1416 / 180))/(((COS((J71 - 6) * 3.1416/12) * COS(23.45*SIN((2*3.1416/365*(I71+284)))* 3.1416 / 180))^2+(-SIN(K71 * 3.1416 / 180) * SIN((J71 - 6) * 3.1416/12) * COS(23.45*SIN((2*3.1416/365*(I71+284)))* 3.1416 / 180) - -COS(K71 * 3.1416 / 180) * SIN(23.45*SIN((2*3.1416/365*(I71+284)))* 3.1416 / 180))^2)^0.5))))</f>
        <v>1714.78457045364</v>
      </c>
      <c r="O71" s="0" t="n">
        <f aca="false">IF(K71&gt;=15,(0.00000000010508*K71^4 - 0.000000017492*K71^3 + 0.0000012363*K71^2 - 0.000044163*K71 + 0.0008144)*N71^2+( -0.000000028*K71^4 + 0.000013654*K71^3 - 0.0019426*K71^2 + 0.11006*K71 - 2.0905)*N71+0.000087115*K71^4 - 0.024852*K71^3 + 2.6437*K71^2 - 124.35*K71 + 2183.8,N71*0.3835-146.8)</f>
        <v>578.79093138927</v>
      </c>
      <c r="P71" s="0" t="n">
        <f aca="false">O71/2.02</f>
        <v>286.530164054094</v>
      </c>
      <c r="Q71" s="0" t="n">
        <v>83.7014672064006</v>
      </c>
      <c r="R71" s="0" t="n">
        <f aca="false">(198.58*(1/(2/15*ACOS(-TAN(3.1416/180*K71)*TAN(3.1416/180*23.45*SIN((2*3.1416/365*(I71+284)))))/3.1416*180))^2+5.0551/(2/15*ACOS(-TAN(3.1416/180*K71)*TAN(3.1416/180*23.45*SIN((2*3.1416/365*(I71+284)))))/3.1416*180)+1.49)*P71*2.02</f>
        <v>1758.20846662058</v>
      </c>
    </row>
    <row r="72" customFormat="false" ht="15.75" hidden="false" customHeight="false" outlineLevel="0" collapsed="false">
      <c r="B72" s="0" t="n">
        <v>5</v>
      </c>
      <c r="C72" s="0" t="n">
        <f aca="false">B72*2.11</f>
        <v>10.55</v>
      </c>
      <c r="D72" s="0" t="n">
        <f aca="false">C72*10000/1000000*277.78</f>
        <v>29.30579</v>
      </c>
      <c r="E72" s="0" t="n">
        <f aca="false">D72*2.02</f>
        <v>59.1976958</v>
      </c>
      <c r="I72" s="181" t="n">
        <f aca="false">I71+1</f>
        <v>237</v>
      </c>
      <c r="J72" s="0" t="n">
        <v>12</v>
      </c>
      <c r="K72" s="181" t="n">
        <v>36.67</v>
      </c>
      <c r="L72" s="0" t="n">
        <f aca="false">23.45*SIN((2*3.1416/365*(I72+284)))</f>
        <v>10.3297239761222</v>
      </c>
      <c r="M72" s="0" t="n">
        <f aca="false">2/15*ACOS(-TAN(3.1416/180*K72)*TAN(3.1416/180*23.45*SIN((2*3.1416/365*(I72+284)))))/3.1416*180</f>
        <v>13.0399250674389</v>
      </c>
      <c r="N72" s="0" t="n">
        <f aca="false">2084 * EXP(-0.174353387144778 / SIN(ATAN((--COS(K72 * 3.1416 / 180) * SIN((J72 - 6) * 3.1416/12) * COS(23.45*SIN((2*3.1416/365*(I72+284)))* 3.1416 / 180) + SIN(K72 * 3.1416 / 180) * SIN(23.45*SIN((2*3.1416/365*(I72+284)))* 3.1416 / 180))/(((COS((J72 - 6) * 3.1416/12) * COS(23.45*SIN((2*3.1416/365*(I72+284)))* 3.1416 / 180))^2+(-SIN(K72 * 3.1416 / 180) * SIN((J72 - 6) * 3.1416/12) * COS(23.45*SIN((2*3.1416/365*(I72+284)))* 3.1416 / 180) - -COS(K72 * 3.1416 / 180) * SIN(23.45*SIN((2*3.1416/365*(I72+284)))* 3.1416 / 180))^2)^0.5))))*(0.1+SIN(ATAN((--COS(K72 * 3.1416 / 180) * SIN((J72 - 6) * 3.1416/12) * COS(23.45*SIN((2*3.1416/365*(I72+284)))* 3.1416 / 180) + SIN(K72 * 3.1416 / 180) * SIN(23.45*SIN((2*3.1416/365*(I72+284)))* 3.1416 / 180))/(((COS((J72 - 6) * 3.1416/12) * COS(23.45*SIN((2*3.1416/365*(I72+284)))* 3.1416 / 180))^2+(-SIN(K72 * 3.1416 / 180) * SIN((J72 - 6) * 3.1416/12) * COS(23.45*SIN((2*3.1416/365*(I72+284)))* 3.1416 / 180) - -COS(K72 * 3.1416 / 180) * SIN(23.45*SIN((2*3.1416/365*(I72+284)))* 3.1416 / 180))^2)^0.5))))</f>
        <v>1708.99088377253</v>
      </c>
      <c r="O72" s="0" t="n">
        <f aca="false">IF(K72&gt;=15,(0.00000000010508*K72^4 - 0.000000017492*K72^3 + 0.0000012363*K72^2 - 0.000044163*K72 + 0.0008144)*N72^2+( -0.000000028*K72^4 + 0.000013654*K72^3 - 0.0019426*K72^2 + 0.11006*K72 - 2.0905)*N72+0.000087115*K72^4 - 0.024852*K72^3 + 2.6437*K72^2 - 124.35*K72 + 2183.8,N72*0.3835-146.8)</f>
        <v>575.379765507119</v>
      </c>
      <c r="P72" s="0" t="n">
        <f aca="false">O72/2.02</f>
        <v>284.841468072831</v>
      </c>
      <c r="Q72" s="0" t="n">
        <v>128.232599073841</v>
      </c>
      <c r="R72" s="0" t="n">
        <f aca="false">(198.58*(1/(2/15*ACOS(-TAN(3.1416/180*K72)*TAN(3.1416/180*23.45*SIN((2*3.1416/365*(I72+284)))))/3.1416*180))^2+5.0551/(2/15*ACOS(-TAN(3.1416/180*K72)*TAN(3.1416/180*23.45*SIN((2*3.1416/365*(I72+284)))))/3.1416*180)+1.49)*P72*2.02</f>
        <v>1752.32400341212</v>
      </c>
    </row>
    <row r="73" customFormat="false" ht="15.75" hidden="false" customHeight="false" outlineLevel="0" collapsed="false">
      <c r="B73" s="0" t="n">
        <v>1</v>
      </c>
      <c r="C73" s="0" t="n">
        <f aca="false">B73*2.11</f>
        <v>2.11</v>
      </c>
      <c r="D73" s="0" t="n">
        <f aca="false">C73*10000/1000000*277.78</f>
        <v>5.861158</v>
      </c>
      <c r="E73" s="0" t="n">
        <f aca="false">D73*2.02</f>
        <v>11.83953916</v>
      </c>
      <c r="I73" s="181" t="n">
        <f aca="false">I72+1</f>
        <v>238</v>
      </c>
      <c r="J73" s="0" t="n">
        <v>12</v>
      </c>
      <c r="K73" s="181" t="n">
        <v>36.67</v>
      </c>
      <c r="L73" s="0" t="n">
        <f aca="false">23.45*SIN((2*3.1416/365*(I73+284)))</f>
        <v>9.96581193714492</v>
      </c>
      <c r="M73" s="0" t="n">
        <f aca="false">2/15*ACOS(-TAN(3.1416/180*K73)*TAN(3.1416/180*23.45*SIN((2*3.1416/365*(I73+284)))))/3.1416*180</f>
        <v>13.0023044067128</v>
      </c>
      <c r="N73" s="0" t="n">
        <f aca="false">2084 * EXP(-0.174353387144778 / SIN(ATAN((--COS(K73 * 3.1416 / 180) * SIN((J73 - 6) * 3.1416/12) * COS(23.45*SIN((2*3.1416/365*(I73+284)))* 3.1416 / 180) + SIN(K73 * 3.1416 / 180) * SIN(23.45*SIN((2*3.1416/365*(I73+284)))* 3.1416 / 180))/(((COS((J73 - 6) * 3.1416/12) * COS(23.45*SIN((2*3.1416/365*(I73+284)))* 3.1416 / 180))^2+(-SIN(K73 * 3.1416 / 180) * SIN((J73 - 6) * 3.1416/12) * COS(23.45*SIN((2*3.1416/365*(I73+284)))* 3.1416 / 180) - -COS(K73 * 3.1416 / 180) * SIN(23.45*SIN((2*3.1416/365*(I73+284)))* 3.1416 / 180))^2)^0.5))))*(0.1+SIN(ATAN((--COS(K73 * 3.1416 / 180) * SIN((J73 - 6) * 3.1416/12) * COS(23.45*SIN((2*3.1416/365*(I73+284)))* 3.1416 / 180) + SIN(K73 * 3.1416 / 180) * SIN(23.45*SIN((2*3.1416/365*(I73+284)))* 3.1416 / 180))/(((COS((J73 - 6) * 3.1416/12) * COS(23.45*SIN((2*3.1416/365*(I73+284)))* 3.1416 / 180))^2+(-SIN(K73 * 3.1416 / 180) * SIN((J73 - 6) * 3.1416/12) * COS(23.45*SIN((2*3.1416/365*(I73+284)))* 3.1416 / 180) - -COS(K73 * 3.1416 / 180) * SIN(23.45*SIN((2*3.1416/365*(I73+284)))* 3.1416 / 180))^2)^0.5))))</f>
        <v>1703.07291456724</v>
      </c>
      <c r="O73" s="0" t="n">
        <f aca="false">IF(K73&gt;=15,(0.00000000010508*K73^4 - 0.000000017492*K73^3 + 0.0000012363*K73^2 - 0.000044163*K73 + 0.0008144)*N73^2+( -0.000000028*K73^4 + 0.000013654*K73^3 - 0.0019426*K73^2 + 0.11006*K73 - 2.0905)*N73+0.000087115*K73^4 - 0.024852*K73^3 + 2.6437*K73^2 - 124.35*K73 + 2183.8,N73*0.3835-146.8)</f>
        <v>571.908237947553</v>
      </c>
      <c r="P73" s="0" t="n">
        <f aca="false">O73/2.02</f>
        <v>283.122890073046</v>
      </c>
      <c r="Q73" s="0" t="n">
        <v>164.119144562752</v>
      </c>
      <c r="R73" s="0" t="n">
        <f aca="false">(198.58*(1/(2/15*ACOS(-TAN(3.1416/180*K73)*TAN(3.1416/180*23.45*SIN((2*3.1416/365*(I73+284)))))/3.1416*180))^2+5.0551/(2/15*ACOS(-TAN(3.1416/180*K73)*TAN(3.1416/180*23.45*SIN((2*3.1416/365*(I73+284)))))/3.1416*180)+1.49)*P73*2.02</f>
        <v>1746.26349827524</v>
      </c>
    </row>
    <row r="74" customFormat="false" ht="15.75" hidden="false" customHeight="false" outlineLevel="0" collapsed="false">
      <c r="B74" s="0" t="n">
        <v>3</v>
      </c>
      <c r="C74" s="0" t="n">
        <f aca="false">B74*2.11</f>
        <v>6.33</v>
      </c>
      <c r="D74" s="0" t="n">
        <f aca="false">C74*10000/1000000*277.78</f>
        <v>17.583474</v>
      </c>
      <c r="E74" s="0" t="n">
        <f aca="false">D74*2.02</f>
        <v>35.51861748</v>
      </c>
      <c r="I74" s="181" t="n">
        <f aca="false">I73+1</f>
        <v>239</v>
      </c>
      <c r="J74" s="0" t="n">
        <v>12</v>
      </c>
      <c r="K74" s="181" t="n">
        <v>36.67</v>
      </c>
      <c r="L74" s="0" t="n">
        <f aca="false">23.45*SIN((2*3.1416/365*(I74+284)))</f>
        <v>9.59894679919998</v>
      </c>
      <c r="M74" s="0" t="n">
        <f aca="false">2/15*ACOS(-TAN(3.1416/180*K74)*TAN(3.1416/180*23.45*SIN((2*3.1416/365*(I74+284)))))/3.1416*180</f>
        <v>12.9644879989451</v>
      </c>
      <c r="N74" s="0" t="n">
        <f aca="false">2084 * EXP(-0.174353387144778 / SIN(ATAN((--COS(K74 * 3.1416 / 180) * SIN((J74 - 6) * 3.1416/12) * COS(23.45*SIN((2*3.1416/365*(I74+284)))* 3.1416 / 180) + SIN(K74 * 3.1416 / 180) * SIN(23.45*SIN((2*3.1416/365*(I74+284)))* 3.1416 / 180))/(((COS((J74 - 6) * 3.1416/12) * COS(23.45*SIN((2*3.1416/365*(I74+284)))* 3.1416 / 180))^2+(-SIN(K74 * 3.1416 / 180) * SIN((J74 - 6) * 3.1416/12) * COS(23.45*SIN((2*3.1416/365*(I74+284)))* 3.1416 / 180) - -COS(K74 * 3.1416 / 180) * SIN(23.45*SIN((2*3.1416/365*(I74+284)))* 3.1416 / 180))^2)^0.5))))*(0.1+SIN(ATAN((--COS(K74 * 3.1416 / 180) * SIN((J74 - 6) * 3.1416/12) * COS(23.45*SIN((2*3.1416/365*(I74+284)))* 3.1416 / 180) + SIN(K74 * 3.1416 / 180) * SIN(23.45*SIN((2*3.1416/365*(I74+284)))* 3.1416 / 180))/(((COS((J74 - 6) * 3.1416/12) * COS(23.45*SIN((2*3.1416/365*(I74+284)))* 3.1416 / 180))^2+(-SIN(K74 * 3.1416 / 180) * SIN((J74 - 6) * 3.1416/12) * COS(23.45*SIN((2*3.1416/365*(I74+284)))* 3.1416 / 180) - -COS(K74 * 3.1416 / 180) * SIN(23.45*SIN((2*3.1416/365*(I74+284)))* 3.1416 / 180))^2)^0.5))))</f>
        <v>1697.03078706452</v>
      </c>
      <c r="O74" s="0" t="n">
        <f aca="false">IF(K74&gt;=15,(0.00000000010508*K74^4 - 0.000000017492*K74^3 + 0.0000012363*K74^2 - 0.000044163*K74 + 0.0008144)*N74^2+( -0.000000028*K74^4 + 0.000013654*K74^3 - 0.0019426*K74^2 + 0.11006*K74 - 2.0905)*N74+0.000087115*K74^4 - 0.024852*K74^3 + 2.6437*K74^2 - 124.35*K74 + 2183.8,N74*0.3835-146.8)</f>
        <v>568.3772369573</v>
      </c>
      <c r="P74" s="0" t="n">
        <f aca="false">O74/2.02</f>
        <v>281.374869780841</v>
      </c>
      <c r="Q74" s="0" t="n">
        <v>140.954963930191</v>
      </c>
      <c r="R74" s="0" t="n">
        <f aca="false">(198.58*(1/(2/15*ACOS(-TAN(3.1416/180*K74)*TAN(3.1416/180*23.45*SIN((2*3.1416/365*(I74+284)))))/3.1416*180))^2+5.0551/(2/15*ACOS(-TAN(3.1416/180*K74)*TAN(3.1416/180*23.45*SIN((2*3.1416/365*(I74+284)))))/3.1416*180)+1.49)*P74*2.02</f>
        <v>1740.02700982835</v>
      </c>
    </row>
    <row r="75" customFormat="false" ht="15.75" hidden="false" customHeight="false" outlineLevel="0" collapsed="false">
      <c r="B75" s="0" t="n">
        <v>13</v>
      </c>
      <c r="C75" s="0" t="n">
        <f aca="false">B75*2.11</f>
        <v>27.43</v>
      </c>
      <c r="D75" s="0" t="n">
        <f aca="false">C75*10000/1000000*277.78</f>
        <v>76.195054</v>
      </c>
      <c r="E75" s="0" t="n">
        <f aca="false">D75*2.02</f>
        <v>153.91400908</v>
      </c>
      <c r="I75" s="181" t="n">
        <f aca="false">I74+1</f>
        <v>240</v>
      </c>
      <c r="J75" s="0" t="n">
        <v>12</v>
      </c>
      <c r="K75" s="181" t="n">
        <v>36.67</v>
      </c>
      <c r="L75" s="0" t="n">
        <f aca="false">23.45*SIN((2*3.1416/365*(I75+284)))</f>
        <v>9.22923727285375</v>
      </c>
      <c r="M75" s="0" t="n">
        <f aca="false">2/15*ACOS(-TAN(3.1416/180*K75)*TAN(3.1416/180*23.45*SIN((2*3.1416/365*(I75+284)))))/3.1416*180</f>
        <v>12.9264850934358</v>
      </c>
      <c r="N75" s="0" t="n">
        <f aca="false">2084 * EXP(-0.174353387144778 / SIN(ATAN((--COS(K75 * 3.1416 / 180) * SIN((J75 - 6) * 3.1416/12) * COS(23.45*SIN((2*3.1416/365*(I75+284)))* 3.1416 / 180) + SIN(K75 * 3.1416 / 180) * SIN(23.45*SIN((2*3.1416/365*(I75+284)))* 3.1416 / 180))/(((COS((J75 - 6) * 3.1416/12) * COS(23.45*SIN((2*3.1416/365*(I75+284)))* 3.1416 / 180))^2+(-SIN(K75 * 3.1416 / 180) * SIN((J75 - 6) * 3.1416/12) * COS(23.45*SIN((2*3.1416/365*(I75+284)))* 3.1416 / 180) - -COS(K75 * 3.1416 / 180) * SIN(23.45*SIN((2*3.1416/365*(I75+284)))* 3.1416 / 180))^2)^0.5))))*(0.1+SIN(ATAN((--COS(K75 * 3.1416 / 180) * SIN((J75 - 6) * 3.1416/12) * COS(23.45*SIN((2*3.1416/365*(I75+284)))* 3.1416 / 180) + SIN(K75 * 3.1416 / 180) * SIN(23.45*SIN((2*3.1416/365*(I75+284)))* 3.1416 / 180))/(((COS((J75 - 6) * 3.1416/12) * COS(23.45*SIN((2*3.1416/365*(I75+284)))* 3.1416 / 180))^2+(-SIN(K75 * 3.1416 / 180) * SIN((J75 - 6) * 3.1416/12) * COS(23.45*SIN((2*3.1416/365*(I75+284)))* 3.1416 / 180) - -COS(K75 * 3.1416 / 180) * SIN(23.45*SIN((2*3.1416/365*(I75+284)))* 3.1416 / 180))^2)^0.5))))</f>
        <v>1690.8647296587</v>
      </c>
      <c r="O75" s="0" t="n">
        <f aca="false">IF(K75&gt;=15,(0.00000000010508*K75^4 - 0.000000017492*K75^3 + 0.0000012363*K75^2 - 0.000044163*K75 + 0.0008144)*N75^2+( -0.000000028*K75^4 + 0.000013654*K75^3 - 0.0019426*K75^2 + 0.11006*K75 - 2.0905)*N75+0.000087115*K75^4 - 0.024852*K75^3 + 2.6437*K75^2 - 124.35*K75 + 2183.8,N75*0.3835-146.8)</f>
        <v>564.787727303882</v>
      </c>
      <c r="P75" s="0" t="n">
        <f aca="false">O75/2.02</f>
        <v>279.597884803902</v>
      </c>
      <c r="Q75" s="0" t="n">
        <v>67.4056908392136</v>
      </c>
      <c r="R75" s="0" t="n">
        <f aca="false">(198.58*(1/(2/15*ACOS(-TAN(3.1416/180*K75)*TAN(3.1416/180*23.45*SIN((2*3.1416/365*(I75+284)))))/3.1416*180))^2+5.0551/(2/15*ACOS(-TAN(3.1416/180*K75)*TAN(3.1416/180*23.45*SIN((2*3.1416/365*(I75+284)))))/3.1416*180)+1.49)*P75*2.02</f>
        <v>1733.61483094141</v>
      </c>
    </row>
    <row r="76" customFormat="false" ht="15.75" hidden="false" customHeight="false" outlineLevel="0" collapsed="false">
      <c r="B76" s="0" t="n">
        <v>14</v>
      </c>
      <c r="C76" s="0" t="n">
        <f aca="false">B76*2.11</f>
        <v>29.54</v>
      </c>
      <c r="D76" s="0" t="n">
        <f aca="false">C76*10000/1000000*277.78</f>
        <v>82.056212</v>
      </c>
      <c r="E76" s="0" t="n">
        <f aca="false">D76*2.02</f>
        <v>165.75354824</v>
      </c>
      <c r="I76" s="181" t="n">
        <f aca="false">I75+1</f>
        <v>241</v>
      </c>
      <c r="J76" s="0" t="n">
        <v>12</v>
      </c>
      <c r="K76" s="181" t="n">
        <v>36.67</v>
      </c>
      <c r="L76" s="0" t="n">
        <f aca="false">23.45*SIN((2*3.1416/365*(I76+284)))</f>
        <v>8.8567929115302</v>
      </c>
      <c r="M76" s="0" t="n">
        <f aca="false">2/15*ACOS(-TAN(3.1416/180*K76)*TAN(3.1416/180*23.45*SIN((2*3.1416/365*(I76+284)))))/3.1416*180</f>
        <v>12.8883047646504</v>
      </c>
      <c r="N76" s="0" t="n">
        <f aca="false">2084 * EXP(-0.174353387144778 / SIN(ATAN((--COS(K76 * 3.1416 / 180) * SIN((J76 - 6) * 3.1416/12) * COS(23.45*SIN((2*3.1416/365*(I76+284)))* 3.1416 / 180) + SIN(K76 * 3.1416 / 180) * SIN(23.45*SIN((2*3.1416/365*(I76+284)))* 3.1416 / 180))/(((COS((J76 - 6) * 3.1416/12) * COS(23.45*SIN((2*3.1416/365*(I76+284)))* 3.1416 / 180))^2+(-SIN(K76 * 3.1416 / 180) * SIN((J76 - 6) * 3.1416/12) * COS(23.45*SIN((2*3.1416/365*(I76+284)))* 3.1416 / 180) - -COS(K76 * 3.1416 / 180) * SIN(23.45*SIN((2*3.1416/365*(I76+284)))* 3.1416 / 180))^2)^0.5))))*(0.1+SIN(ATAN((--COS(K76 * 3.1416 / 180) * SIN((J76 - 6) * 3.1416/12) * COS(23.45*SIN((2*3.1416/365*(I76+284)))* 3.1416 / 180) + SIN(K76 * 3.1416 / 180) * SIN(23.45*SIN((2*3.1416/365*(I76+284)))* 3.1416 / 180))/(((COS((J76 - 6) * 3.1416/12) * COS(23.45*SIN((2*3.1416/365*(I76+284)))* 3.1416 / 180))^2+(-SIN(K76 * 3.1416 / 180) * SIN((J76 - 6) * 3.1416/12) * COS(23.45*SIN((2*3.1416/365*(I76+284)))* 3.1416 / 180) - -COS(K76 * 3.1416 / 180) * SIN(23.45*SIN((2*3.1416/365*(I76+284)))* 3.1416 / 180))^2)^0.5))))</f>
        <v>1684.57507679819</v>
      </c>
      <c r="O76" s="0" t="n">
        <f aca="false">IF(K76&gt;=15,(0.00000000010508*K76^4 - 0.000000017492*K76^3 + 0.0000012363*K76^2 - 0.000044163*K76 + 0.0008144)*N76^2+( -0.000000028*K76^4 + 0.000013654*K76^3 - 0.0019426*K76^2 + 0.11006*K76 - 2.0905)*N76+0.000087115*K76^4 - 0.024852*K76^3 + 2.6437*K76^2 - 124.35*K76 + 2183.8,N76*0.3835-146.8)</f>
        <v>561.14075009907</v>
      </c>
      <c r="P76" s="0" t="n">
        <f aca="false">O76/2.02</f>
        <v>277.792450544094</v>
      </c>
      <c r="Q76" s="0" t="n">
        <v>133.813988470262</v>
      </c>
      <c r="R76" s="0" t="n">
        <f aca="false">(198.58*(1/(2/15*ACOS(-TAN(3.1416/180*K76)*TAN(3.1416/180*23.45*SIN((2*3.1416/365*(I76+284)))))/3.1416*180))^2+5.0551/(2/15*ACOS(-TAN(3.1416/180*K76)*TAN(3.1416/180*23.45*SIN((2*3.1416/365*(I76+284)))))/3.1416*180)+1.49)*P76*2.02</f>
        <v>1727.02749169355</v>
      </c>
    </row>
    <row r="77" customFormat="false" ht="15.75" hidden="false" customHeight="false" outlineLevel="0" collapsed="false">
      <c r="B77" s="0" t="n">
        <v>3</v>
      </c>
      <c r="C77" s="0" t="n">
        <f aca="false">B77*2.11</f>
        <v>6.33</v>
      </c>
      <c r="D77" s="0" t="n">
        <f aca="false">C77*10000/1000000*277.78</f>
        <v>17.583474</v>
      </c>
      <c r="E77" s="0" t="n">
        <f aca="false">D77*2.02</f>
        <v>35.51861748</v>
      </c>
      <c r="I77" s="181" t="n">
        <f aca="false">I76+1</f>
        <v>242</v>
      </c>
      <c r="J77" s="0" t="n">
        <v>12</v>
      </c>
      <c r="K77" s="181" t="n">
        <v>36.67</v>
      </c>
      <c r="L77" s="0" t="n">
        <f aca="false">23.45*SIN((2*3.1416/365*(I77+284)))</f>
        <v>8.48172407904776</v>
      </c>
      <c r="M77" s="0" t="n">
        <f aca="false">2/15*ACOS(-TAN(3.1416/180*K77)*TAN(3.1416/180*23.45*SIN((2*3.1416/365*(I77+284)))))/3.1416*180</f>
        <v>12.8499559164101</v>
      </c>
      <c r="N77" s="0" t="n">
        <f aca="false">2084 * EXP(-0.174353387144778 / SIN(ATAN((--COS(K77 * 3.1416 / 180) * SIN((J77 - 6) * 3.1416/12) * COS(23.45*SIN((2*3.1416/365*(I77+284)))* 3.1416 / 180) + SIN(K77 * 3.1416 / 180) * SIN(23.45*SIN((2*3.1416/365*(I77+284)))* 3.1416 / 180))/(((COS((J77 - 6) * 3.1416/12) * COS(23.45*SIN((2*3.1416/365*(I77+284)))* 3.1416 / 180))^2+(-SIN(K77 * 3.1416 / 180) * SIN((J77 - 6) * 3.1416/12) * COS(23.45*SIN((2*3.1416/365*(I77+284)))* 3.1416 / 180) - -COS(K77 * 3.1416 / 180) * SIN(23.45*SIN((2*3.1416/365*(I77+284)))* 3.1416 / 180))^2)^0.5))))*(0.1+SIN(ATAN((--COS(K77 * 3.1416 / 180) * SIN((J77 - 6) * 3.1416/12) * COS(23.45*SIN((2*3.1416/365*(I77+284)))* 3.1416 / 180) + SIN(K77 * 3.1416 / 180) * SIN(23.45*SIN((2*3.1416/365*(I77+284)))* 3.1416 / 180))/(((COS((J77 - 6) * 3.1416/12) * COS(23.45*SIN((2*3.1416/365*(I77+284)))* 3.1416 / 180))^2+(-SIN(K77 * 3.1416 / 180) * SIN((J77 - 6) * 3.1416/12) * COS(23.45*SIN((2*3.1416/365*(I77+284)))* 3.1416 / 180) - -COS(K77 * 3.1416 / 180) * SIN(23.45*SIN((2*3.1416/365*(I77+284)))* 3.1416 / 180))^2)^0.5))))</f>
        <v>1678.16227072742</v>
      </c>
      <c r="O77" s="0" t="n">
        <f aca="false">IF(K77&gt;=15,(0.00000000010508*K77^4 - 0.000000017492*K77^3 + 0.0000012363*K77^2 - 0.000044163*K77 + 0.0008144)*N77^2+( -0.000000028*K77^4 + 0.000013654*K77^3 - 0.0019426*K77^2 + 0.11006*K77 - 2.0905)*N77+0.000087115*K77^4 - 0.024852*K77^3 + 2.6437*K77^2 - 124.35*K77 + 2183.8,N77*0.3835-146.8)</f>
        <v>557.437422440947</v>
      </c>
      <c r="P77" s="0" t="n">
        <f aca="false">O77/2.02</f>
        <v>275.959120020271</v>
      </c>
      <c r="Q77" s="0" t="n">
        <v>129.84150548135</v>
      </c>
      <c r="R77" s="0" t="n">
        <f aca="false">(198.58*(1/(2/15*ACOS(-TAN(3.1416/180*K77)*TAN(3.1416/180*23.45*SIN((2*3.1416/365*(I77+284)))))/3.1416*180))^2+5.0551/(2/15*ACOS(-TAN(3.1416/180*K77)*TAN(3.1416/180*23.45*SIN((2*3.1416/365*(I77+284)))))/3.1416*180)+1.49)*P77*2.02</f>
        <v>1720.26576183846</v>
      </c>
    </row>
    <row r="78" customFormat="false" ht="15.75" hidden="false" customHeight="false" outlineLevel="0" collapsed="false">
      <c r="B78" s="0" t="n">
        <v>0</v>
      </c>
      <c r="C78" s="0" t="n">
        <f aca="false">B78*2.11</f>
        <v>0</v>
      </c>
      <c r="D78" s="0" t="n">
        <f aca="false">C78*10000/1000000*277.78</f>
        <v>0</v>
      </c>
      <c r="E78" s="0" t="n">
        <f aca="false">D78*2.02</f>
        <v>0</v>
      </c>
      <c r="I78" s="181" t="n">
        <f aca="false">I77+1</f>
        <v>243</v>
      </c>
      <c r="J78" s="0" t="n">
        <v>12</v>
      </c>
      <c r="K78" s="181" t="n">
        <v>36.67</v>
      </c>
      <c r="L78" s="0" t="n">
        <f aca="false">23.45*SIN((2*3.1416/365*(I78+284)))</f>
        <v>8.10414191691592</v>
      </c>
      <c r="M78" s="0" t="n">
        <f aca="false">2/15*ACOS(-TAN(3.1416/180*K78)*TAN(3.1416/180*23.45*SIN((2*3.1416/365*(I78+284)))))/3.1416*180</f>
        <v>12.8114472864825</v>
      </c>
      <c r="N78" s="0" t="n">
        <f aca="false">2084 * EXP(-0.174353387144778 / SIN(ATAN((--COS(K78 * 3.1416 / 180) * SIN((J78 - 6) * 3.1416/12) * COS(23.45*SIN((2*3.1416/365*(I78+284)))* 3.1416 / 180) + SIN(K78 * 3.1416 / 180) * SIN(23.45*SIN((2*3.1416/365*(I78+284)))* 3.1416 / 180))/(((COS((J78 - 6) * 3.1416/12) * COS(23.45*SIN((2*3.1416/365*(I78+284)))* 3.1416 / 180))^2+(-SIN(K78 * 3.1416 / 180) * SIN((J78 - 6) * 3.1416/12) * COS(23.45*SIN((2*3.1416/365*(I78+284)))* 3.1416 / 180) - -COS(K78 * 3.1416 / 180) * SIN(23.45*SIN((2*3.1416/365*(I78+284)))* 3.1416 / 180))^2)^0.5))))*(0.1+SIN(ATAN((--COS(K78 * 3.1416 / 180) * SIN((J78 - 6) * 3.1416/12) * COS(23.45*SIN((2*3.1416/365*(I78+284)))* 3.1416 / 180) + SIN(K78 * 3.1416 / 180) * SIN(23.45*SIN((2*3.1416/365*(I78+284)))* 3.1416 / 180))/(((COS((J78 - 6) * 3.1416/12) * COS(23.45*SIN((2*3.1416/365*(I78+284)))* 3.1416 / 180))^2+(-SIN(K78 * 3.1416 / 180) * SIN((J78 - 6) * 3.1416/12) * COS(23.45*SIN((2*3.1416/365*(I78+284)))* 3.1416 / 180) - -COS(K78 * 3.1416 / 180) * SIN(23.45*SIN((2*3.1416/365*(I78+284)))* 3.1416 / 180))^2)^0.5))))</f>
        <v>1671.62686308075</v>
      </c>
      <c r="O78" s="0" t="n">
        <f aca="false">IF(K78&gt;=15,(0.00000000010508*K78^4 - 0.000000017492*K78^3 + 0.0000012363*K78^2 - 0.000044163*K78 + 0.0008144)*N78^2+( -0.000000028*K78^4 + 0.000013654*K78^3 - 0.0019426*K78^2 + 0.11006*K78 - 2.0905)*N78+0.000087115*K78^4 - 0.024852*K78^3 + 2.6437*K78^2 - 124.35*K78 + 2183.8,N78*0.3835-146.8)</f>
        <v>553.678936873649</v>
      </c>
      <c r="P78" s="0" t="n">
        <f aca="false">O78/2.02</f>
        <v>274.098483600816</v>
      </c>
      <c r="Q78" s="0" t="n">
        <v>59.5255107264365</v>
      </c>
      <c r="R78" s="0" t="n">
        <f aca="false">(198.58*(1/(2/15*ACOS(-TAN(3.1416/180*K78)*TAN(3.1416/180*23.45*SIN((2*3.1416/365*(I78+284)))))/3.1416*180))^2+5.0551/(2/15*ACOS(-TAN(3.1416/180*K78)*TAN(3.1416/180*23.45*SIN((2*3.1416/365*(I78+284)))))/3.1416*180)+1.49)*P78*2.02</f>
        <v>1713.33065276583</v>
      </c>
    </row>
    <row r="79" customFormat="false" ht="15.75" hidden="false" customHeight="false" outlineLevel="0" collapsed="false">
      <c r="B79" s="0" t="n">
        <v>0</v>
      </c>
      <c r="C79" s="0" t="n">
        <f aca="false">B79*2.11</f>
        <v>0</v>
      </c>
      <c r="D79" s="0" t="n">
        <v>900</v>
      </c>
      <c r="E79" s="0" t="n">
        <f aca="false">D79*2.02</f>
        <v>1818</v>
      </c>
      <c r="I79" s="181" t="n">
        <f aca="false">I78+1</f>
        <v>244</v>
      </c>
      <c r="J79" s="0" t="n">
        <v>12</v>
      </c>
      <c r="K79" s="181" t="n">
        <v>36.67</v>
      </c>
      <c r="L79" s="0" t="n">
        <f aca="false">23.45*SIN((2*3.1416/365*(I79+284)))</f>
        <v>7.72415831140146</v>
      </c>
      <c r="M79" s="0" t="n">
        <f aca="false">2/15*ACOS(-TAN(3.1416/180*K79)*TAN(3.1416/180*23.45*SIN((2*3.1416/365*(I79+284)))))/3.1416*180</f>
        <v>12.7727874515466</v>
      </c>
      <c r="N79" s="0" t="n">
        <f aca="false">2084 * EXP(-0.174353387144778 / SIN(ATAN((--COS(K79 * 3.1416 / 180) * SIN((J79 - 6) * 3.1416/12) * COS(23.45*SIN((2*3.1416/365*(I79+284)))* 3.1416 / 180) + SIN(K79 * 3.1416 / 180) * SIN(23.45*SIN((2*3.1416/365*(I79+284)))* 3.1416 / 180))/(((COS((J79 - 6) * 3.1416/12) * COS(23.45*SIN((2*3.1416/365*(I79+284)))* 3.1416 / 180))^2+(-SIN(K79 * 3.1416 / 180) * SIN((J79 - 6) * 3.1416/12) * COS(23.45*SIN((2*3.1416/365*(I79+284)))* 3.1416 / 180) - -COS(K79 * 3.1416 / 180) * SIN(23.45*SIN((2*3.1416/365*(I79+284)))* 3.1416 / 180))^2)^0.5))))*(0.1+SIN(ATAN((--COS(K79 * 3.1416 / 180) * SIN((J79 - 6) * 3.1416/12) * COS(23.45*SIN((2*3.1416/365*(I79+284)))* 3.1416 / 180) + SIN(K79 * 3.1416 / 180) * SIN(23.45*SIN((2*3.1416/365*(I79+284)))* 3.1416 / 180))/(((COS((J79 - 6) * 3.1416/12) * COS(23.45*SIN((2*3.1416/365*(I79+284)))* 3.1416 / 180))^2+(-SIN(K79 * 3.1416 / 180) * SIN((J79 - 6) * 3.1416/12) * COS(23.45*SIN((2*3.1416/365*(I79+284)))* 3.1416 / 180) - -COS(K79 * 3.1416 / 180) * SIN(23.45*SIN((2*3.1416/365*(I79+284)))* 3.1416 / 180))^2)^0.5))))</f>
        <v>1664.96951632515</v>
      </c>
      <c r="O79" s="0" t="n">
        <f aca="false">IF(K79&gt;=15,(0.00000000010508*K79^4 - 0.000000017492*K79^3 + 0.0000012363*K79^2 - 0.000044163*K79 + 0.0008144)*N79^2+( -0.000000028*K79^4 + 0.000013654*K79^3 - 0.0019426*K79^2 + 0.11006*K79 - 2.0905)*N79+0.000087115*K79^4 - 0.024852*K79^3 + 2.6437*K79^2 - 124.35*K79 + 2183.8,N79*0.3835-146.8)</f>
        <v>549.86656066446</v>
      </c>
      <c r="P79" s="0" t="n">
        <f aca="false">O79/2.02</f>
        <v>272.211168645772</v>
      </c>
      <c r="Q79" s="0" t="n">
        <v>163.682073777721</v>
      </c>
      <c r="R79" s="0" t="n">
        <f aca="false">(198.58*(1/(2/15*ACOS(-TAN(3.1416/180*K79)*TAN(3.1416/180*23.45*SIN((2*3.1416/365*(I79+284)))))/3.1416*180))^2+5.0551/(2/15*ACOS(-TAN(3.1416/180*K79)*TAN(3.1416/180*23.45*SIN((2*3.1416/365*(I79+284)))))/3.1416*180)+1.49)*P79*2.02</f>
        <v>1706.22341894847</v>
      </c>
    </row>
    <row r="80" customFormat="false" ht="15.75" hidden="false" customHeight="false" outlineLevel="0" collapsed="false">
      <c r="I80" s="181" t="n">
        <f aca="false">I79+1</f>
        <v>245</v>
      </c>
      <c r="J80" s="0" t="n">
        <v>12</v>
      </c>
      <c r="K80" s="181" t="n">
        <v>36.67</v>
      </c>
      <c r="L80" s="0" t="n">
        <f aca="false">23.45*SIN((2*3.1416/365*(I80+284)))</f>
        <v>7.34188586037402</v>
      </c>
      <c r="M80" s="0" t="n">
        <f aca="false">2/15*ACOS(-TAN(3.1416/180*K80)*TAN(3.1416/180*23.45*SIN((2*3.1416/365*(I80+284)))))/3.1416*180</f>
        <v>12.7339848325144</v>
      </c>
      <c r="N80" s="0" t="n">
        <f aca="false">2084 * EXP(-0.174353387144778 / SIN(ATAN((--COS(K80 * 3.1416 / 180) * SIN((J80 - 6) * 3.1416/12) * COS(23.45*SIN((2*3.1416/365*(I80+284)))* 3.1416 / 180) + SIN(K80 * 3.1416 / 180) * SIN(23.45*SIN((2*3.1416/365*(I80+284)))* 3.1416 / 180))/(((COS((J80 - 6) * 3.1416/12) * COS(23.45*SIN((2*3.1416/365*(I80+284)))* 3.1416 / 180))^2+(-SIN(K80 * 3.1416 / 180) * SIN((J80 - 6) * 3.1416/12) * COS(23.45*SIN((2*3.1416/365*(I80+284)))* 3.1416 / 180) - -COS(K80 * 3.1416 / 180) * SIN(23.45*SIN((2*3.1416/365*(I80+284)))* 3.1416 / 180))^2)^0.5))))*(0.1+SIN(ATAN((--COS(K80 * 3.1416 / 180) * SIN((J80 - 6) * 3.1416/12) * COS(23.45*SIN((2*3.1416/365*(I80+284)))* 3.1416 / 180) + SIN(K80 * 3.1416 / 180) * SIN(23.45*SIN((2*3.1416/365*(I80+284)))* 3.1416 / 180))/(((COS((J80 - 6) * 3.1416/12) * COS(23.45*SIN((2*3.1416/365*(I80+284)))* 3.1416 / 180))^2+(-SIN(K80 * 3.1416 / 180) * SIN((J80 - 6) * 3.1416/12) * COS(23.45*SIN((2*3.1416/365*(I80+284)))* 3.1416 / 180) - -COS(K80 * 3.1416 / 180) * SIN(23.45*SIN((2*3.1416/365*(I80+284)))* 3.1416 / 180))^2)^0.5))))</f>
        <v>1658.19100504863</v>
      </c>
      <c r="O80" s="0" t="n">
        <f aca="false">IF(K80&gt;=15,(0.00000000010508*K80^4 - 0.000000017492*K80^3 + 0.0000012363*K80^2 - 0.000044163*K80 + 0.0008144)*N80^2+( -0.000000028*K80^4 + 0.000013654*K80^3 - 0.0019426*K80^2 + 0.11006*K80 - 2.0905)*N80+0.000087115*K80^4 - 0.024852*K80^3 + 2.6437*K80^2 - 124.35*K80 + 2183.8,N80*0.3835-146.8)</f>
        <v>546.001634898484</v>
      </c>
      <c r="P80" s="0" t="n">
        <f aca="false">O80/2.02</f>
        <v>270.297839058655</v>
      </c>
      <c r="Q80" s="0" t="n">
        <v>79.4421288274948</v>
      </c>
      <c r="R80" s="0" t="n">
        <f aca="false">(198.58*(1/(2/15*ACOS(-TAN(3.1416/180*K80)*TAN(3.1416/180*23.45*SIN((2*3.1416/365*(I80+284)))))/3.1416*180))^2+5.0551/(2/15*ACOS(-TAN(3.1416/180*K80)*TAN(3.1416/180*23.45*SIN((2*3.1416/365*(I80+284)))))/3.1416*180)+1.49)*P80*2.02</f>
        <v>1698.94555886601</v>
      </c>
    </row>
    <row r="81" customFormat="false" ht="15.75" hidden="false" customHeight="false" outlineLevel="0" collapsed="false">
      <c r="C81" s="0" t="n">
        <v>0</v>
      </c>
      <c r="D81" s="0" t="n">
        <f aca="false">C81*10000/1000000*277.78</f>
        <v>0</v>
      </c>
      <c r="E81" s="0" t="n">
        <f aca="false">D81*2.02</f>
        <v>0</v>
      </c>
      <c r="I81" s="181" t="n">
        <f aca="false">I80+1</f>
        <v>246</v>
      </c>
      <c r="J81" s="0" t="n">
        <v>12</v>
      </c>
      <c r="K81" s="181" t="n">
        <v>36.67</v>
      </c>
      <c r="L81" s="0" t="n">
        <f aca="false">23.45*SIN((2*3.1416/365*(I81+284)))</f>
        <v>6.9574378399407</v>
      </c>
      <c r="M81" s="0" t="n">
        <f aca="false">2/15*ACOS(-TAN(3.1416/180*K81)*TAN(3.1416/180*23.45*SIN((2*3.1416/365*(I81+284)))))/3.1416*180</f>
        <v>12.6950477001822</v>
      </c>
      <c r="N81" s="0" t="n">
        <f aca="false">2084 * EXP(-0.174353387144778 / SIN(ATAN((--COS(K81 * 3.1416 / 180) * SIN((J81 - 6) * 3.1416/12) * COS(23.45*SIN((2*3.1416/365*(I81+284)))* 3.1416 / 180) + SIN(K81 * 3.1416 / 180) * SIN(23.45*SIN((2*3.1416/365*(I81+284)))* 3.1416 / 180))/(((COS((J81 - 6) * 3.1416/12) * COS(23.45*SIN((2*3.1416/365*(I81+284)))* 3.1416 / 180))^2+(-SIN(K81 * 3.1416 / 180) * SIN((J81 - 6) * 3.1416/12) * COS(23.45*SIN((2*3.1416/365*(I81+284)))* 3.1416 / 180) - -COS(K81 * 3.1416 / 180) * SIN(23.45*SIN((2*3.1416/365*(I81+284)))* 3.1416 / 180))^2)^0.5))))*(0.1+SIN(ATAN((--COS(K81 * 3.1416 / 180) * SIN((J81 - 6) * 3.1416/12) * COS(23.45*SIN((2*3.1416/365*(I81+284)))* 3.1416 / 180) + SIN(K81 * 3.1416 / 180) * SIN(23.45*SIN((2*3.1416/365*(I81+284)))* 3.1416 / 180))/(((COS((J81 - 6) * 3.1416/12) * COS(23.45*SIN((2*3.1416/365*(I81+284)))* 3.1416 / 180))^2+(-SIN(K81 * 3.1416 / 180) * SIN((J81 - 6) * 3.1416/12) * COS(23.45*SIN((2*3.1416/365*(I81+284)))* 3.1416 / 180) - -COS(K81 * 3.1416 / 180) * SIN(23.45*SIN((2*3.1416/365*(I81+284)))* 3.1416 / 180))^2)^0.5))))</f>
        <v>1651.29221709184</v>
      </c>
      <c r="O81" s="0" t="n">
        <f aca="false">IF(K81&gt;=15,(0.00000000010508*K81^4 - 0.000000017492*K81^3 + 0.0000012363*K81^2 - 0.000044163*K81 + 0.0008144)*N81^2+( -0.000000028*K81^4 + 0.000013654*K81^3 - 0.0019426*K81^2 + 0.11006*K81 - 2.0905)*N81+0.000087115*K81^4 - 0.024852*K81^3 + 2.6437*K81^2 - 124.35*K81 + 2183.8,N81*0.3835-146.8)</f>
        <v>542.085573391746</v>
      </c>
      <c r="P81" s="0" t="n">
        <f aca="false">O81/2.02</f>
        <v>268.359194748389</v>
      </c>
      <c r="Q81" s="0" t="n">
        <v>207.987926852318</v>
      </c>
      <c r="R81" s="0" t="n">
        <f aca="false">(198.58*(1/(2/15*ACOS(-TAN(3.1416/180*K81)*TAN(3.1416/180*23.45*SIN((2*3.1416/365*(I81+284)))))/3.1416*180))^2+5.0551/(2/15*ACOS(-TAN(3.1416/180*K81)*TAN(3.1416/180*23.45*SIN((2*3.1416/365*(I81+284)))))/3.1416*180)+1.49)*P81*2.02</f>
        <v>1691.49881539752</v>
      </c>
    </row>
    <row r="82" customFormat="false" ht="15.75" hidden="false" customHeight="false" outlineLevel="0" collapsed="false">
      <c r="C82" s="0" t="n">
        <v>0</v>
      </c>
      <c r="D82" s="0" t="n">
        <f aca="false">C82*10000/1000000*277.78</f>
        <v>0</v>
      </c>
      <c r="E82" s="0" t="n">
        <f aca="false">D82*2.02</f>
        <v>0</v>
      </c>
      <c r="I82" s="181" t="n">
        <f aca="false">I81+1</f>
        <v>247</v>
      </c>
      <c r="J82" s="0" t="n">
        <v>12</v>
      </c>
      <c r="K82" s="181" t="n">
        <v>36.67</v>
      </c>
      <c r="L82" s="0" t="n">
        <f aca="false">23.45*SIN((2*3.1416/365*(I82+284)))</f>
        <v>6.57092817087982</v>
      </c>
      <c r="M82" s="0" t="n">
        <f aca="false">2/15*ACOS(-TAN(3.1416/180*K82)*TAN(3.1416/180*23.45*SIN((2*3.1416/365*(I82+284)))))/3.1416*180</f>
        <v>12.6559841811954</v>
      </c>
      <c r="N82" s="0" t="n">
        <f aca="false">2084 * EXP(-0.174353387144778 / SIN(ATAN((--COS(K82 * 3.1416 / 180) * SIN((J82 - 6) * 3.1416/12) * COS(23.45*SIN((2*3.1416/365*(I82+284)))* 3.1416 / 180) + SIN(K82 * 3.1416 / 180) * SIN(23.45*SIN((2*3.1416/365*(I82+284)))* 3.1416 / 180))/(((COS((J82 - 6) * 3.1416/12) * COS(23.45*SIN((2*3.1416/365*(I82+284)))* 3.1416 / 180))^2+(-SIN(K82 * 3.1416 / 180) * SIN((J82 - 6) * 3.1416/12) * COS(23.45*SIN((2*3.1416/365*(I82+284)))* 3.1416 / 180) - -COS(K82 * 3.1416 / 180) * SIN(23.45*SIN((2*3.1416/365*(I82+284)))* 3.1416 / 180))^2)^0.5))))*(0.1+SIN(ATAN((--COS(K82 * 3.1416 / 180) * SIN((J82 - 6) * 3.1416/12) * COS(23.45*SIN((2*3.1416/365*(I82+284)))* 3.1416 / 180) + SIN(K82 * 3.1416 / 180) * SIN(23.45*SIN((2*3.1416/365*(I82+284)))* 3.1416 / 180))/(((COS((J82 - 6) * 3.1416/12) * COS(23.45*SIN((2*3.1416/365*(I82+284)))* 3.1416 / 180))^2+(-SIN(K82 * 3.1416 / 180) * SIN((J82 - 6) * 3.1416/12) * COS(23.45*SIN((2*3.1416/365*(I82+284)))* 3.1416 / 180) - -COS(K82 * 3.1416 / 180) * SIN(23.45*SIN((2*3.1416/365*(I82+284)))* 3.1416 / 180))^2)^0.5))))</f>
        <v>1644.27415452036</v>
      </c>
      <c r="O82" s="0" t="n">
        <f aca="false">IF(K82&gt;=15,(0.00000000010508*K82^4 - 0.000000017492*K82^3 + 0.0000012363*K82^2 - 0.000044163*K82 + 0.0008144)*N82^2+( -0.000000028*K82^4 + 0.000013654*K82^3 - 0.0019426*K82^2 + 0.11006*K82 - 2.0905)*N82+0.000087115*K82^4 - 0.024852*K82^3 + 2.6437*K82^2 - 124.35*K82 + 2183.8,N82*0.3835-146.8)</f>
        <v>538.119861424141</v>
      </c>
      <c r="P82" s="0" t="n">
        <f aca="false">O82/2.02</f>
        <v>266.39597100205</v>
      </c>
      <c r="Q82" s="0" t="n">
        <v>161.373556813886</v>
      </c>
      <c r="R82" s="0" t="n">
        <f aca="false">(198.58*(1/(2/15*ACOS(-TAN(3.1416/180*K82)*TAN(3.1416/180*23.45*SIN((2*3.1416/365*(I82+284)))))/3.1416*180))^2+5.0551/(2/15*ACOS(-TAN(3.1416/180*K82)*TAN(3.1416/180*23.45*SIN((2*3.1416/365*(I82+284)))))/3.1416*180)+1.49)*P82*2.02</f>
        <v>1683.88517567727</v>
      </c>
    </row>
    <row r="83" customFormat="false" ht="15.75" hidden="false" customHeight="false" outlineLevel="0" collapsed="false">
      <c r="C83" s="0" t="n">
        <v>0</v>
      </c>
      <c r="D83" s="0" t="n">
        <f aca="false">C83*10000/1000000*277.78</f>
        <v>0</v>
      </c>
      <c r="E83" s="0" t="n">
        <f aca="false">D83*2.02</f>
        <v>0</v>
      </c>
      <c r="I83" s="181" t="n">
        <f aca="false">I82+1</f>
        <v>248</v>
      </c>
      <c r="J83" s="0" t="n">
        <v>12</v>
      </c>
      <c r="K83" s="181" t="n">
        <v>36.67</v>
      </c>
      <c r="L83" s="0" t="n">
        <f aca="false">23.45*SIN((2*3.1416/365*(I83+284)))</f>
        <v>6.1824713848835</v>
      </c>
      <c r="M83" s="0" t="n">
        <f aca="false">2/15*ACOS(-TAN(3.1416/180*K83)*TAN(3.1416/180*23.45*SIN((2*3.1416/365*(I83+284)))))/3.1416*180</f>
        <v>12.6168022643019</v>
      </c>
      <c r="N83" s="0" t="n">
        <f aca="false">2084 * EXP(-0.174353387144778 / SIN(ATAN((--COS(K83 * 3.1416 / 180) * SIN((J83 - 6) * 3.1416/12) * COS(23.45*SIN((2*3.1416/365*(I83+284)))* 3.1416 / 180) + SIN(K83 * 3.1416 / 180) * SIN(23.45*SIN((2*3.1416/365*(I83+284)))* 3.1416 / 180))/(((COS((J83 - 6) * 3.1416/12) * COS(23.45*SIN((2*3.1416/365*(I83+284)))* 3.1416 / 180))^2+(-SIN(K83 * 3.1416 / 180) * SIN((J83 - 6) * 3.1416/12) * COS(23.45*SIN((2*3.1416/365*(I83+284)))* 3.1416 / 180) - -COS(K83 * 3.1416 / 180) * SIN(23.45*SIN((2*3.1416/365*(I83+284)))* 3.1416 / 180))^2)^0.5))))*(0.1+SIN(ATAN((--COS(K83 * 3.1416 / 180) * SIN((J83 - 6) * 3.1416/12) * COS(23.45*SIN((2*3.1416/365*(I83+284)))* 3.1416 / 180) + SIN(K83 * 3.1416 / 180) * SIN(23.45*SIN((2*3.1416/365*(I83+284)))* 3.1416 / 180))/(((COS((J83 - 6) * 3.1416/12) * COS(23.45*SIN((2*3.1416/365*(I83+284)))* 3.1416 / 180))^2+(-SIN(K83 * 3.1416 / 180) * SIN((J83 - 6) * 3.1416/12) * COS(23.45*SIN((2*3.1416/365*(I83+284)))* 3.1416 / 180) - -COS(K83 * 3.1416 / 180) * SIN(23.45*SIN((2*3.1416/365*(I83+284)))* 3.1416 / 180))^2)^0.5))))</f>
        <v>1637.13793443574</v>
      </c>
      <c r="O83" s="0" t="n">
        <f aca="false">IF(K83&gt;=15,(0.00000000010508*K83^4 - 0.000000017492*K83^3 + 0.0000012363*K83^2 - 0.000044163*K83 + 0.0008144)*N83^2+( -0.000000028*K83^4 + 0.000013654*K83^3 - 0.0019426*K83^2 + 0.11006*K83 - 2.0905)*N83+0.000087115*K83^4 - 0.024852*K83^3 + 2.6437*K83^2 - 124.35*K83 + 2183.8,N83*0.3835-146.8)</f>
        <v>534.10605429427</v>
      </c>
      <c r="P83" s="0" t="n">
        <f aca="false">O83/2.02</f>
        <v>264.408937769441</v>
      </c>
      <c r="Q83" s="0" t="n">
        <v>198.613812846522</v>
      </c>
      <c r="R83" s="0" t="n">
        <f aca="false">(198.58*(1/(2/15*ACOS(-TAN(3.1416/180*K83)*TAN(3.1416/180*23.45*SIN((2*3.1416/365*(I83+284)))))/3.1416*180))^2+5.0551/(2/15*ACOS(-TAN(3.1416/180*K83)*TAN(3.1416/180*23.45*SIN((2*3.1416/365*(I83+284)))))/3.1416*180)+1.49)*P83*2.02</f>
        <v>1676.10687040876</v>
      </c>
    </row>
    <row r="84" customFormat="false" ht="15.75" hidden="false" customHeight="false" outlineLevel="0" collapsed="false">
      <c r="C84" s="0" t="n">
        <v>0</v>
      </c>
      <c r="D84" s="0" t="n">
        <f aca="false">C84*10000/1000000*277.78</f>
        <v>0</v>
      </c>
      <c r="E84" s="0" t="n">
        <f aca="false">D84*2.02</f>
        <v>0</v>
      </c>
      <c r="I84" s="181" t="n">
        <f aca="false">I83+1</f>
        <v>249</v>
      </c>
      <c r="J84" s="0" t="n">
        <v>12</v>
      </c>
      <c r="K84" s="181" t="n">
        <v>36.67</v>
      </c>
      <c r="L84" s="0" t="n">
        <f aca="false">23.45*SIN((2*3.1416/365*(I84+284)))</f>
        <v>5.79218259061936</v>
      </c>
      <c r="M84" s="0" t="n">
        <f aca="false">2/15*ACOS(-TAN(3.1416/180*K84)*TAN(3.1416/180*23.45*SIN((2*3.1416/365*(I84+284)))))/3.1416*180</f>
        <v>12.5775098068778</v>
      </c>
      <c r="N84" s="0" t="n">
        <f aca="false">2084 * EXP(-0.174353387144778 / SIN(ATAN((--COS(K84 * 3.1416 / 180) * SIN((J84 - 6) * 3.1416/12) * COS(23.45*SIN((2*3.1416/365*(I84+284)))* 3.1416 / 180) + SIN(K84 * 3.1416 / 180) * SIN(23.45*SIN((2*3.1416/365*(I84+284)))* 3.1416 / 180))/(((COS((J84 - 6) * 3.1416/12) * COS(23.45*SIN((2*3.1416/365*(I84+284)))* 3.1416 / 180))^2+(-SIN(K84 * 3.1416 / 180) * SIN((J84 - 6) * 3.1416/12) * COS(23.45*SIN((2*3.1416/365*(I84+284)))* 3.1416 / 180) - -COS(K84 * 3.1416 / 180) * SIN(23.45*SIN((2*3.1416/365*(I84+284)))* 3.1416 / 180))^2)^0.5))))*(0.1+SIN(ATAN((--COS(K84 * 3.1416 / 180) * SIN((J84 - 6) * 3.1416/12) * COS(23.45*SIN((2*3.1416/365*(I84+284)))* 3.1416 / 180) + SIN(K84 * 3.1416 / 180) * SIN(23.45*SIN((2*3.1416/365*(I84+284)))* 3.1416 / 180))/(((COS((J84 - 6) * 3.1416/12) * COS(23.45*SIN((2*3.1416/365*(I84+284)))* 3.1416 / 180))^2+(-SIN(K84 * 3.1416 / 180) * SIN((J84 - 6) * 3.1416/12) * COS(23.45*SIN((2*3.1416/365*(I84+284)))* 3.1416 / 180) - -COS(K84 * 3.1416 / 180) * SIN(23.45*SIN((2*3.1416/365*(I84+284)))* 3.1416 / 180))^2)^0.5))))</f>
        <v>1629.88478962352</v>
      </c>
      <c r="O84" s="0" t="n">
        <f aca="false">IF(K84&gt;=15,(0.00000000010508*K84^4 - 0.000000017492*K84^3 + 0.0000012363*K84^2 - 0.000044163*K84 + 0.0008144)*N84^2+( -0.000000028*K84^4 + 0.000013654*K84^3 - 0.0019426*K84^2 + 0.11006*K84 - 2.0905)*N84+0.000087115*K84^4 - 0.024852*K84^3 + 2.6437*K84^2 - 124.35*K84 + 2183.8,N84*0.3835-146.8)</f>
        <v>530.045775698804</v>
      </c>
      <c r="P84" s="0" t="n">
        <f aca="false">O84/2.02</f>
        <v>262.398898860794</v>
      </c>
      <c r="Q84" s="0" t="n">
        <v>199.577991116431</v>
      </c>
      <c r="R84" s="0" t="n">
        <f aca="false">(198.58*(1/(2/15*ACOS(-TAN(3.1416/180*K84)*TAN(3.1416/180*23.45*SIN((2*3.1416/365*(I84+284)))))/3.1416*180))^2+5.0551/(2/15*ACOS(-TAN(3.1416/180*K84)*TAN(3.1416/180*23.45*SIN((2*3.1416/365*(I84+284)))))/3.1416*180)+1.49)*P84*2.02</f>
        <v>1668.16637263445</v>
      </c>
    </row>
    <row r="85" customFormat="false" ht="15.75" hidden="false" customHeight="false" outlineLevel="0" collapsed="false">
      <c r="C85" s="0" t="n">
        <v>0</v>
      </c>
      <c r="D85" s="0" t="n">
        <f aca="false">C85*10000/1000000*277.78</f>
        <v>0</v>
      </c>
      <c r="E85" s="0" t="n">
        <f aca="false">D85*2.02</f>
        <v>0</v>
      </c>
      <c r="I85" s="181" t="n">
        <f aca="false">I84+1</f>
        <v>250</v>
      </c>
      <c r="J85" s="0" t="n">
        <v>12</v>
      </c>
      <c r="K85" s="181" t="n">
        <v>36.67</v>
      </c>
      <c r="L85" s="0" t="n">
        <f aca="false">23.45*SIN((2*3.1416/365*(I85+284)))</f>
        <v>5.40017743962112</v>
      </c>
      <c r="M85" s="0" t="n">
        <f aca="false">2/15*ACOS(-TAN(3.1416/180*K85)*TAN(3.1416/180*23.45*SIN((2*3.1416/365*(I85+284)))))/3.1416*180</f>
        <v>12.5381145417034</v>
      </c>
      <c r="N85" s="0" t="n">
        <f aca="false">2084 * EXP(-0.174353387144778 / SIN(ATAN((--COS(K85 * 3.1416 / 180) * SIN((J85 - 6) * 3.1416/12) * COS(23.45*SIN((2*3.1416/365*(I85+284)))* 3.1416 / 180) + SIN(K85 * 3.1416 / 180) * SIN(23.45*SIN((2*3.1416/365*(I85+284)))* 3.1416 / 180))/(((COS((J85 - 6) * 3.1416/12) * COS(23.45*SIN((2*3.1416/365*(I85+284)))* 3.1416 / 180))^2+(-SIN(K85 * 3.1416 / 180) * SIN((J85 - 6) * 3.1416/12) * COS(23.45*SIN((2*3.1416/365*(I85+284)))* 3.1416 / 180) - -COS(K85 * 3.1416 / 180) * SIN(23.45*SIN((2*3.1416/365*(I85+284)))* 3.1416 / 180))^2)^0.5))))*(0.1+SIN(ATAN((--COS(K85 * 3.1416 / 180) * SIN((J85 - 6) * 3.1416/12) * COS(23.45*SIN((2*3.1416/365*(I85+284)))* 3.1416 / 180) + SIN(K85 * 3.1416 / 180) * SIN(23.45*SIN((2*3.1416/365*(I85+284)))* 3.1416 / 180))/(((COS((J85 - 6) * 3.1416/12) * COS(23.45*SIN((2*3.1416/365*(I85+284)))* 3.1416 / 180))^2+(-SIN(K85 * 3.1416 / 180) * SIN((J85 - 6) * 3.1416/12) * COS(23.45*SIN((2*3.1416/365*(I85+284)))* 3.1416 / 180) - -COS(K85 * 3.1416 / 180) * SIN(23.45*SIN((2*3.1416/365*(I85+284)))* 3.1416 / 180))^2)^0.5))))</f>
        <v>1622.51606903667</v>
      </c>
      <c r="O85" s="0" t="n">
        <f aca="false">IF(K85&gt;=15,(0.00000000010508*K85^4 - 0.000000017492*K85^3 + 0.0000012363*K85^2 - 0.000044163*K85 + 0.0008144)*N85^2+( -0.000000028*K85^4 + 0.000013654*K85^3 - 0.0019426*K85^2 + 0.11006*K85 - 2.0905)*N85+0.000087115*K85^4 - 0.024852*K85^3 + 2.6437*K85^2 - 124.35*K85 + 2183.8,N85*0.3835-146.8)</f>
        <v>525.940715939604</v>
      </c>
      <c r="P85" s="0" t="n">
        <f aca="false">O85/2.02</f>
        <v>260.36669105921</v>
      </c>
      <c r="Q85" s="0" t="n">
        <v>200.870223506804</v>
      </c>
      <c r="R85" s="0" t="n">
        <f aca="false">(198.58*(1/(2/15*ACOS(-TAN(3.1416/180*K85)*TAN(3.1416/180*23.45*SIN((2*3.1416/365*(I85+284)))))/3.1416*180))^2+5.0551/(2/15*ACOS(-TAN(3.1416/180*K85)*TAN(3.1416/180*23.45*SIN((2*3.1416/365*(I85+284)))))/3.1416*180)+1.49)*P85*2.02</f>
        <v>1660.0663959598</v>
      </c>
    </row>
    <row r="86" customFormat="false" ht="15.75" hidden="false" customHeight="false" outlineLevel="0" collapsed="false">
      <c r="C86" s="0" t="n">
        <v>6</v>
      </c>
      <c r="D86" s="0" t="n">
        <f aca="false">C86*10000/1000000*277.78</f>
        <v>16.6668</v>
      </c>
      <c r="E86" s="0" t="n">
        <f aca="false">D86*2.02</f>
        <v>33.666936</v>
      </c>
      <c r="I86" s="181" t="n">
        <f aca="false">I85+1</f>
        <v>251</v>
      </c>
      <c r="J86" s="0" t="n">
        <v>12</v>
      </c>
      <c r="K86" s="181" t="n">
        <v>36.67</v>
      </c>
      <c r="L86" s="0" t="n">
        <f aca="false">23.45*SIN((2*3.1416/365*(I86+284)))</f>
        <v>5.00657209201845</v>
      </c>
      <c r="M86" s="0" t="n">
        <f aca="false">2/15*ACOS(-TAN(3.1416/180*K86)*TAN(3.1416/180*23.45*SIN((2*3.1416/365*(I86+284)))))/3.1416*180</f>
        <v>12.4986240839719</v>
      </c>
      <c r="N86" s="0" t="n">
        <f aca="false">2084 * EXP(-0.174353387144778 / SIN(ATAN((--COS(K86 * 3.1416 / 180) * SIN((J86 - 6) * 3.1416/12) * COS(23.45*SIN((2*3.1416/365*(I86+284)))* 3.1416 / 180) + SIN(K86 * 3.1416 / 180) * SIN(23.45*SIN((2*3.1416/365*(I86+284)))* 3.1416 / 180))/(((COS((J86 - 6) * 3.1416/12) * COS(23.45*SIN((2*3.1416/365*(I86+284)))* 3.1416 / 180))^2+(-SIN(K86 * 3.1416 / 180) * SIN((J86 - 6) * 3.1416/12) * COS(23.45*SIN((2*3.1416/365*(I86+284)))* 3.1416 / 180) - -COS(K86 * 3.1416 / 180) * SIN(23.45*SIN((2*3.1416/365*(I86+284)))* 3.1416 / 180))^2)^0.5))))*(0.1+SIN(ATAN((--COS(K86 * 3.1416 / 180) * SIN((J86 - 6) * 3.1416/12) * COS(23.45*SIN((2*3.1416/365*(I86+284)))* 3.1416 / 180) + SIN(K86 * 3.1416 / 180) * SIN(23.45*SIN((2*3.1416/365*(I86+284)))* 3.1416 / 180))/(((COS((J86 - 6) * 3.1416/12) * COS(23.45*SIN((2*3.1416/365*(I86+284)))* 3.1416 / 180))^2+(-SIN(K86 * 3.1416 / 180) * SIN((J86 - 6) * 3.1416/12) * COS(23.45*SIN((2*3.1416/365*(I86+284)))* 3.1416 / 180) - -COS(K86 * 3.1416 / 180) * SIN(23.45*SIN((2*3.1416/365*(I86+284)))* 3.1416 / 180))^2)^0.5))))</f>
        <v>1615.0332381136</v>
      </c>
      <c r="O86" s="0" t="n">
        <f aca="false">IF(K86&gt;=15,(0.00000000010508*K86^4 - 0.000000017492*K86^3 + 0.0000012363*K86^2 - 0.000044163*K86 + 0.0008144)*N86^2+( -0.000000028*K86^4 + 0.000013654*K86^3 - 0.0019426*K86^2 + 0.11006*K86 - 2.0905)*N86+0.000087115*K86^4 - 0.024852*K86^3 + 2.6437*K86^2 - 124.35*K86 + 2183.8,N86*0.3835-146.8)</f>
        <v>521.792629962442</v>
      </c>
      <c r="P86" s="0" t="n">
        <f aca="false">O86/2.02</f>
        <v>258.313183149724</v>
      </c>
      <c r="Q86" s="0" t="n">
        <v>173.522043535786</v>
      </c>
      <c r="R86" s="0" t="n">
        <f aca="false">(198.58*(1/(2/15*ACOS(-TAN(3.1416/180*K86)*TAN(3.1416/180*23.45*SIN((2*3.1416/365*(I86+284)))))/3.1416*180))^2+5.0551/(2/15*ACOS(-TAN(3.1416/180*K86)*TAN(3.1416/180*23.45*SIN((2*3.1416/365*(I86+284)))))/3.1416*180)+1.49)*P86*2.02</f>
        <v>1651.809892232</v>
      </c>
    </row>
    <row r="87" customFormat="false" ht="15.75" hidden="false" customHeight="false" outlineLevel="0" collapsed="false">
      <c r="C87" s="0" t="n">
        <v>19</v>
      </c>
      <c r="D87" s="0" t="n">
        <f aca="false">C87*10000/1000000*277.78</f>
        <v>52.7782</v>
      </c>
      <c r="E87" s="0" t="n">
        <f aca="false">D87*2.02</f>
        <v>106.611964</v>
      </c>
      <c r="I87" s="181" t="n">
        <f aca="false">I86+1</f>
        <v>252</v>
      </c>
      <c r="J87" s="0" t="n">
        <v>12</v>
      </c>
      <c r="K87" s="181" t="n">
        <v>36.67</v>
      </c>
      <c r="L87" s="0" t="n">
        <f aca="false">23.45*SIN((2*3.1416/365*(I87+284)))</f>
        <v>4.61148318211597</v>
      </c>
      <c r="M87" s="0" t="n">
        <f aca="false">2/15*ACOS(-TAN(3.1416/180*K87)*TAN(3.1416/180*23.45*SIN((2*3.1416/365*(I87+284)))))/3.1416*180</f>
        <v>12.4590459385129</v>
      </c>
      <c r="N87" s="0" t="n">
        <f aca="false">2084 * EXP(-0.174353387144778 / SIN(ATAN((--COS(K87 * 3.1416 / 180) * SIN((J87 - 6) * 3.1416/12) * COS(23.45*SIN((2*3.1416/365*(I87+284)))* 3.1416 / 180) + SIN(K87 * 3.1416 / 180) * SIN(23.45*SIN((2*3.1416/365*(I87+284)))* 3.1416 / 180))/(((COS((J87 - 6) * 3.1416/12) * COS(23.45*SIN((2*3.1416/365*(I87+284)))* 3.1416 / 180))^2+(-SIN(K87 * 3.1416 / 180) * SIN((J87 - 6) * 3.1416/12) * COS(23.45*SIN((2*3.1416/365*(I87+284)))* 3.1416 / 180) - -COS(K87 * 3.1416 / 180) * SIN(23.45*SIN((2*3.1416/365*(I87+284)))* 3.1416 / 180))^2)^0.5))))*(0.1+SIN(ATAN((--COS(K87 * 3.1416 / 180) * SIN((J87 - 6) * 3.1416/12) * COS(23.45*SIN((2*3.1416/365*(I87+284)))* 3.1416 / 180) + SIN(K87 * 3.1416 / 180) * SIN(23.45*SIN((2*3.1416/365*(I87+284)))* 3.1416 / 180))/(((COS((J87 - 6) * 3.1416/12) * COS(23.45*SIN((2*3.1416/365*(I87+284)))* 3.1416 / 180))^2+(-SIN(K87 * 3.1416 / 180) * SIN((J87 - 6) * 3.1416/12) * COS(23.45*SIN((2*3.1416/365*(I87+284)))* 3.1416 / 180) - -COS(K87 * 3.1416 / 180) * SIN(23.45*SIN((2*3.1416/365*(I87+284)))* 3.1416 / 180))^2)^0.5))))</f>
        <v>1607.43787892964</v>
      </c>
      <c r="O87" s="0" t="n">
        <f aca="false">IF(K87&gt;=15,(0.00000000010508*K87^4 - 0.000000017492*K87^3 + 0.0000012363*K87^2 - 0.000044163*K87 + 0.0008144)*N87^2+( -0.000000028*K87^4 + 0.000013654*K87^3 - 0.0019426*K87^2 + 0.11006*K87 - 2.0905)*N87+0.000087115*K87^4 - 0.024852*K87^3 + 2.6437*K87^2 - 124.35*K87 + 2183.8,N87*0.3835-146.8)</f>
        <v>517.603335231736</v>
      </c>
      <c r="P87" s="0" t="n">
        <f aca="false">O87/2.02</f>
        <v>256.239274867196</v>
      </c>
      <c r="Q87" s="0" t="n">
        <v>206.071639522429</v>
      </c>
      <c r="R87" s="0" t="n">
        <f aca="false">(198.58*(1/(2/15*ACOS(-TAN(3.1416/180*K87)*TAN(3.1416/180*23.45*SIN((2*3.1416/365*(I87+284)))))/3.1416*180))^2+5.0551/(2/15*ACOS(-TAN(3.1416/180*K87)*TAN(3.1416/180*23.45*SIN((2*3.1416/365*(I87+284)))))/3.1416*180)+1.49)*P87*2.02</f>
        <v>1643.40004867566</v>
      </c>
    </row>
    <row r="88" customFormat="false" ht="15.75" hidden="false" customHeight="false" outlineLevel="0" collapsed="false">
      <c r="C88" s="0" t="n">
        <v>31</v>
      </c>
      <c r="D88" s="0" t="n">
        <f aca="false">C88*10000/1000000*277.78</f>
        <v>86.1118</v>
      </c>
      <c r="E88" s="0" t="n">
        <f aca="false">D88*2.02</f>
        <v>173.945836</v>
      </c>
      <c r="I88" s="181" t="n">
        <f aca="false">I87+1</f>
        <v>253</v>
      </c>
      <c r="J88" s="0" t="n">
        <v>12</v>
      </c>
      <c r="K88" s="181" t="n">
        <v>36.67</v>
      </c>
      <c r="L88" s="0" t="n">
        <f aca="false">23.45*SIN((2*3.1416/365*(I88+284)))</f>
        <v>4.21502778383201</v>
      </c>
      <c r="M88" s="0" t="n">
        <f aca="false">2/15*ACOS(-TAN(3.1416/180*K88)*TAN(3.1416/180*23.45*SIN((2*3.1416/365*(I88+284)))))/3.1416*180</f>
        <v>12.4193875072124</v>
      </c>
      <c r="N88" s="0" t="n">
        <f aca="false">2084 * EXP(-0.174353387144778 / SIN(ATAN((--COS(K88 * 3.1416 / 180) * SIN((J88 - 6) * 3.1416/12) * COS(23.45*SIN((2*3.1416/365*(I88+284)))* 3.1416 / 180) + SIN(K88 * 3.1416 / 180) * SIN(23.45*SIN((2*3.1416/365*(I88+284)))* 3.1416 / 180))/(((COS((J88 - 6) * 3.1416/12) * COS(23.45*SIN((2*3.1416/365*(I88+284)))* 3.1416 / 180))^2+(-SIN(K88 * 3.1416 / 180) * SIN((J88 - 6) * 3.1416/12) * COS(23.45*SIN((2*3.1416/365*(I88+284)))* 3.1416 / 180) - -COS(K88 * 3.1416 / 180) * SIN(23.45*SIN((2*3.1416/365*(I88+284)))* 3.1416 / 180))^2)^0.5))))*(0.1+SIN(ATAN((--COS(K88 * 3.1416 / 180) * SIN((J88 - 6) * 3.1416/12) * COS(23.45*SIN((2*3.1416/365*(I88+284)))* 3.1416 / 180) + SIN(K88 * 3.1416 / 180) * SIN(23.45*SIN((2*3.1416/365*(I88+284)))* 3.1416 / 180))/(((COS((J88 - 6) * 3.1416/12) * COS(23.45*SIN((2*3.1416/365*(I88+284)))* 3.1416 / 180))^2+(-SIN(K88 * 3.1416 / 180) * SIN((J88 - 6) * 3.1416/12) * COS(23.45*SIN((2*3.1416/365*(I88+284)))* 3.1416 / 180) - -COS(K88 * 3.1416 / 180) * SIN(23.45*SIN((2*3.1416/365*(I88+284)))* 3.1416 / 180))^2)^0.5))))</f>
        <v>1599.73169018188</v>
      </c>
      <c r="O88" s="0" t="n">
        <f aca="false">IF(K88&gt;=15,(0.00000000010508*K88^4 - 0.000000017492*K88^3 + 0.0000012363*K88^2 - 0.000044163*K88 + 0.0008144)*N88^2+( -0.000000028*K88^4 + 0.000013654*K88^3 - 0.0019426*K88^2 + 0.11006*K88 - 2.0905)*N88+0.000087115*K88^4 - 0.024852*K88^3 + 2.6437*K88^2 - 124.35*K88 + 2183.8,N88*0.3835-146.8)</f>
        <v>513.374709446297</v>
      </c>
      <c r="P88" s="0" t="n">
        <f aca="false">O88/2.02</f>
        <v>254.145895765494</v>
      </c>
      <c r="Q88" s="0" t="n">
        <v>208.428817256804</v>
      </c>
      <c r="R88" s="0" t="n">
        <f aca="false">(198.58*(1/(2/15*ACOS(-TAN(3.1416/180*K88)*TAN(3.1416/180*23.45*SIN((2*3.1416/365*(I88+284)))))/3.1416*180))^2+5.0551/(2/15*ACOS(-TAN(3.1416/180*K88)*TAN(3.1416/180*23.45*SIN((2*3.1416/365*(I88+284)))))/3.1416*180)+1.49)*P88*2.02</f>
        <v>1634.84028448911</v>
      </c>
    </row>
    <row r="89" customFormat="false" ht="15.75" hidden="false" customHeight="false" outlineLevel="0" collapsed="false">
      <c r="C89" s="0" t="n">
        <v>52</v>
      </c>
      <c r="D89" s="0" t="n">
        <f aca="false">C89*10000/1000000*277.78</f>
        <v>144.4456</v>
      </c>
      <c r="E89" s="0" t="n">
        <f aca="false">D89*2.02</f>
        <v>291.780112</v>
      </c>
      <c r="I89" s="181" t="n">
        <f aca="false">I88+1</f>
        <v>254</v>
      </c>
      <c r="J89" s="0" t="n">
        <v>12</v>
      </c>
      <c r="K89" s="181" t="n">
        <v>36.67</v>
      </c>
      <c r="L89" s="0" t="n">
        <f aca="false">23.45*SIN((2*3.1416/365*(I89+284)))</f>
        <v>3.81732337600665</v>
      </c>
      <c r="M89" s="0" t="n">
        <f aca="false">2/15*ACOS(-TAN(3.1416/180*K89)*TAN(3.1416/180*23.45*SIN((2*3.1416/365*(I89+284)))))/3.1416*180</f>
        <v>12.3796560966124</v>
      </c>
      <c r="N89" s="0" t="n">
        <f aca="false">2084 * EXP(-0.174353387144778 / SIN(ATAN((--COS(K89 * 3.1416 / 180) * SIN((J89 - 6) * 3.1416/12) * COS(23.45*SIN((2*3.1416/365*(I89+284)))* 3.1416 / 180) + SIN(K89 * 3.1416 / 180) * SIN(23.45*SIN((2*3.1416/365*(I89+284)))* 3.1416 / 180))/(((COS((J89 - 6) * 3.1416/12) * COS(23.45*SIN((2*3.1416/365*(I89+284)))* 3.1416 / 180))^2+(-SIN(K89 * 3.1416 / 180) * SIN((J89 - 6) * 3.1416/12) * COS(23.45*SIN((2*3.1416/365*(I89+284)))* 3.1416 / 180) - -COS(K89 * 3.1416 / 180) * SIN(23.45*SIN((2*3.1416/365*(I89+284)))* 3.1416 / 180))^2)^0.5))))*(0.1+SIN(ATAN((--COS(K89 * 3.1416 / 180) * SIN((J89 - 6) * 3.1416/12) * COS(23.45*SIN((2*3.1416/365*(I89+284)))* 3.1416 / 180) + SIN(K89 * 3.1416 / 180) * SIN(23.45*SIN((2*3.1416/365*(I89+284)))* 3.1416 / 180))/(((COS((J89 - 6) * 3.1416/12) * COS(23.45*SIN((2*3.1416/365*(I89+284)))* 3.1416 / 180))^2+(-SIN(K89 * 3.1416 / 180) * SIN((J89 - 6) * 3.1416/12) * COS(23.45*SIN((2*3.1416/365*(I89+284)))* 3.1416 / 180) - -COS(K89 * 3.1416 / 180) * SIN(23.45*SIN((2*3.1416/365*(I89+284)))* 3.1416 / 180))^2)^0.5))))</f>
        <v>1591.91648700688</v>
      </c>
      <c r="O89" s="0" t="n">
        <f aca="false">IF(K89&gt;=15,(0.00000000010508*K89^4 - 0.000000017492*K89^3 + 0.0000012363*K89^2 - 0.000044163*K89 + 0.0008144)*N89^2+( -0.000000028*K89^4 + 0.000013654*K89^3 - 0.0019426*K89^2 + 0.11006*K89 - 2.0905)*N89+0.000087115*K89^4 - 0.024852*K89^3 + 2.6437*K89^2 - 124.35*K89 + 2183.8,N89*0.3835-146.8)</f>
        <v>509.108688101657</v>
      </c>
      <c r="P89" s="0" t="n">
        <f aca="false">O89/2.02</f>
        <v>252.034004010721</v>
      </c>
      <c r="Q89" s="0" t="n">
        <v>215.558589812248</v>
      </c>
      <c r="R89" s="0" t="n">
        <f aca="false">(198.58*(1/(2/15*ACOS(-TAN(3.1416/180*K89)*TAN(3.1416/180*23.45*SIN((2*3.1416/365*(I89+284)))))/3.1416*180))^2+5.0551/(2/15*ACOS(-TAN(3.1416/180*K89)*TAN(3.1416/180*23.45*SIN((2*3.1416/365*(I89+284)))))/3.1416*180)+1.49)*P89*2.02</f>
        <v>1626.13424690695</v>
      </c>
    </row>
    <row r="90" customFormat="false" ht="15.75" hidden="false" customHeight="false" outlineLevel="0" collapsed="false">
      <c r="C90" s="0" t="n">
        <v>86</v>
      </c>
      <c r="D90" s="0" t="n">
        <f aca="false">C90*10000/1000000*277.78</f>
        <v>238.8908</v>
      </c>
      <c r="E90" s="0" t="n">
        <f aca="false">D90*2.02</f>
        <v>482.559416</v>
      </c>
      <c r="I90" s="181" t="n">
        <f aca="false">I89+1</f>
        <v>255</v>
      </c>
      <c r="J90" s="0" t="n">
        <v>12</v>
      </c>
      <c r="K90" s="181" t="n">
        <v>36.67</v>
      </c>
      <c r="L90" s="0" t="n">
        <f aca="false">23.45*SIN((2*3.1416/365*(I90+284)))</f>
        <v>3.41848780759025</v>
      </c>
      <c r="M90" s="0" t="n">
        <f aca="false">2/15*ACOS(-TAN(3.1416/180*K90)*TAN(3.1416/180*23.45*SIN((2*3.1416/365*(I90+284)))))/3.1416*180</f>
        <v>12.3398589256747</v>
      </c>
      <c r="N90" s="0" t="n">
        <f aca="false">2084 * EXP(-0.174353387144778 / SIN(ATAN((--COS(K90 * 3.1416 / 180) * SIN((J90 - 6) * 3.1416/12) * COS(23.45*SIN((2*3.1416/365*(I90+284)))* 3.1416 / 180) + SIN(K90 * 3.1416 / 180) * SIN(23.45*SIN((2*3.1416/365*(I90+284)))* 3.1416 / 180))/(((COS((J90 - 6) * 3.1416/12) * COS(23.45*SIN((2*3.1416/365*(I90+284)))* 3.1416 / 180))^2+(-SIN(K90 * 3.1416 / 180) * SIN((J90 - 6) * 3.1416/12) * COS(23.45*SIN((2*3.1416/365*(I90+284)))* 3.1416 / 180) - -COS(K90 * 3.1416 / 180) * SIN(23.45*SIN((2*3.1416/365*(I90+284)))* 3.1416 / 180))^2)^0.5))))*(0.1+SIN(ATAN((--COS(K90 * 3.1416 / 180) * SIN((J90 - 6) * 3.1416/12) * COS(23.45*SIN((2*3.1416/365*(I90+284)))* 3.1416 / 180) + SIN(K90 * 3.1416 / 180) * SIN(23.45*SIN((2*3.1416/365*(I90+284)))* 3.1416 / 180))/(((COS((J90 - 6) * 3.1416/12) * COS(23.45*SIN((2*3.1416/365*(I90+284)))* 3.1416 / 180))^2+(-SIN(K90 * 3.1416 / 180) * SIN((J90 - 6) * 3.1416/12) * COS(23.45*SIN((2*3.1416/365*(I90+284)))* 3.1416 / 180) - -COS(K90 * 3.1416 / 180) * SIN(23.45*SIN((2*3.1416/365*(I90+284)))* 3.1416 / 180))^2)^0.5))))</f>
        <v>1583.99420063185</v>
      </c>
      <c r="O90" s="0" t="n">
        <f aca="false">IF(K90&gt;=15,(0.00000000010508*K90^4 - 0.000000017492*K90^3 + 0.0000012363*K90^2 - 0.000044163*K90 + 0.0008144)*N90^2+( -0.000000028*K90^4 + 0.000013654*K90^3 - 0.0019426*K90^2 + 0.11006*K90 - 2.0905)*N90+0.000087115*K90^4 - 0.024852*K90^3 + 2.6437*K90^2 - 124.35*K90 + 2183.8,N90*0.3835-146.8)</f>
        <v>504.80726190509</v>
      </c>
      <c r="P90" s="0" t="n">
        <f aca="false">O90/2.02</f>
        <v>249.904585101529</v>
      </c>
      <c r="Q90" s="0" t="n">
        <v>209.170295961441</v>
      </c>
      <c r="R90" s="0" t="n">
        <f aca="false">(198.58*(1/(2/15*ACOS(-TAN(3.1416/180*K90)*TAN(3.1416/180*23.45*SIN((2*3.1416/365*(I90+284)))))/3.1416*180))^2+5.0551/(2/15*ACOS(-TAN(3.1416/180*K90)*TAN(3.1416/180*23.45*SIN((2*3.1416/365*(I90+284)))))/3.1416*180)+1.49)*P90*2.02</f>
        <v>1617.285806736</v>
      </c>
    </row>
    <row r="91" customFormat="false" ht="15.75" hidden="false" customHeight="false" outlineLevel="0" collapsed="false">
      <c r="C91" s="0" t="n">
        <v>77</v>
      </c>
      <c r="D91" s="0" t="n">
        <f aca="false">C91*10000/1000000*277.78</f>
        <v>213.8906</v>
      </c>
      <c r="E91" s="0" t="n">
        <f aca="false">D91*2.02</f>
        <v>432.059012</v>
      </c>
      <c r="I91" s="181" t="n">
        <f aca="false">I90+1</f>
        <v>256</v>
      </c>
      <c r="J91" s="0" t="n">
        <v>12</v>
      </c>
      <c r="K91" s="181" t="n">
        <v>36.67</v>
      </c>
      <c r="L91" s="0" t="n">
        <f aca="false">23.45*SIN((2*3.1416/365*(I91+284)))</f>
        <v>3.01863926272203</v>
      </c>
      <c r="M91" s="0" t="n">
        <f aca="false">2/15*ACOS(-TAN(3.1416/180*K91)*TAN(3.1416/180*23.45*SIN((2*3.1416/365*(I91+284)))))/3.1416*180</f>
        <v>12.3000031336908</v>
      </c>
      <c r="N91" s="0" t="n">
        <f aca="false">2084 * EXP(-0.174353387144778 / SIN(ATAN((--COS(K91 * 3.1416 / 180) * SIN((J91 - 6) * 3.1416/12) * COS(23.45*SIN((2*3.1416/365*(I91+284)))* 3.1416 / 180) + SIN(K91 * 3.1416 / 180) * SIN(23.45*SIN((2*3.1416/365*(I91+284)))* 3.1416 / 180))/(((COS((J91 - 6) * 3.1416/12) * COS(23.45*SIN((2*3.1416/365*(I91+284)))* 3.1416 / 180))^2+(-SIN(K91 * 3.1416 / 180) * SIN((J91 - 6) * 3.1416/12) * COS(23.45*SIN((2*3.1416/365*(I91+284)))* 3.1416 / 180) - -COS(K91 * 3.1416 / 180) * SIN(23.45*SIN((2*3.1416/365*(I91+284)))* 3.1416 / 180))^2)^0.5))))*(0.1+SIN(ATAN((--COS(K91 * 3.1416 / 180) * SIN((J91 - 6) * 3.1416/12) * COS(23.45*SIN((2*3.1416/365*(I91+284)))* 3.1416 / 180) + SIN(K91 * 3.1416 / 180) * SIN(23.45*SIN((2*3.1416/365*(I91+284)))* 3.1416 / 180))/(((COS((J91 - 6) * 3.1416/12) * COS(23.45*SIN((2*3.1416/365*(I91+284)))* 3.1416 / 180))^2+(-SIN(K91 * 3.1416 / 180) * SIN((J91 - 6) * 3.1416/12) * COS(23.45*SIN((2*3.1416/365*(I91+284)))* 3.1416 / 180) - -COS(K91 * 3.1416 / 180) * SIN(23.45*SIN((2*3.1416/365*(I91+284)))* 3.1416 / 180))^2)^0.5))))</f>
        <v>1575.96687785947</v>
      </c>
      <c r="O91" s="0" t="n">
        <f aca="false">IF(K91&gt;=15,(0.00000000010508*K91^4 - 0.000000017492*K91^3 + 0.0000012363*K91^2 - 0.000044163*K91 + 0.0008144)*N91^2+( -0.000000028*K91^4 + 0.000013654*K91^3 - 0.0019426*K91^2 + 0.11006*K91 - 2.0905)*N91+0.000087115*K91^4 - 0.024852*K91^3 + 2.6437*K91^2 - 124.35*K91 + 2183.8,N91*0.3835-146.8)</f>
        <v>500.472474049957</v>
      </c>
      <c r="P91" s="0" t="n">
        <f aca="false">O91/2.02</f>
        <v>247.758650519781</v>
      </c>
      <c r="Q91" s="0" t="n">
        <v>177.898185483871</v>
      </c>
      <c r="R91" s="0" t="n">
        <f aca="false">(198.58*(1/(2/15*ACOS(-TAN(3.1416/180*K91)*TAN(3.1416/180*23.45*SIN((2*3.1416/365*(I91+284)))))/3.1416*180))^2+5.0551/(2/15*ACOS(-TAN(3.1416/180*K91)*TAN(3.1416/180*23.45*SIN((2*3.1416/365*(I91+284)))))/3.1416*180)+1.49)*P91*2.02</f>
        <v>1608.29905337373</v>
      </c>
    </row>
    <row r="92" customFormat="false" ht="15.75" hidden="false" customHeight="false" outlineLevel="0" collapsed="false">
      <c r="C92" s="0" t="n">
        <v>70</v>
      </c>
      <c r="D92" s="0" t="n">
        <f aca="false">C92*10000/1000000*277.78</f>
        <v>194.446</v>
      </c>
      <c r="E92" s="0" t="n">
        <f aca="false">D92*2.02</f>
        <v>392.78092</v>
      </c>
      <c r="I92" s="181" t="n">
        <f aca="false">I91+1</f>
        <v>257</v>
      </c>
      <c r="J92" s="0" t="n">
        <v>12</v>
      </c>
      <c r="K92" s="181" t="n">
        <v>36.67</v>
      </c>
      <c r="L92" s="0" t="n">
        <f aca="false">23.45*SIN((2*3.1416/365*(I92+284)))</f>
        <v>2.61789622570939</v>
      </c>
      <c r="M92" s="0" t="n">
        <f aca="false">2/15*ACOS(-TAN(3.1416/180*K92)*TAN(3.1416/180*23.45*SIN((2*3.1416/365*(I92+284)))))/3.1416*180</f>
        <v>12.2600957883247</v>
      </c>
      <c r="N92" s="0" t="n">
        <f aca="false">2084 * EXP(-0.174353387144778 / SIN(ATAN((--COS(K92 * 3.1416 / 180) * SIN((J92 - 6) * 3.1416/12) * COS(23.45*SIN((2*3.1416/365*(I92+284)))* 3.1416 / 180) + SIN(K92 * 3.1416 / 180) * SIN(23.45*SIN((2*3.1416/365*(I92+284)))* 3.1416 / 180))/(((COS((J92 - 6) * 3.1416/12) * COS(23.45*SIN((2*3.1416/365*(I92+284)))* 3.1416 / 180))^2+(-SIN(K92 * 3.1416 / 180) * SIN((J92 - 6) * 3.1416/12) * COS(23.45*SIN((2*3.1416/365*(I92+284)))* 3.1416 / 180) - -COS(K92 * 3.1416 / 180) * SIN(23.45*SIN((2*3.1416/365*(I92+284)))* 3.1416 / 180))^2)^0.5))))*(0.1+SIN(ATAN((--COS(K92 * 3.1416 / 180) * SIN((J92 - 6) * 3.1416/12) * COS(23.45*SIN((2*3.1416/365*(I92+284)))* 3.1416 / 180) + SIN(K92 * 3.1416 / 180) * SIN(23.45*SIN((2*3.1416/365*(I92+284)))* 3.1416 / 180))/(((COS((J92 - 6) * 3.1416/12) * COS(23.45*SIN((2*3.1416/365*(I92+284)))* 3.1416 / 180))^2+(-SIN(K92 * 3.1416 / 180) * SIN((J92 - 6) * 3.1416/12) * COS(23.45*SIN((2*3.1416/365*(I92+284)))* 3.1416 / 180) - -COS(K92 * 3.1416 / 180) * SIN(23.45*SIN((2*3.1416/365*(I92+284)))* 3.1416 / 180))^2)^0.5))))</f>
        <v>1567.8366803875</v>
      </c>
      <c r="O92" s="0" t="n">
        <f aca="false">IF(K92&gt;=15,(0.00000000010508*K92^4 - 0.000000017492*K92^3 + 0.0000012363*K92^2 - 0.000044163*K92 + 0.0008144)*N92^2+( -0.000000028*K92^4 + 0.000013654*K92^3 - 0.0019426*K92^2 + 0.11006*K92 - 2.0905)*N92+0.000087115*K92^4 - 0.024852*K92^3 + 2.6437*K92^2 - 124.35*K92 + 2183.8,N92*0.3835-146.8)</f>
        <v>496.106417356551</v>
      </c>
      <c r="P92" s="0" t="n">
        <f aca="false">O92/2.02</f>
        <v>245.597236315124</v>
      </c>
      <c r="Q92" s="0" t="n">
        <v>200.976818453881</v>
      </c>
      <c r="R92" s="0" t="n">
        <f aca="false">(198.58*(1/(2/15*ACOS(-TAN(3.1416/180*K92)*TAN(3.1416/180*23.45*SIN((2*3.1416/365*(I92+284)))))/3.1416*180))^2+5.0551/(2/15*ACOS(-TAN(3.1416/180*K92)*TAN(3.1416/180*23.45*SIN((2*3.1416/365*(I92+284)))))/3.1416*180)+1.49)*P92*2.02</f>
        <v>1599.17828931953</v>
      </c>
    </row>
    <row r="93" customFormat="false" ht="15.75" hidden="false" customHeight="false" outlineLevel="0" collapsed="false">
      <c r="C93" s="0" t="n">
        <v>62</v>
      </c>
      <c r="D93" s="0" t="n">
        <f aca="false">C93*10000/1000000*277.78</f>
        <v>172.2236</v>
      </c>
      <c r="E93" s="0" t="n">
        <f aca="false">D93*2.02</f>
        <v>347.891672</v>
      </c>
      <c r="I93" s="181" t="n">
        <f aca="false">I92+1</f>
        <v>258</v>
      </c>
      <c r="J93" s="0" t="n">
        <v>12</v>
      </c>
      <c r="K93" s="181" t="n">
        <v>36.67</v>
      </c>
      <c r="L93" s="0" t="n">
        <f aca="false">23.45*SIN((2*3.1416/365*(I93+284)))</f>
        <v>2.2163774459183</v>
      </c>
      <c r="M93" s="0" t="n">
        <f aca="false">2/15*ACOS(-TAN(3.1416/180*K93)*TAN(3.1416/180*23.45*SIN((2*3.1416/365*(I93+284)))))/3.1416*180</f>
        <v>12.2201438937714</v>
      </c>
      <c r="N93" s="0" t="n">
        <f aca="false">2084 * EXP(-0.174353387144778 / SIN(ATAN((--COS(K93 * 3.1416 / 180) * SIN((J93 - 6) * 3.1416/12) * COS(23.45*SIN((2*3.1416/365*(I93+284)))* 3.1416 / 180) + SIN(K93 * 3.1416 / 180) * SIN(23.45*SIN((2*3.1416/365*(I93+284)))* 3.1416 / 180))/(((COS((J93 - 6) * 3.1416/12) * COS(23.45*SIN((2*3.1416/365*(I93+284)))* 3.1416 / 180))^2+(-SIN(K93 * 3.1416 / 180) * SIN((J93 - 6) * 3.1416/12) * COS(23.45*SIN((2*3.1416/365*(I93+284)))* 3.1416 / 180) - -COS(K93 * 3.1416 / 180) * SIN(23.45*SIN((2*3.1416/365*(I93+284)))* 3.1416 / 180))^2)^0.5))))*(0.1+SIN(ATAN((--COS(K93 * 3.1416 / 180) * SIN((J93 - 6) * 3.1416/12) * COS(23.45*SIN((2*3.1416/365*(I93+284)))* 3.1416 / 180) + SIN(K93 * 3.1416 / 180) * SIN(23.45*SIN((2*3.1416/365*(I93+284)))* 3.1416 / 180))/(((COS((J93 - 6) * 3.1416/12) * COS(23.45*SIN((2*3.1416/365*(I93+284)))* 3.1416 / 180))^2+(-SIN(K93 * 3.1416 / 180) * SIN((J93 - 6) * 3.1416/12) * COS(23.45*SIN((2*3.1416/365*(I93+284)))* 3.1416 / 180) - -COS(K93 * 3.1416 / 180) * SIN(23.45*SIN((2*3.1416/365*(I93+284)))* 3.1416 / 180))^2)^0.5))))</f>
        <v>1559.60588396421</v>
      </c>
      <c r="O93" s="0" t="n">
        <f aca="false">IF(K93&gt;=15,(0.00000000010508*K93^4 - 0.000000017492*K93^3 + 0.0000012363*K93^2 - 0.000044163*K93 + 0.0008144)*N93^2+( -0.000000028*K93^4 + 0.000013654*K93^3 - 0.0019426*K93^2 + 0.11006*K93 - 2.0905)*N93+0.000087115*K93^4 - 0.024852*K93^3 + 2.6437*K93^2 - 124.35*K93 + 2183.8,N93*0.3835-146.8)</f>
        <v>491.711231287043</v>
      </c>
      <c r="P93" s="0" t="n">
        <f aca="false">O93/2.02</f>
        <v>243.421401627249</v>
      </c>
      <c r="Q93" s="0" t="n">
        <v>217.539928805443</v>
      </c>
      <c r="R93" s="0" t="n">
        <f aca="false">(198.58*(1/(2/15*ACOS(-TAN(3.1416/180*K93)*TAN(3.1416/180*23.45*SIN((2*3.1416/365*(I93+284)))))/3.1416*180))^2+5.0551/(2/15*ACOS(-TAN(3.1416/180*K93)*TAN(3.1416/180*23.45*SIN((2*3.1416/365*(I93+284)))))/3.1416*180)+1.49)*P93*2.02</f>
        <v>1589.92802419142</v>
      </c>
    </row>
    <row r="94" customFormat="false" ht="15.75" hidden="false" customHeight="false" outlineLevel="0" collapsed="false">
      <c r="C94" s="0" t="n">
        <v>78</v>
      </c>
      <c r="D94" s="0" t="n">
        <f aca="false">C94*10000/1000000*277.78</f>
        <v>216.6684</v>
      </c>
      <c r="E94" s="0" t="n">
        <f aca="false">D94*2.02</f>
        <v>437.670168</v>
      </c>
      <c r="I94" s="181" t="n">
        <f aca="false">I93+1</f>
        <v>259</v>
      </c>
      <c r="J94" s="0" t="n">
        <v>12</v>
      </c>
      <c r="K94" s="181" t="n">
        <v>36.67</v>
      </c>
      <c r="L94" s="0" t="n">
        <f aca="false">23.45*SIN((2*3.1416/365*(I94+284)))</f>
        <v>1.81420190258513</v>
      </c>
      <c r="M94" s="0" t="n">
        <f aca="false">2/15*ACOS(-TAN(3.1416/180*K94)*TAN(3.1416/180*23.45*SIN((2*3.1416/365*(I94+284)))))/3.1416*180</f>
        <v>12.1801543990187</v>
      </c>
      <c r="N94" s="0" t="n">
        <f aca="false">2084 * EXP(-0.174353387144778 / SIN(ATAN((--COS(K94 * 3.1416 / 180) * SIN((J94 - 6) * 3.1416/12) * COS(23.45*SIN((2*3.1416/365*(I94+284)))* 3.1416 / 180) + SIN(K94 * 3.1416 / 180) * SIN(23.45*SIN((2*3.1416/365*(I94+284)))* 3.1416 / 180))/(((COS((J94 - 6) * 3.1416/12) * COS(23.45*SIN((2*3.1416/365*(I94+284)))* 3.1416 / 180))^2+(-SIN(K94 * 3.1416 / 180) * SIN((J94 - 6) * 3.1416/12) * COS(23.45*SIN((2*3.1416/365*(I94+284)))* 3.1416 / 180) - -COS(K94 * 3.1416 / 180) * SIN(23.45*SIN((2*3.1416/365*(I94+284)))* 3.1416 / 180))^2)^0.5))))*(0.1+SIN(ATAN((--COS(K94 * 3.1416 / 180) * SIN((J94 - 6) * 3.1416/12) * COS(23.45*SIN((2*3.1416/365*(I94+284)))* 3.1416 / 180) + SIN(K94 * 3.1416 / 180) * SIN(23.45*SIN((2*3.1416/365*(I94+284)))* 3.1416 / 180))/(((COS((J94 - 6) * 3.1416/12) * COS(23.45*SIN((2*3.1416/365*(I94+284)))* 3.1416 / 180))^2+(-SIN(K94 * 3.1416 / 180) * SIN((J94 - 6) * 3.1416/12) * COS(23.45*SIN((2*3.1416/365*(I94+284)))* 3.1416 / 180) - -COS(K94 * 3.1416 / 180) * SIN(23.45*SIN((2*3.1416/365*(I94+284)))* 3.1416 / 180))^2)^0.5))))</f>
        <v>1551.2768773812</v>
      </c>
      <c r="O94" s="0" t="n">
        <f aca="false">IF(K94&gt;=15,(0.00000000010508*K94^4 - 0.000000017492*K94^3 + 0.0000012363*K94^2 - 0.000044163*K94 + 0.0008144)*N94^2+( -0.000000028*K94^4 + 0.000013654*K94^3 - 0.0019426*K94^2 + 0.11006*K94 - 2.0905)*N94+0.000087115*K94^4 - 0.024852*K94^3 + 2.6437*K94^2 - 124.35*K94 + 2183.8,N94*0.3835-146.8)</f>
        <v>487.289098842667</v>
      </c>
      <c r="P94" s="0" t="n">
        <f aca="false">O94/2.02</f>
        <v>241.232227149835</v>
      </c>
      <c r="Q94" s="0" t="n">
        <v>174.778462071572</v>
      </c>
      <c r="R94" s="0" t="n">
        <f aca="false">(198.58*(1/(2/15*ACOS(-TAN(3.1416/180*K94)*TAN(3.1416/180*23.45*SIN((2*3.1416/365*(I94+284)))))/3.1416*180))^2+5.0551/(2/15*ACOS(-TAN(3.1416/180*K94)*TAN(3.1416/180*23.45*SIN((2*3.1416/365*(I94+284)))))/3.1416*180)+1.49)*P94*2.02</f>
        <v>1580.55296826175</v>
      </c>
    </row>
    <row r="95" customFormat="false" ht="15.75" hidden="false" customHeight="false" outlineLevel="0" collapsed="false">
      <c r="C95" s="0" t="n">
        <v>76</v>
      </c>
      <c r="D95" s="0" t="n">
        <f aca="false">C95*10000/1000000*277.78</f>
        <v>211.1128</v>
      </c>
      <c r="E95" s="0" t="n">
        <f aca="false">D95*2.02</f>
        <v>426.447856</v>
      </c>
      <c r="I95" s="181" t="n">
        <f aca="false">I94+1</f>
        <v>260</v>
      </c>
      <c r="J95" s="0" t="n">
        <v>12</v>
      </c>
      <c r="K95" s="181" t="n">
        <v>36.67</v>
      </c>
      <c r="L95" s="0" t="n">
        <f aca="false">23.45*SIN((2*3.1416/365*(I95+284)))</f>
        <v>1.41148876956037</v>
      </c>
      <c r="M95" s="0" t="n">
        <f aca="false">2/15*ACOS(-TAN(3.1416/180*K95)*TAN(3.1416/180*23.45*SIN((2*3.1416/365*(I95+284)))))/3.1416*180</f>
        <v>12.140134206195</v>
      </c>
      <c r="N95" s="0" t="n">
        <f aca="false">2084 * EXP(-0.174353387144778 / SIN(ATAN((--COS(K95 * 3.1416 / 180) * SIN((J95 - 6) * 3.1416/12) * COS(23.45*SIN((2*3.1416/365*(I95+284)))* 3.1416 / 180) + SIN(K95 * 3.1416 / 180) * SIN(23.45*SIN((2*3.1416/365*(I95+284)))* 3.1416 / 180))/(((COS((J95 - 6) * 3.1416/12) * COS(23.45*SIN((2*3.1416/365*(I95+284)))* 3.1416 / 180))^2+(-SIN(K95 * 3.1416 / 180) * SIN((J95 - 6) * 3.1416/12) * COS(23.45*SIN((2*3.1416/365*(I95+284)))* 3.1416 / 180) - -COS(K95 * 3.1416 / 180) * SIN(23.45*SIN((2*3.1416/365*(I95+284)))* 3.1416 / 180))^2)^0.5))))*(0.1+SIN(ATAN((--COS(K95 * 3.1416 / 180) * SIN((J95 - 6) * 3.1416/12) * COS(23.45*SIN((2*3.1416/365*(I95+284)))* 3.1416 / 180) + SIN(K95 * 3.1416 / 180) * SIN(23.45*SIN((2*3.1416/365*(I95+284)))* 3.1416 / 180))/(((COS((J95 - 6) * 3.1416/12) * COS(23.45*SIN((2*3.1416/365*(I95+284)))* 3.1416 / 180))^2+(-SIN(K95 * 3.1416 / 180) * SIN((J95 - 6) * 3.1416/12) * COS(23.45*SIN((2*3.1416/365*(I95+284)))* 3.1416 / 180) - -COS(K95 * 3.1416 / 180) * SIN(23.45*SIN((2*3.1416/365*(I95+284)))* 3.1416 / 180))^2)^0.5))))</f>
        <v>1542.85216130555</v>
      </c>
      <c r="O95" s="0" t="n">
        <f aca="false">IF(K95&gt;=15,(0.00000000010508*K95^4 - 0.000000017492*K95^3 + 0.0000012363*K95^2 - 0.000044163*K95 + 0.0008144)*N95^2+( -0.000000028*K95^4 + 0.000013654*K95^3 - 0.0019426*K95^2 + 0.11006*K95 - 2.0905)*N95+0.000087115*K95^4 - 0.024852*K95^3 + 2.6437*K95^2 - 124.35*K95 + 2183.8,N95*0.3835-146.8)</f>
        <v>482.842243351638</v>
      </c>
      <c r="P95" s="0" t="n">
        <f aca="false">O95/2.02</f>
        <v>239.030813540415</v>
      </c>
      <c r="Q95" s="0" t="n">
        <v>225.600408738659</v>
      </c>
      <c r="R95" s="0" t="n">
        <f aca="false">(198.58*(1/(2/15*ACOS(-TAN(3.1416/180*K95)*TAN(3.1416/180*23.45*SIN((2*3.1416/365*(I95+284)))))/3.1416*180))^2+5.0551/(2/15*ACOS(-TAN(3.1416/180*K95)*TAN(3.1416/180*23.45*SIN((2*3.1416/365*(I95+284)))))/3.1416*180)+1.49)*P95*2.02</f>
        <v>1571.05802552765</v>
      </c>
    </row>
    <row r="96" customFormat="false" ht="15.75" hidden="false" customHeight="false" outlineLevel="0" collapsed="false">
      <c r="C96" s="0" t="n">
        <v>64</v>
      </c>
      <c r="D96" s="0" t="n">
        <f aca="false">C96*10000/1000000*277.78</f>
        <v>177.7792</v>
      </c>
      <c r="E96" s="0" t="n">
        <f aca="false">D96*2.02</f>
        <v>359.113984</v>
      </c>
      <c r="I96" s="181" t="n">
        <f aca="false">I95+1</f>
        <v>261</v>
      </c>
      <c r="J96" s="0" t="n">
        <v>12</v>
      </c>
      <c r="K96" s="181" t="n">
        <v>36.67</v>
      </c>
      <c r="L96" s="0" t="n">
        <f aca="false">23.45*SIN((2*3.1416/365*(I96+284)))</f>
        <v>1.00835737999469</v>
      </c>
      <c r="M96" s="0" t="n">
        <f aca="false">2/15*ACOS(-TAN(3.1416/180*K96)*TAN(3.1416/180*23.45*SIN((2*3.1416/365*(I96+284)))))/3.1416*180</f>
        <v>12.1000901789924</v>
      </c>
      <c r="N96" s="0" t="n">
        <f aca="false">2084 * EXP(-0.174353387144778 / SIN(ATAN((--COS(K96 * 3.1416 / 180) * SIN((J96 - 6) * 3.1416/12) * COS(23.45*SIN((2*3.1416/365*(I96+284)))* 3.1416 / 180) + SIN(K96 * 3.1416 / 180) * SIN(23.45*SIN((2*3.1416/365*(I96+284)))* 3.1416 / 180))/(((COS((J96 - 6) * 3.1416/12) * COS(23.45*SIN((2*3.1416/365*(I96+284)))* 3.1416 / 180))^2+(-SIN(K96 * 3.1416 / 180) * SIN((J96 - 6) * 3.1416/12) * COS(23.45*SIN((2*3.1416/365*(I96+284)))* 3.1416 / 180) - -COS(K96 * 3.1416 / 180) * SIN(23.45*SIN((2*3.1416/365*(I96+284)))* 3.1416 / 180))^2)^0.5))))*(0.1+SIN(ATAN((--COS(K96 * 3.1416 / 180) * SIN((J96 - 6) * 3.1416/12) * COS(23.45*SIN((2*3.1416/365*(I96+284)))* 3.1416 / 180) + SIN(K96 * 3.1416 / 180) * SIN(23.45*SIN((2*3.1416/365*(I96+284)))* 3.1416 / 180))/(((COS((J96 - 6) * 3.1416/12) * COS(23.45*SIN((2*3.1416/365*(I96+284)))* 3.1416 / 180))^2+(-SIN(K96 * 3.1416 / 180) * SIN((J96 - 6) * 3.1416/12) * COS(23.45*SIN((2*3.1416/365*(I96+284)))* 3.1416 / 180) - -COS(K96 * 3.1416 / 180) * SIN(23.45*SIN((2*3.1416/365*(I96+284)))* 3.1416 / 180))^2)^0.5))))</f>
        <v>1534.33434695325</v>
      </c>
      <c r="O96" s="0" t="n">
        <f aca="false">IF(K96&gt;=15,(0.00000000010508*K96^4 - 0.000000017492*K96^3 + 0.0000012363*K96^2 - 0.000044163*K96 + 0.0008144)*N96^2+( -0.000000028*K96^4 + 0.000013654*K96^3 - 0.0019426*K96^2 + 0.11006*K96 - 2.0905)*N96+0.000087115*K96^4 - 0.024852*K96^3 + 2.6437*K96^2 - 124.35*K96 + 2183.8,N96*0.3835-146.8)</f>
        <v>478.372925156742</v>
      </c>
      <c r="P96" s="0" t="n">
        <f aca="false">O96/2.02</f>
        <v>236.818279780565</v>
      </c>
      <c r="Q96" s="0" t="n">
        <v>220.071667086694</v>
      </c>
      <c r="R96" s="0" t="n">
        <f aca="false">(198.58*(1/(2/15*ACOS(-TAN(3.1416/180*K96)*TAN(3.1416/180*23.45*SIN((2*3.1416/365*(I96+284)))))/3.1416*180))^2+5.0551/(2/15*ACOS(-TAN(3.1416/180*K96)*TAN(3.1416/180*23.45*SIN((2*3.1416/365*(I96+284)))))/3.1416*180)+1.49)*P96*2.02</f>
        <v>1561.44828633303</v>
      </c>
    </row>
    <row r="97" customFormat="false" ht="15.75" hidden="false" customHeight="false" outlineLevel="0" collapsed="false">
      <c r="C97" s="0" t="n">
        <v>30</v>
      </c>
      <c r="D97" s="0" t="n">
        <f aca="false">C97*10000/1000000*277.78</f>
        <v>83.334</v>
      </c>
      <c r="E97" s="0" t="n">
        <f aca="false">D97*2.02</f>
        <v>168.33468</v>
      </c>
      <c r="I97" s="181" t="n">
        <f aca="false">I96+1</f>
        <v>262</v>
      </c>
      <c r="J97" s="0" t="n">
        <v>12</v>
      </c>
      <c r="K97" s="181" t="n">
        <v>36.67</v>
      </c>
      <c r="L97" s="0" t="n">
        <f aca="false">23.45*SIN((2*3.1416/365*(I97+284)))</f>
        <v>0.604927190977783</v>
      </c>
      <c r="M97" s="0" t="n">
        <f aca="false">2/15*ACOS(-TAN(3.1416/180*K97)*TAN(3.1416/180*23.45*SIN((2*3.1416/365*(I97+284)))))/3.1416*180</f>
        <v>12.0600291511485</v>
      </c>
      <c r="N97" s="0" t="n">
        <f aca="false">2084 * EXP(-0.174353387144778 / SIN(ATAN((--COS(K97 * 3.1416 / 180) * SIN((J97 - 6) * 3.1416/12) * COS(23.45*SIN((2*3.1416/365*(I97+284)))* 3.1416 / 180) + SIN(K97 * 3.1416 / 180) * SIN(23.45*SIN((2*3.1416/365*(I97+284)))* 3.1416 / 180))/(((COS((J97 - 6) * 3.1416/12) * COS(23.45*SIN((2*3.1416/365*(I97+284)))* 3.1416 / 180))^2+(-SIN(K97 * 3.1416 / 180) * SIN((J97 - 6) * 3.1416/12) * COS(23.45*SIN((2*3.1416/365*(I97+284)))* 3.1416 / 180) - -COS(K97 * 3.1416 / 180) * SIN(23.45*SIN((2*3.1416/365*(I97+284)))* 3.1416 / 180))^2)^0.5))))*(0.1+SIN(ATAN((--COS(K97 * 3.1416 / 180) * SIN((J97 - 6) * 3.1416/12) * COS(23.45*SIN((2*3.1416/365*(I97+284)))* 3.1416 / 180) + SIN(K97 * 3.1416 / 180) * SIN(23.45*SIN((2*3.1416/365*(I97+284)))* 3.1416 / 180))/(((COS((J97 - 6) * 3.1416/12) * COS(23.45*SIN((2*3.1416/365*(I97+284)))* 3.1416 / 180))^2+(-SIN(K97 * 3.1416 / 180) * SIN((J97 - 6) * 3.1416/12) * COS(23.45*SIN((2*3.1416/365*(I97+284)))* 3.1416 / 180) - -COS(K97 * 3.1416 / 180) * SIN(23.45*SIN((2*3.1416/365*(I97+284)))* 3.1416 / 180))^2)^0.5))))</f>
        <v>1525.72615460657</v>
      </c>
      <c r="O97" s="0" t="n">
        <f aca="false">IF(K97&gt;=15,(0.00000000010508*K97^4 - 0.000000017492*K97^3 + 0.0000012363*K97^2 - 0.000044163*K97 + 0.0008144)*N97^2+( -0.000000028*K97^4 + 0.000013654*K97^3 - 0.0019426*K97^2 + 0.11006*K97 - 2.0905)*N97+0.000087115*K97^4 - 0.024852*K97^3 + 2.6437*K97^2 - 124.35*K97 + 2183.8,N97*0.3835-146.8)</f>
        <v>473.883438211909</v>
      </c>
      <c r="P97" s="0" t="n">
        <f aca="false">O97/2.02</f>
        <v>234.595761491044</v>
      </c>
      <c r="Q97" s="0" t="n">
        <v>189.465076077368</v>
      </c>
      <c r="R97" s="0" t="n">
        <f aca="false">(198.58*(1/(2/15*ACOS(-TAN(3.1416/180*K97)*TAN(3.1416/180*23.45*SIN((2*3.1416/365*(I97+284)))))/3.1416*180))^2+5.0551/(2/15*ACOS(-TAN(3.1416/180*K97)*TAN(3.1416/180*23.45*SIN((2*3.1416/365*(I97+284)))))/3.1416*180)+1.49)*P97*2.02</f>
        <v>1551.7290195608</v>
      </c>
    </row>
    <row r="98" customFormat="false" ht="15.75" hidden="false" customHeight="false" outlineLevel="0" collapsed="false">
      <c r="C98" s="0" t="n">
        <v>18</v>
      </c>
      <c r="D98" s="0" t="n">
        <f aca="false">C98*10000/1000000*277.78</f>
        <v>50.0004</v>
      </c>
      <c r="E98" s="0" t="n">
        <f aca="false">D98*2.02</f>
        <v>101.000808</v>
      </c>
      <c r="I98" s="181" t="n">
        <f aca="false">I97+1</f>
        <v>263</v>
      </c>
      <c r="J98" s="0" t="n">
        <v>12</v>
      </c>
      <c r="K98" s="181" t="n">
        <v>36.67</v>
      </c>
      <c r="L98" s="0" t="n">
        <f aca="false">23.45*SIN((2*3.1416/365*(I98+284)))</f>
        <v>0.201317748140464</v>
      </c>
      <c r="M98" s="0" t="n">
        <f aca="false">2/15*ACOS(-TAN(3.1416/180*K98)*TAN(3.1416/180*23.45*SIN((2*3.1416/365*(I98+284)))))/3.1416*180</f>
        <v>12.0199579349752</v>
      </c>
      <c r="N98" s="0" t="n">
        <f aca="false">2084 * EXP(-0.174353387144778 / SIN(ATAN((--COS(K98 * 3.1416 / 180) * SIN((J98 - 6) * 3.1416/12) * COS(23.45*SIN((2*3.1416/365*(I98+284)))* 3.1416 / 180) + SIN(K98 * 3.1416 / 180) * SIN(23.45*SIN((2*3.1416/365*(I98+284)))* 3.1416 / 180))/(((COS((J98 - 6) * 3.1416/12) * COS(23.45*SIN((2*3.1416/365*(I98+284)))* 3.1416 / 180))^2+(-SIN(K98 * 3.1416 / 180) * SIN((J98 - 6) * 3.1416/12) * COS(23.45*SIN((2*3.1416/365*(I98+284)))* 3.1416 / 180) - -COS(K98 * 3.1416 / 180) * SIN(23.45*SIN((2*3.1416/365*(I98+284)))* 3.1416 / 180))^2)^0.5))))*(0.1+SIN(ATAN((--COS(K98 * 3.1416 / 180) * SIN((J98 - 6) * 3.1416/12) * COS(23.45*SIN((2*3.1416/365*(I98+284)))* 3.1416 / 180) + SIN(K98 * 3.1416 / 180) * SIN(23.45*SIN((2*3.1416/365*(I98+284)))* 3.1416 / 180))/(((COS((J98 - 6) * 3.1416/12) * COS(23.45*SIN((2*3.1416/365*(I98+284)))* 3.1416 / 180))^2+(-SIN(K98 * 3.1416 / 180) * SIN((J98 - 6) * 3.1416/12) * COS(23.45*SIN((2*3.1416/365*(I98+284)))* 3.1416 / 180) - -COS(K98 * 3.1416 / 180) * SIN(23.45*SIN((2*3.1416/365*(I98+284)))* 3.1416 / 180))^2)^0.5))))</f>
        <v>1517.03041197808</v>
      </c>
      <c r="O98" s="0" t="n">
        <f aca="false">IF(K98&gt;=15,(0.00000000010508*K98^4 - 0.000000017492*K98^3 + 0.0000012363*K98^2 - 0.000044163*K98 + 0.0008144)*N98^2+( -0.000000028*K98^4 + 0.000013654*K98^3 - 0.0019426*K98^2 + 0.11006*K98 - 2.0905)*N98+0.000087115*K98^4 - 0.024852*K98^3 + 2.6437*K98^2 - 124.35*K98 + 2183.8,N98*0.3835-146.8)</f>
        <v>469.376106597374</v>
      </c>
      <c r="P98" s="0" t="n">
        <f aca="false">O98/2.02</f>
        <v>232.364409206621</v>
      </c>
      <c r="Q98" s="0" t="n">
        <v>190.102775327621</v>
      </c>
      <c r="R98" s="0" t="n">
        <f aca="false">(198.58*(1/(2/15*ACOS(-TAN(3.1416/180*K98)*TAN(3.1416/180*23.45*SIN((2*3.1416/365*(I98+284)))))/3.1416*180))^2+5.0551/(2/15*ACOS(-TAN(3.1416/180*K98)*TAN(3.1416/180*23.45*SIN((2*3.1416/365*(I98+284)))))/3.1416*180)+1.49)*P98*2.02</f>
        <v>1541.90566441507</v>
      </c>
    </row>
    <row r="99" customFormat="false" ht="15.75" hidden="false" customHeight="false" outlineLevel="0" collapsed="false">
      <c r="C99" s="0" t="n">
        <v>2</v>
      </c>
      <c r="D99" s="0" t="n">
        <f aca="false">C99*10000/1000000*277.78</f>
        <v>5.5556</v>
      </c>
      <c r="E99" s="0" t="n">
        <f aca="false">D99*2.02</f>
        <v>11.222312</v>
      </c>
      <c r="I99" s="181" t="n">
        <f aca="false">I98+1</f>
        <v>264</v>
      </c>
      <c r="J99" s="0" t="n">
        <v>12</v>
      </c>
      <c r="K99" s="181" t="n">
        <v>36.67</v>
      </c>
      <c r="L99" s="0" t="n">
        <f aca="false">23.45*SIN((2*3.1416/365*(I99+284)))</f>
        <v>-0.202351349769412</v>
      </c>
      <c r="M99" s="0" t="n">
        <f aca="false">2/15*ACOS(-TAN(3.1416/180*K99)*TAN(3.1416/180*23.45*SIN((2*3.1416/365*(I99+284)))))/3.1416*180</f>
        <v>11.9798833299203</v>
      </c>
      <c r="N99" s="0" t="n">
        <f aca="false">2084 * EXP(-0.174353387144778 / SIN(ATAN((--COS(K99 * 3.1416 / 180) * SIN((J99 - 6) * 3.1416/12) * COS(23.45*SIN((2*3.1416/365*(I99+284)))* 3.1416 / 180) + SIN(K99 * 3.1416 / 180) * SIN(23.45*SIN((2*3.1416/365*(I99+284)))* 3.1416 / 180))/(((COS((J99 - 6) * 3.1416/12) * COS(23.45*SIN((2*3.1416/365*(I99+284)))* 3.1416 / 180))^2+(-SIN(K99 * 3.1416 / 180) * SIN((J99 - 6) * 3.1416/12) * COS(23.45*SIN((2*3.1416/365*(I99+284)))* 3.1416 / 180) - -COS(K99 * 3.1416 / 180) * SIN(23.45*SIN((2*3.1416/365*(I99+284)))* 3.1416 / 180))^2)^0.5))))*(0.1+SIN(ATAN((--COS(K99 * 3.1416 / 180) * SIN((J99 - 6) * 3.1416/12) * COS(23.45*SIN((2*3.1416/365*(I99+284)))* 3.1416 / 180) + SIN(K99 * 3.1416 / 180) * SIN(23.45*SIN((2*3.1416/365*(I99+284)))* 3.1416 / 180))/(((COS((J99 - 6) * 3.1416/12) * COS(23.45*SIN((2*3.1416/365*(I99+284)))* 3.1416 / 180))^2+(-SIN(K99 * 3.1416 / 180) * SIN((J99 - 6) * 3.1416/12) * COS(23.45*SIN((2*3.1416/365*(I99+284)))* 3.1416 / 180) - -COS(K99 * 3.1416 / 180) * SIN(23.45*SIN((2*3.1416/365*(I99+284)))* 3.1416 / 180))^2)^0.5))))</f>
        <v>1508.25005242434</v>
      </c>
      <c r="O99" s="0" t="n">
        <f aca="false">IF(K99&gt;=15,(0.00000000010508*K99^4 - 0.000000017492*K99^3 + 0.0000012363*K99^2 - 0.000044163*K99 + 0.0008144)*N99^2+( -0.000000028*K99^4 + 0.000013654*K99^3 - 0.0019426*K99^2 + 0.11006*K99 - 2.0905)*N99+0.000087115*K99^4 - 0.024852*K99^3 + 2.6437*K99^2 - 124.35*K99 + 2183.8,N99*0.3835-146.8)</f>
        <v>464.853280963367</v>
      </c>
      <c r="P99" s="0" t="n">
        <f aca="false">O99/2.02</f>
        <v>230.125386615528</v>
      </c>
      <c r="Q99" s="0" t="n">
        <v>233.646791519657</v>
      </c>
      <c r="R99" s="0" t="n">
        <f aca="false">(198.58*(1/(2/15*ACOS(-TAN(3.1416/180*K99)*TAN(3.1416/180*23.45*SIN((2*3.1416/365*(I99+284)))))/3.1416*180))^2+5.0551/(2/15*ACOS(-TAN(3.1416/180*K99)*TAN(3.1416/180*23.45*SIN((2*3.1416/365*(I99+284)))))/3.1416*180)+1.49)*P99*2.02</f>
        <v>1531.98382181462</v>
      </c>
    </row>
    <row r="100" customFormat="false" ht="15.75" hidden="false" customHeight="false" outlineLevel="0" collapsed="false">
      <c r="C100" s="0" t="n">
        <v>0</v>
      </c>
      <c r="D100" s="0" t="n">
        <f aca="false">C100*10000/1000000*277.78</f>
        <v>0</v>
      </c>
      <c r="E100" s="0" t="n">
        <f aca="false">D100*2.02</f>
        <v>0</v>
      </c>
      <c r="I100" s="181" t="n">
        <f aca="false">I99+1</f>
        <v>265</v>
      </c>
      <c r="J100" s="0" t="n">
        <v>12</v>
      </c>
      <c r="K100" s="181" t="n">
        <v>36.67</v>
      </c>
      <c r="L100" s="0" t="n">
        <f aca="false">23.45*SIN((2*3.1416/365*(I100+284)))</f>
        <v>-0.605960486326829</v>
      </c>
      <c r="M100" s="0" t="n">
        <f aca="false">2/15*ACOS(-TAN(3.1416/180*K100)*TAN(3.1416/180*23.45*SIN((2*3.1416/365*(I100+284)))))/3.1416*180</f>
        <v>11.9398121311484</v>
      </c>
      <c r="N100" s="0" t="n">
        <f aca="false">2084 * EXP(-0.174353387144778 / SIN(ATAN((--COS(K100 * 3.1416 / 180) * SIN((J100 - 6) * 3.1416/12) * COS(23.45*SIN((2*3.1416/365*(I100+284)))* 3.1416 / 180) + SIN(K100 * 3.1416 / 180) * SIN(23.45*SIN((2*3.1416/365*(I100+284)))* 3.1416 / 180))/(((COS((J100 - 6) * 3.1416/12) * COS(23.45*SIN((2*3.1416/365*(I100+284)))* 3.1416 / 180))^2+(-SIN(K100 * 3.1416 / 180) * SIN((J100 - 6) * 3.1416/12) * COS(23.45*SIN((2*3.1416/365*(I100+284)))* 3.1416 / 180) - -COS(K100 * 3.1416 / 180) * SIN(23.45*SIN((2*3.1416/365*(I100+284)))* 3.1416 / 180))^2)^0.5))))*(0.1+SIN(ATAN((--COS(K100 * 3.1416 / 180) * SIN((J100 - 6) * 3.1416/12) * COS(23.45*SIN((2*3.1416/365*(I100+284)))* 3.1416 / 180) + SIN(K100 * 3.1416 / 180) * SIN(23.45*SIN((2*3.1416/365*(I100+284)))* 3.1416 / 180))/(((COS((J100 - 6) * 3.1416/12) * COS(23.45*SIN((2*3.1416/365*(I100+284)))* 3.1416 / 180))^2+(-SIN(K100 * 3.1416 / 180) * SIN((J100 - 6) * 3.1416/12) * COS(23.45*SIN((2*3.1416/365*(I100+284)))* 3.1416 / 180) - -COS(K100 * 3.1416 / 180) * SIN(23.45*SIN((2*3.1416/365*(I100+284)))* 3.1416 / 180))^2)^0.5))))</f>
        <v>1499.38811301266</v>
      </c>
      <c r="O100" s="0" t="n">
        <f aca="false">IF(K100&gt;=15,(0.00000000010508*K100^4 - 0.000000017492*K100^3 + 0.0000012363*K100^2 - 0.000044163*K100 + 0.0008144)*N100^2+( -0.000000028*K100^4 + 0.000013654*K100^3 - 0.0019426*K100^2 + 0.11006*K100 - 2.0905)*N100+0.000087115*K100^4 - 0.024852*K100^3 + 2.6437*K100^2 - 124.35*K100 + 2183.8,N100*0.3835-146.8)</f>
        <v>460.317334912525</v>
      </c>
      <c r="P100" s="0" t="n">
        <f aca="false">O100/2.02</f>
        <v>227.879868768576</v>
      </c>
      <c r="Q100" s="0" t="n">
        <v>224.879563854586</v>
      </c>
      <c r="R100" s="0" t="n">
        <f aca="false">(198.58*(1/(2/15*ACOS(-TAN(3.1416/180*K100)*TAN(3.1416/180*23.45*SIN((2*3.1416/365*(I100+284)))))/3.1416*180))^2+5.0551/(2/15*ACOS(-TAN(3.1416/180*K100)*TAN(3.1416/180*23.45*SIN((2*3.1416/365*(I100+284)))))/3.1416*180)+1.49)*P100*2.02</f>
        <v>1521.96924542025</v>
      </c>
    </row>
    <row r="101" customFormat="false" ht="15.75" hidden="false" customHeight="false" outlineLevel="0" collapsed="false">
      <c r="C101" s="0" t="n">
        <v>0</v>
      </c>
      <c r="D101" s="0" t="n">
        <f aca="false">C101*10000/1000000*277.78</f>
        <v>0</v>
      </c>
      <c r="E101" s="0" t="n">
        <f aca="false">D101*2.02</f>
        <v>0</v>
      </c>
      <c r="I101" s="181" t="n">
        <f aca="false">I100+1</f>
        <v>266</v>
      </c>
      <c r="J101" s="0" t="n">
        <v>12</v>
      </c>
      <c r="K101" s="181" t="n">
        <v>36.67</v>
      </c>
      <c r="L101" s="0" t="n">
        <f aca="false">23.45*SIN((2*3.1416/365*(I101+284)))</f>
        <v>-1.00939006287469</v>
      </c>
      <c r="M101" s="0" t="n">
        <f aca="false">2/15*ACOS(-TAN(3.1416/180*K101)*TAN(3.1416/180*23.45*SIN((2*3.1416/365*(I101+284)))))/3.1416*180</f>
        <v>11.8997511381293</v>
      </c>
      <c r="N101" s="0" t="n">
        <f aca="false">2084 * EXP(-0.174353387144778 / SIN(ATAN((--COS(K101 * 3.1416 / 180) * SIN((J101 - 6) * 3.1416/12) * COS(23.45*SIN((2*3.1416/365*(I101+284)))* 3.1416 / 180) + SIN(K101 * 3.1416 / 180) * SIN(23.45*SIN((2*3.1416/365*(I101+284)))* 3.1416 / 180))/(((COS((J101 - 6) * 3.1416/12) * COS(23.45*SIN((2*3.1416/365*(I101+284)))* 3.1416 / 180))^2+(-SIN(K101 * 3.1416 / 180) * SIN((J101 - 6) * 3.1416/12) * COS(23.45*SIN((2*3.1416/365*(I101+284)))* 3.1416 / 180) - -COS(K101 * 3.1416 / 180) * SIN(23.45*SIN((2*3.1416/365*(I101+284)))* 3.1416 / 180))^2)^0.5))))*(0.1+SIN(ATAN((--COS(K101 * 3.1416 / 180) * SIN((J101 - 6) * 3.1416/12) * COS(23.45*SIN((2*3.1416/365*(I101+284)))* 3.1416 / 180) + SIN(K101 * 3.1416 / 180) * SIN(23.45*SIN((2*3.1416/365*(I101+284)))* 3.1416 / 180))/(((COS((J101 - 6) * 3.1416/12) * COS(23.45*SIN((2*3.1416/365*(I101+284)))* 3.1416 / 180))^2+(-SIN(K101 * 3.1416 / 180) * SIN((J101 - 6) * 3.1416/12) * COS(23.45*SIN((2*3.1416/365*(I101+284)))* 3.1416 / 180) - -COS(K101 * 3.1416 / 180) * SIN(23.45*SIN((2*3.1416/365*(I101+284)))* 3.1416 / 180))^2)^0.5))))</f>
        <v>1490.4477324446</v>
      </c>
      <c r="O101" s="0" t="n">
        <f aca="false">IF(K101&gt;=15,(0.00000000010508*K101^4 - 0.000000017492*K101^3 + 0.0000012363*K101^2 - 0.000044163*K101 + 0.0008144)*N101^2+( -0.000000028*K101^4 + 0.000013654*K101^3 - 0.0019426*K101^2 + 0.11006*K101 - 2.0905)*N101+0.000087115*K101^4 - 0.024852*K101^3 + 2.6437*K101^2 - 124.35*K101 + 2183.8,N101*0.3835-146.8)</f>
        <v>455.770661331416</v>
      </c>
      <c r="P101" s="0" t="n">
        <f aca="false">O101/2.02</f>
        <v>225.629040263077</v>
      </c>
      <c r="Q101" s="0" t="n">
        <v>230.593537361391</v>
      </c>
      <c r="R101" s="0" t="n">
        <f aca="false">(198.58*(1/(2/15*ACOS(-TAN(3.1416/180*K101)*TAN(3.1416/180*23.45*SIN((2*3.1416/365*(I101+284)))))/3.1416*180))^2+5.0551/(2/15*ACOS(-TAN(3.1416/180*K101)*TAN(3.1416/180*23.45*SIN((2*3.1416/365*(I101+284)))))/3.1416*180)+1.49)*P101*2.02</f>
        <v>1511.86783231967</v>
      </c>
    </row>
    <row r="102" customFormat="false" ht="15.75" hidden="false" customHeight="false" outlineLevel="0" collapsed="false">
      <c r="C102" s="0" t="n">
        <v>0</v>
      </c>
      <c r="D102" s="0" t="n">
        <f aca="false">C102*10000/1000000*277.78</f>
        <v>0</v>
      </c>
      <c r="E102" s="0" t="n">
        <f aca="false">D102*2.02</f>
        <v>0</v>
      </c>
      <c r="I102" s="181" t="n">
        <f aca="false">I101+1</f>
        <v>267</v>
      </c>
      <c r="J102" s="0" t="n">
        <v>12</v>
      </c>
      <c r="K102" s="181" t="n">
        <v>36.67</v>
      </c>
      <c r="L102" s="0" t="n">
        <f aca="false">23.45*SIN((2*3.1416/365*(I102+284)))</f>
        <v>-1.41252053396367</v>
      </c>
      <c r="M102" s="0" t="n">
        <f aca="false">2/15*ACOS(-TAN(3.1416/180*K102)*TAN(3.1416/180*23.45*SIN((2*3.1416/365*(I102+284)))))/3.1416*180</f>
        <v>11.8597071632188</v>
      </c>
      <c r="N102" s="0" t="n">
        <f aca="false">2084 * EXP(-0.174353387144778 / SIN(ATAN((--COS(K102 * 3.1416 / 180) * SIN((J102 - 6) * 3.1416/12) * COS(23.45*SIN((2*3.1416/365*(I102+284)))* 3.1416 / 180) + SIN(K102 * 3.1416 / 180) * SIN(23.45*SIN((2*3.1416/365*(I102+284)))* 3.1416 / 180))/(((COS((J102 - 6) * 3.1416/12) * COS(23.45*SIN((2*3.1416/365*(I102+284)))* 3.1416 / 180))^2+(-SIN(K102 * 3.1416 / 180) * SIN((J102 - 6) * 3.1416/12) * COS(23.45*SIN((2*3.1416/365*(I102+284)))* 3.1416 / 180) - -COS(K102 * 3.1416 / 180) * SIN(23.45*SIN((2*3.1416/365*(I102+284)))* 3.1416 / 180))^2)^0.5))))*(0.1+SIN(ATAN((--COS(K102 * 3.1416 / 180) * SIN((J102 - 6) * 3.1416/12) * COS(23.45*SIN((2*3.1416/365*(I102+284)))* 3.1416 / 180) + SIN(K102 * 3.1416 / 180) * SIN(23.45*SIN((2*3.1416/365*(I102+284)))* 3.1416 / 180))/(((COS((J102 - 6) * 3.1416/12) * COS(23.45*SIN((2*3.1416/365*(I102+284)))* 3.1416 / 180))^2+(-SIN(K102 * 3.1416 / 180) * SIN((J102 - 6) * 3.1416/12) * COS(23.45*SIN((2*3.1416/365*(I102+284)))* 3.1416 / 180) - -COS(K102 * 3.1416 / 180) * SIN(23.45*SIN((2*3.1416/365*(I102+284)))* 3.1416 / 180))^2)^0.5))))</f>
        <v>1481.43214883997</v>
      </c>
      <c r="O102" s="0" t="n">
        <f aca="false">IF(K102&gt;=15,(0.00000000010508*K102^4 - 0.000000017492*K102^3 + 0.0000012363*K102^2 - 0.000044163*K102 + 0.0008144)*N102^2+( -0.000000028*K102^4 + 0.000013654*K102^3 - 0.0019426*K102^2 + 0.11006*K102 - 2.0905)*N102+0.000087115*K102^4 - 0.024852*K102^3 + 2.6437*K102^2 - 124.35*K102 + 2183.8,N102*0.3835-146.8)</f>
        <v>451.215668681787</v>
      </c>
      <c r="P102" s="0" t="n">
        <f aca="false">O102/2.02</f>
        <v>223.374093406825</v>
      </c>
      <c r="Q102" s="0" t="n">
        <v>229.381635112147</v>
      </c>
      <c r="R102" s="0" t="n">
        <f aca="false">(198.58*(1/(2/15*ACOS(-TAN(3.1416/180*K102)*TAN(3.1416/180*23.45*SIN((2*3.1416/365*(I102+284)))))/3.1416*180))^2+5.0551/(2/15*ACOS(-TAN(3.1416/180*K102)*TAN(3.1416/180*23.45*SIN((2*3.1416/365*(I102+284)))))/3.1416*180)+1.49)*P102*2.02</f>
        <v>1501.68561339475</v>
      </c>
    </row>
    <row r="103" customFormat="false" ht="15.75" hidden="false" customHeight="false" outlineLevel="0" collapsed="false">
      <c r="C103" s="0" t="n">
        <v>0</v>
      </c>
      <c r="D103" s="0" t="n">
        <f aca="false">C103*10000/1000000*277.78</f>
        <v>0</v>
      </c>
      <c r="E103" s="0" t="n">
        <f aca="false">D103*2.02</f>
        <v>0</v>
      </c>
      <c r="I103" s="181" t="n">
        <f aca="false">I102+1</f>
        <v>268</v>
      </c>
      <c r="J103" s="0" t="n">
        <v>12</v>
      </c>
      <c r="K103" s="181" t="n">
        <v>36.67</v>
      </c>
      <c r="L103" s="0" t="n">
        <f aca="false">23.45*SIN((2*3.1416/365*(I103+284)))</f>
        <v>-1.81523244277624</v>
      </c>
      <c r="M103" s="0" t="n">
        <f aca="false">2/15*ACOS(-TAN(3.1416/180*K103)*TAN(3.1416/180*23.45*SIN((2*3.1416/365*(I103+284)))))/3.1416*180</f>
        <v>11.8196870402203</v>
      </c>
      <c r="N103" s="0" t="n">
        <f aca="false">2084 * EXP(-0.174353387144778 / SIN(ATAN((--COS(K103 * 3.1416 / 180) * SIN((J103 - 6) * 3.1416/12) * COS(23.45*SIN((2*3.1416/365*(I103+284)))* 3.1416 / 180) + SIN(K103 * 3.1416 / 180) * SIN(23.45*SIN((2*3.1416/365*(I103+284)))* 3.1416 / 180))/(((COS((J103 - 6) * 3.1416/12) * COS(23.45*SIN((2*3.1416/365*(I103+284)))* 3.1416 / 180))^2+(-SIN(K103 * 3.1416 / 180) * SIN((J103 - 6) * 3.1416/12) * COS(23.45*SIN((2*3.1416/365*(I103+284)))* 3.1416 / 180) - -COS(K103 * 3.1416 / 180) * SIN(23.45*SIN((2*3.1416/365*(I103+284)))* 3.1416 / 180))^2)^0.5))))*(0.1+SIN(ATAN((--COS(K103 * 3.1416 / 180) * SIN((J103 - 6) * 3.1416/12) * COS(23.45*SIN((2*3.1416/365*(I103+284)))* 3.1416 / 180) + SIN(K103 * 3.1416 / 180) * SIN(23.45*SIN((2*3.1416/365*(I103+284)))* 3.1416 / 180))/(((COS((J103 - 6) * 3.1416/12) * COS(23.45*SIN((2*3.1416/365*(I103+284)))* 3.1416 / 180))^2+(-SIN(K103 * 3.1416 / 180) * SIN((J103 - 6) * 3.1416/12) * COS(23.45*SIN((2*3.1416/365*(I103+284)))* 3.1416 / 180) - -COS(K103 * 3.1416 / 180) * SIN(23.45*SIN((2*3.1416/365*(I103+284)))* 3.1416 / 180))^2)^0.5))))</f>
        <v>1472.34469738568</v>
      </c>
      <c r="O103" s="0" t="n">
        <f aca="false">IF(K103&gt;=15,(0.00000000010508*K103^4 - 0.000000017492*K103^3 + 0.0000012363*K103^2 - 0.000044163*K103 + 0.0008144)*N103^2+( -0.000000028*K103^4 + 0.000013654*K103^3 - 0.0019426*K103^2 + 0.11006*K103 - 2.0905)*N103+0.000087115*K103^4 - 0.024852*K103^3 + 2.6437*K103^2 - 124.35*K103 + 2183.8,N103*0.3835-146.8)</f>
        <v>446.654777262242</v>
      </c>
      <c r="P103" s="0" t="n">
        <f aca="false">O103/2.02</f>
        <v>221.116226367446</v>
      </c>
      <c r="Q103" s="0" t="n">
        <v>239.043992565524</v>
      </c>
      <c r="R103" s="0" t="n">
        <f aca="false">(198.58*(1/(2/15*ACOS(-TAN(3.1416/180*K103)*TAN(3.1416/180*23.45*SIN((2*3.1416/365*(I103+284)))))/3.1416*180))^2+5.0551/(2/15*ACOS(-TAN(3.1416/180*K103)*TAN(3.1416/180*23.45*SIN((2*3.1416/365*(I103+284)))))/3.1416*180)+1.49)*P103*2.02</f>
        <v>1491.42874339703</v>
      </c>
    </row>
    <row r="104" customFormat="false" ht="15.75" hidden="false" customHeight="false" outlineLevel="0" collapsed="false">
      <c r="C104" s="0" t="n">
        <v>0</v>
      </c>
      <c r="D104" s="0" t="n">
        <f aca="false">C104*10000/1000000*277.78</f>
        <v>0</v>
      </c>
      <c r="E104" s="0" t="n">
        <f aca="false">D104*2.02</f>
        <v>0</v>
      </c>
      <c r="I104" s="181" t="n">
        <f aca="false">I103+1</f>
        <v>269</v>
      </c>
      <c r="J104" s="0" t="n">
        <v>12</v>
      </c>
      <c r="K104" s="181" t="n">
        <v>36.67</v>
      </c>
      <c r="L104" s="0" t="n">
        <f aca="false">23.45*SIN((2*3.1416/365*(I104+284)))</f>
        <v>-2.21740645652449</v>
      </c>
      <c r="M104" s="0" t="n">
        <f aca="false">2/15*ACOS(-TAN(3.1416/180*K104)*TAN(3.1416/180*23.45*SIN((2*3.1416/365*(I104+284)))))/3.1416*180</f>
        <v>11.7796976329136</v>
      </c>
      <c r="N104" s="0" t="n">
        <f aca="false">2084 * EXP(-0.174353387144778 / SIN(ATAN((--COS(K104 * 3.1416 / 180) * SIN((J104 - 6) * 3.1416/12) * COS(23.45*SIN((2*3.1416/365*(I104+284)))* 3.1416 / 180) + SIN(K104 * 3.1416 / 180) * SIN(23.45*SIN((2*3.1416/365*(I104+284)))* 3.1416 / 180))/(((COS((J104 - 6) * 3.1416/12) * COS(23.45*SIN((2*3.1416/365*(I104+284)))* 3.1416 / 180))^2+(-SIN(K104 * 3.1416 / 180) * SIN((J104 - 6) * 3.1416/12) * COS(23.45*SIN((2*3.1416/365*(I104+284)))* 3.1416 / 180) - -COS(K104 * 3.1416 / 180) * SIN(23.45*SIN((2*3.1416/365*(I104+284)))* 3.1416 / 180))^2)^0.5))))*(0.1+SIN(ATAN((--COS(K104 * 3.1416 / 180) * SIN((J104 - 6) * 3.1416/12) * COS(23.45*SIN((2*3.1416/365*(I104+284)))* 3.1416 / 180) + SIN(K104 * 3.1416 / 180) * SIN(23.45*SIN((2*3.1416/365*(I104+284)))* 3.1416 / 180))/(((COS((J104 - 6) * 3.1416/12) * COS(23.45*SIN((2*3.1416/365*(I104+284)))* 3.1416 / 180))^2+(-SIN(K104 * 3.1416 / 180) * SIN((J104 - 6) * 3.1416/12) * COS(23.45*SIN((2*3.1416/365*(I104+284)))* 3.1416 / 180) - -COS(K104 * 3.1416 / 180) * SIN(23.45*SIN((2*3.1416/365*(I104+284)))* 3.1416 / 180))^2)^0.5))))</f>
        <v>1463.18880785363</v>
      </c>
      <c r="O104" s="0" t="n">
        <f aca="false">IF(K104&gt;=15,(0.00000000010508*K104^4 - 0.000000017492*K104^3 + 0.0000012363*K104^2 - 0.000044163*K104 + 0.0008144)*N104^2+( -0.000000028*K104^4 + 0.000013654*K104^3 - 0.0019426*K104^2 + 0.11006*K104 - 2.0905)*N104+0.000087115*K104^4 - 0.024852*K104^3 + 2.6437*K104^2 - 124.35*K104 + 2183.8,N104*0.3835-146.8)</f>
        <v>442.090415451198</v>
      </c>
      <c r="P104" s="0" t="n">
        <f aca="false">O104/2.02</f>
        <v>218.856641312474</v>
      </c>
      <c r="Q104" s="0" t="n">
        <v>246.511899886592</v>
      </c>
      <c r="R104" s="0" t="n">
        <f aca="false">(198.58*(1/(2/15*ACOS(-TAN(3.1416/180*K104)*TAN(3.1416/180*23.45*SIN((2*3.1416/365*(I104+284)))))/3.1416*180))^2+5.0551/(2/15*ACOS(-TAN(3.1416/180*K104)*TAN(3.1416/180*23.45*SIN((2*3.1416/365*(I104+284)))))/3.1416*180)+1.49)*P104*2.02</f>
        <v>1481.10349075829</v>
      </c>
    </row>
    <row r="105" customFormat="false" ht="15.75" hidden="false" customHeight="false" outlineLevel="0" collapsed="false">
      <c r="I105" s="181" t="n">
        <f aca="false">I104+1</f>
        <v>270</v>
      </c>
      <c r="J105" s="0" t="n">
        <v>12</v>
      </c>
      <c r="K105" s="181" t="n">
        <v>36.67</v>
      </c>
      <c r="L105" s="0" t="n">
        <f aca="false">23.45*SIN((2*3.1416/365*(I105+284)))</f>
        <v>-2.61892340181118</v>
      </c>
      <c r="M105" s="0" t="n">
        <f aca="false">2/15*ACOS(-TAN(3.1416/180*K105)*TAN(3.1416/180*23.45*SIN((2*3.1416/365*(I105+284)))))/3.1416*180</f>
        <v>11.7397458435365</v>
      </c>
      <c r="N105" s="0" t="n">
        <f aca="false">2084 * EXP(-0.174353387144778 / SIN(ATAN((--COS(K105 * 3.1416 / 180) * SIN((J105 - 6) * 3.1416/12) * COS(23.45*SIN((2*3.1416/365*(I105+284)))* 3.1416 / 180) + SIN(K105 * 3.1416 / 180) * SIN(23.45*SIN((2*3.1416/365*(I105+284)))* 3.1416 / 180))/(((COS((J105 - 6) * 3.1416/12) * COS(23.45*SIN((2*3.1416/365*(I105+284)))* 3.1416 / 180))^2+(-SIN(K105 * 3.1416 / 180) * SIN((J105 - 6) * 3.1416/12) * COS(23.45*SIN((2*3.1416/365*(I105+284)))* 3.1416 / 180) - -COS(K105 * 3.1416 / 180) * SIN(23.45*SIN((2*3.1416/365*(I105+284)))* 3.1416 / 180))^2)^0.5))))*(0.1+SIN(ATAN((--COS(K105 * 3.1416 / 180) * SIN((J105 - 6) * 3.1416/12) * COS(23.45*SIN((2*3.1416/365*(I105+284)))* 3.1416 / 180) + SIN(K105 * 3.1416 / 180) * SIN(23.45*SIN((2*3.1416/365*(I105+284)))* 3.1416 / 180))/(((COS((J105 - 6) * 3.1416/12) * COS(23.45*SIN((2*3.1416/365*(I105+284)))* 3.1416 / 180))^2+(-SIN(K105 * 3.1416 / 180) * SIN((J105 - 6) * 3.1416/12) * COS(23.45*SIN((2*3.1416/365*(I105+284)))* 3.1416 / 180) - -COS(K105 * 3.1416 / 180) * SIN(23.45*SIN((2*3.1416/365*(I105+284)))* 3.1416 / 180))^2)^0.5))))</f>
        <v>1453.96800199244</v>
      </c>
      <c r="O105" s="0" t="n">
        <f aca="false">IF(K105&gt;=15,(0.00000000010508*K105^4 - 0.000000017492*K105^3 + 0.0000012363*K105^2 - 0.000044163*K105 + 0.0008144)*N105^2+( -0.000000028*K105^4 + 0.000013654*K105^3 - 0.0019426*K105^2 + 0.11006*K105 - 2.0905)*N105+0.000087115*K105^4 - 0.024852*K105^3 + 2.6437*K105^2 - 124.35*K105 + 2183.8,N105*0.3835-146.8)</f>
        <v>437.525015941989</v>
      </c>
      <c r="P105" s="0" t="n">
        <f aca="false">O105/2.02</f>
        <v>216.596542545539</v>
      </c>
      <c r="Q105" s="0" t="n">
        <v>250.174993699597</v>
      </c>
      <c r="R105" s="0" t="n">
        <f aca="false">(198.58*(1/(2/15*ACOS(-TAN(3.1416/180*K105)*TAN(3.1416/180*23.45*SIN((2*3.1416/365*(I105+284)))))/3.1416*180))^2+5.0551/(2/15*ACOS(-TAN(3.1416/180*K105)*TAN(3.1416/180*23.45*SIN((2*3.1416/365*(I105+284)))))/3.1416*180)+1.49)*P105*2.02</f>
        <v>1470.71622716369</v>
      </c>
    </row>
    <row r="106" customFormat="false" ht="15.75" hidden="false" customHeight="false" outlineLevel="0" collapsed="false">
      <c r="C106" s="0" t="n">
        <f aca="false">SUM(C81:C104)</f>
        <v>671</v>
      </c>
      <c r="D106" s="0" t="n">
        <f aca="false">SUM(D81:D104)</f>
        <v>1863.9038</v>
      </c>
      <c r="E106" s="0" t="n">
        <f aca="false">SUM(E81:E104)</f>
        <v>3765.085676</v>
      </c>
      <c r="I106" s="181" t="n">
        <f aca="false">I105+1</f>
        <v>271</v>
      </c>
      <c r="J106" s="0" t="n">
        <v>12</v>
      </c>
      <c r="K106" s="181" t="n">
        <v>36.67</v>
      </c>
      <c r="L106" s="0" t="n">
        <f aca="false">23.45*SIN((2*3.1416/365*(I106+284)))</f>
        <v>-3.01966429994356</v>
      </c>
      <c r="M106" s="0" t="n">
        <f aca="false">2/15*ACOS(-TAN(3.1416/180*K106)*TAN(3.1416/180*23.45*SIN((2*3.1416/365*(I106+284)))))/3.1416*180</f>
        <v>11.6998386212071</v>
      </c>
      <c r="N106" s="0" t="n">
        <f aca="false">2084 * EXP(-0.174353387144778 / SIN(ATAN((--COS(K106 * 3.1416 / 180) * SIN((J106 - 6) * 3.1416/12) * COS(23.45*SIN((2*3.1416/365*(I106+284)))* 3.1416 / 180) + SIN(K106 * 3.1416 / 180) * SIN(23.45*SIN((2*3.1416/365*(I106+284)))* 3.1416 / 180))/(((COS((J106 - 6) * 3.1416/12) * COS(23.45*SIN((2*3.1416/365*(I106+284)))* 3.1416 / 180))^2+(-SIN(K106 * 3.1416 / 180) * SIN((J106 - 6) * 3.1416/12) * COS(23.45*SIN((2*3.1416/365*(I106+284)))* 3.1416 / 180) - -COS(K106 * 3.1416 / 180) * SIN(23.45*SIN((2*3.1416/365*(I106+284)))* 3.1416 / 180))^2)^0.5))))*(0.1+SIN(ATAN((--COS(K106 * 3.1416 / 180) * SIN((J106 - 6) * 3.1416/12) * COS(23.45*SIN((2*3.1416/365*(I106+284)))* 3.1416 / 180) + SIN(K106 * 3.1416 / 180) * SIN(23.45*SIN((2*3.1416/365*(I106+284)))* 3.1416 / 180))/(((COS((J106 - 6) * 3.1416/12) * COS(23.45*SIN((2*3.1416/365*(I106+284)))* 3.1416 / 180))^2+(-SIN(K106 * 3.1416 / 180) * SIN((J106 - 6) * 3.1416/12) * COS(23.45*SIN((2*3.1416/365*(I106+284)))* 3.1416 / 180) - -COS(K106 * 3.1416 / 180) * SIN(23.45*SIN((2*3.1416/365*(I106+284)))* 3.1416 / 180))^2)^0.5))))</f>
        <v>1444.68589079775</v>
      </c>
      <c r="O106" s="0" t="n">
        <f aca="false">IF(K106&gt;=15,(0.00000000010508*K106^4 - 0.000000017492*K106^3 + 0.0000012363*K106^2 - 0.000044163*K106 + 0.0008144)*N106^2+( -0.000000028*K106^4 + 0.000013654*K106^3 - 0.0019426*K106^2 + 0.11006*K106 - 2.0905)*N106+0.000087115*K106^4 - 0.024852*K106^3 + 2.6437*K106^2 - 124.35*K106 + 2183.8,N106*0.3835-146.8)</f>
        <v>432.961011981029</v>
      </c>
      <c r="P106" s="0" t="n">
        <f aca="false">O106/2.02</f>
        <v>214.337134644074</v>
      </c>
      <c r="Q106" s="0" t="n">
        <v>250.12459047379</v>
      </c>
      <c r="R106" s="0" t="n">
        <f aca="false">(198.58*(1/(2/15*ACOS(-TAN(3.1416/180*K106)*TAN(3.1416/180*23.45*SIN((2*3.1416/365*(I106+284)))))/3.1416*180))^2+5.0551/(2/15*ACOS(-TAN(3.1416/180*K106)*TAN(3.1416/180*23.45*SIN((2*3.1416/365*(I106+284)))))/3.1416*180)+1.49)*P106*2.02</f>
        <v>1460.27341691596</v>
      </c>
    </row>
    <row r="107" customFormat="false" ht="15.75" hidden="false" customHeight="false" outlineLevel="0" collapsed="false">
      <c r="I107" s="181" t="n">
        <f aca="false">I106+1</f>
        <v>272</v>
      </c>
      <c r="J107" s="0" t="n">
        <v>12</v>
      </c>
      <c r="K107" s="181" t="n">
        <v>36.67</v>
      </c>
      <c r="L107" s="0" t="n">
        <f aca="false">23.45*SIN((2*3.1416/365*(I107+284)))</f>
        <v>-3.41951040218944</v>
      </c>
      <c r="M107" s="0" t="n">
        <f aca="false">2/15*ACOS(-TAN(3.1416/180*K107)*TAN(3.1416/180*23.45*SIN((2*3.1416/365*(I107+284)))))/3.1416*180</f>
        <v>11.6599829702728</v>
      </c>
      <c r="N107" s="0" t="n">
        <f aca="false">2084 * EXP(-0.174353387144778 / SIN(ATAN((--COS(K107 * 3.1416 / 180) * SIN((J107 - 6) * 3.1416/12) * COS(23.45*SIN((2*3.1416/365*(I107+284)))* 3.1416 / 180) + SIN(K107 * 3.1416 / 180) * SIN(23.45*SIN((2*3.1416/365*(I107+284)))* 3.1416 / 180))/(((COS((J107 - 6) * 3.1416/12) * COS(23.45*SIN((2*3.1416/365*(I107+284)))* 3.1416 / 180))^2+(-SIN(K107 * 3.1416 / 180) * SIN((J107 - 6) * 3.1416/12) * COS(23.45*SIN((2*3.1416/365*(I107+284)))* 3.1416 / 180) - -COS(K107 * 3.1416 / 180) * SIN(23.45*SIN((2*3.1416/365*(I107+284)))* 3.1416 / 180))^2)^0.5))))*(0.1+SIN(ATAN((--COS(K107 * 3.1416 / 180) * SIN((J107 - 6) * 3.1416/12) * COS(23.45*SIN((2*3.1416/365*(I107+284)))* 3.1416 / 180) + SIN(K107 * 3.1416 / 180) * SIN(23.45*SIN((2*3.1416/365*(I107+284)))* 3.1416 / 180))/(((COS((J107 - 6) * 3.1416/12) * COS(23.45*SIN((2*3.1416/365*(I107+284)))* 3.1416 / 180))^2+(-SIN(K107 * 3.1416 / 180) * SIN((J107 - 6) * 3.1416/12) * COS(23.45*SIN((2*3.1416/365*(I107+284)))* 3.1416 / 180) - -COS(K107 * 3.1416 / 180) * SIN(23.45*SIN((2*3.1416/365*(I107+284)))* 3.1416 / 180))^2)^0.5))))</f>
        <v>1435.34617166617</v>
      </c>
      <c r="O107" s="0" t="n">
        <f aca="false">IF(K107&gt;=15,(0.00000000010508*K107^4 - 0.000000017492*K107^3 + 0.0000012363*K107^2 - 0.000044163*K107 + 0.0008144)*N107^2+( -0.000000028*K107^4 + 0.000013654*K107^3 - 0.0019426*K107^2 + 0.11006*K107 - 2.0905)*N107+0.000087115*K107^4 - 0.024852*K107^3 + 2.6437*K107^2 - 124.35*K107 + 2183.8,N107*0.3835-146.8)</f>
        <v>428.400833619882</v>
      </c>
      <c r="P107" s="0" t="n">
        <f aca="false">O107/2.02</f>
        <v>212.079620603902</v>
      </c>
      <c r="Q107" s="0" t="n">
        <v>230.460283833165</v>
      </c>
      <c r="R107" s="0" t="n">
        <f aca="false">(198.58*(1/(2/15*ACOS(-TAN(3.1416/180*K107)*TAN(3.1416/180*23.45*SIN((2*3.1416/365*(I107+284)))))/3.1416*180))^2+5.0551/(2/15*ACOS(-TAN(3.1416/180*K107)*TAN(3.1416/180*23.45*SIN((2*3.1416/365*(I107+284)))))/3.1416*180)+1.49)*P107*2.02</f>
        <v>1449.78160611946</v>
      </c>
    </row>
    <row r="108" customFormat="false" ht="15.75" hidden="false" customHeight="false" outlineLevel="0" collapsed="false">
      <c r="I108" s="181" t="n">
        <f aca="false">I107+1</f>
        <v>273</v>
      </c>
      <c r="J108" s="0" t="n">
        <v>12</v>
      </c>
      <c r="K108" s="181" t="n">
        <v>36.67</v>
      </c>
      <c r="L108" s="0" t="n">
        <f aca="false">23.45*SIN((2*3.1416/365*(I108+284)))</f>
        <v>-3.81834322496523</v>
      </c>
      <c r="M108" s="0" t="n">
        <f aca="false">2/15*ACOS(-TAN(3.1416/180*K108)*TAN(3.1416/180*23.45*SIN((2*3.1416/365*(I108+284)))))/3.1416*180</f>
        <v>11.6201859585705</v>
      </c>
      <c r="N108" s="0" t="n">
        <f aca="false">2084 * EXP(-0.174353387144778 / SIN(ATAN((--COS(K108 * 3.1416 / 180) * SIN((J108 - 6) * 3.1416/12) * COS(23.45*SIN((2*3.1416/365*(I108+284)))* 3.1416 / 180) + SIN(K108 * 3.1416 / 180) * SIN(23.45*SIN((2*3.1416/365*(I108+284)))* 3.1416 / 180))/(((COS((J108 - 6) * 3.1416/12) * COS(23.45*SIN((2*3.1416/365*(I108+284)))* 3.1416 / 180))^2+(-SIN(K108 * 3.1416 / 180) * SIN((J108 - 6) * 3.1416/12) * COS(23.45*SIN((2*3.1416/365*(I108+284)))* 3.1416 / 180) - -COS(K108 * 3.1416 / 180) * SIN(23.45*SIN((2*3.1416/365*(I108+284)))* 3.1416 / 180))^2)^0.5))))*(0.1+SIN(ATAN((--COS(K108 * 3.1416 / 180) * SIN((J108 - 6) * 3.1416/12) * COS(23.45*SIN((2*3.1416/365*(I108+284)))* 3.1416 / 180) + SIN(K108 * 3.1416 / 180) * SIN(23.45*SIN((2*3.1416/365*(I108+284)))* 3.1416 / 180))/(((COS((J108 - 6) * 3.1416/12) * COS(23.45*SIN((2*3.1416/365*(I108+284)))* 3.1416 / 180))^2+(-SIN(K108 * 3.1416 / 180) * SIN((J108 - 6) * 3.1416/12) * COS(23.45*SIN((2*3.1416/365*(I108+284)))* 3.1416 / 180) - -COS(K108 * 3.1416 / 180) * SIN(23.45*SIN((2*3.1416/365*(I108+284)))* 3.1416 / 180))^2)^0.5))))</f>
        <v>1425.95262543814</v>
      </c>
      <c r="O108" s="0" t="n">
        <f aca="false">IF(K108&gt;=15,(0.00000000010508*K108^4 - 0.000000017492*K108^3 + 0.0000012363*K108^2 - 0.000044163*K108 + 0.0008144)*N108^2+( -0.000000028*K108^4 + 0.000013654*K108^3 - 0.0019426*K108^2 + 0.11006*K108 - 2.0905)*N108+0.000087115*K108^4 - 0.024852*K108^3 + 2.6437*K108^2 - 124.35*K108 + 2183.8,N108*0.3835-146.8)</f>
        <v>423.846903992074</v>
      </c>
      <c r="P108" s="0" t="n">
        <f aca="false">O108/2.02</f>
        <v>209.825199996076</v>
      </c>
      <c r="Q108" s="0" t="n">
        <v>191.764742943548</v>
      </c>
      <c r="R108" s="0" t="n">
        <f aca="false">(198.58*(1/(2/15*ACOS(-TAN(3.1416/180*K108)*TAN(3.1416/180*23.45*SIN((2*3.1416/365*(I108+284)))))/3.1416*180))^2+5.0551/(2/15*ACOS(-TAN(3.1416/180*K108)*TAN(3.1416/180*23.45*SIN((2*3.1416/365*(I108+284)))))/3.1416*180)+1.49)*P108*2.02</f>
        <v>1439.24741171364</v>
      </c>
    </row>
    <row r="109" customFormat="false" ht="15.75" hidden="false" customHeight="false" outlineLevel="0" collapsed="false">
      <c r="D109" s="0" t="n">
        <v>500</v>
      </c>
      <c r="E109" s="0" t="n">
        <f aca="false">D109*0.0864</f>
        <v>43.2</v>
      </c>
      <c r="I109" s="181" t="n">
        <f aca="false">I108+1</f>
        <v>274</v>
      </c>
      <c r="J109" s="0" t="n">
        <v>12</v>
      </c>
      <c r="K109" s="181" t="n">
        <v>36.67</v>
      </c>
      <c r="L109" s="0" t="n">
        <f aca="false">23.45*SIN((2*3.1416/365*(I109+284)))</f>
        <v>-4.21604458494531</v>
      </c>
      <c r="M109" s="0" t="n">
        <f aca="false">2/15*ACOS(-TAN(3.1416/180*K109)*TAN(3.1416/180*23.45*SIN((2*3.1416/365*(I109+284)))))/3.1416*180</f>
        <v>11.5804547255855</v>
      </c>
      <c r="N109" s="0" t="n">
        <f aca="false">2084 * EXP(-0.174353387144778 / SIN(ATAN((--COS(K109 * 3.1416 / 180) * SIN((J109 - 6) * 3.1416/12) * COS(23.45*SIN((2*3.1416/365*(I109+284)))* 3.1416 / 180) + SIN(K109 * 3.1416 / 180) * SIN(23.45*SIN((2*3.1416/365*(I109+284)))* 3.1416 / 180))/(((COS((J109 - 6) * 3.1416/12) * COS(23.45*SIN((2*3.1416/365*(I109+284)))* 3.1416 / 180))^2+(-SIN(K109 * 3.1416 / 180) * SIN((J109 - 6) * 3.1416/12) * COS(23.45*SIN((2*3.1416/365*(I109+284)))* 3.1416 / 180) - -COS(K109 * 3.1416 / 180) * SIN(23.45*SIN((2*3.1416/365*(I109+284)))* 3.1416 / 180))^2)^0.5))))*(0.1+SIN(ATAN((--COS(K109 * 3.1416 / 180) * SIN((J109 - 6) * 3.1416/12) * COS(23.45*SIN((2*3.1416/365*(I109+284)))* 3.1416 / 180) + SIN(K109 * 3.1416 / 180) * SIN(23.45*SIN((2*3.1416/365*(I109+284)))* 3.1416 / 180))/(((COS((J109 - 6) * 3.1416/12) * COS(23.45*SIN((2*3.1416/365*(I109+284)))* 3.1416 / 180))^2+(-SIN(K109 * 3.1416 / 180) * SIN((J109 - 6) * 3.1416/12) * COS(23.45*SIN((2*3.1416/365*(I109+284)))* 3.1416 / 180) - -COS(K109 * 3.1416 / 180) * SIN(23.45*SIN((2*3.1416/365*(I109+284)))* 3.1416 / 180))^2)^0.5))))</f>
        <v>1416.50911333512</v>
      </c>
      <c r="O109" s="0" t="n">
        <f aca="false">IF(K109&gt;=15,(0.00000000010508*K109^4 - 0.000000017492*K109^3 + 0.0000012363*K109^2 - 0.000044163*K109 + 0.0008144)*N109^2+( -0.000000028*K109^4 + 0.000013654*K109^3 - 0.0019426*K109^2 + 0.11006*K109 - 2.0905)*N109+0.000087115*K109^4 - 0.024852*K109^3 + 2.6437*K109^2 - 124.35*K109 + 2183.8,N109*0.3835-146.8)</f>
        <v>419.301635625293</v>
      </c>
      <c r="P109" s="0" t="n">
        <f aca="false">O109/2.02</f>
        <v>207.575067141234</v>
      </c>
      <c r="Q109" s="0" t="n">
        <v>238.795067571825</v>
      </c>
      <c r="R109" s="0" t="n">
        <f aca="false">(198.58*(1/(2/15*ACOS(-TAN(3.1416/180*K109)*TAN(3.1416/180*23.45*SIN((2*3.1416/365*(I109+284)))))/3.1416*180))^2+5.0551/(2/15*ACOS(-TAN(3.1416/180*K109)*TAN(3.1416/180*23.45*SIN((2*3.1416/365*(I109+284)))))/3.1416*180)+1.49)*P109*2.02</f>
        <v>1428.67751038582</v>
      </c>
    </row>
    <row r="110" customFormat="false" ht="15.75" hidden="false" customHeight="false" outlineLevel="0" collapsed="false">
      <c r="I110" s="181" t="n">
        <f aca="false">I109+1</f>
        <v>275</v>
      </c>
      <c r="J110" s="0" t="n">
        <v>12</v>
      </c>
      <c r="K110" s="181" t="n">
        <v>36.67</v>
      </c>
      <c r="L110" s="0" t="n">
        <f aca="false">23.45*SIN((2*3.1416/365*(I110+284)))</f>
        <v>-4.61249663408248</v>
      </c>
      <c r="M110" s="0" t="n">
        <f aca="false">2/15*ACOS(-TAN(3.1416/180*K110)*TAN(3.1416/180*23.45*SIN((2*3.1416/365*(I110+284)))))/3.1416*180</f>
        <v>11.5407964904936</v>
      </c>
      <c r="N110" s="0" t="n">
        <f aca="false">2084 * EXP(-0.174353387144778 / SIN(ATAN((--COS(K110 * 3.1416 / 180) * SIN((J110 - 6) * 3.1416/12) * COS(23.45*SIN((2*3.1416/365*(I110+284)))* 3.1416 / 180) + SIN(K110 * 3.1416 / 180) * SIN(23.45*SIN((2*3.1416/365*(I110+284)))* 3.1416 / 180))/(((COS((J110 - 6) * 3.1416/12) * COS(23.45*SIN((2*3.1416/365*(I110+284)))* 3.1416 / 180))^2+(-SIN(K110 * 3.1416 / 180) * SIN((J110 - 6) * 3.1416/12) * COS(23.45*SIN((2*3.1416/365*(I110+284)))* 3.1416 / 180) - -COS(K110 * 3.1416 / 180) * SIN(23.45*SIN((2*3.1416/365*(I110+284)))* 3.1416 / 180))^2)^0.5))))*(0.1+SIN(ATAN((--COS(K110 * 3.1416 / 180) * SIN((J110 - 6) * 3.1416/12) * COS(23.45*SIN((2*3.1416/365*(I110+284)))* 3.1416 / 180) + SIN(K110 * 3.1416 / 180) * SIN(23.45*SIN((2*3.1416/365*(I110+284)))* 3.1416 / 180))/(((COS((J110 - 6) * 3.1416/12) * COS(23.45*SIN((2*3.1416/365*(I110+284)))* 3.1416 / 180))^2+(-SIN(K110 * 3.1416 / 180) * SIN((J110 - 6) * 3.1416/12) * COS(23.45*SIN((2*3.1416/365*(I110+284)))* 3.1416 / 180) - -COS(K110 * 3.1416 / 180) * SIN(23.45*SIN((2*3.1416/365*(I110+284)))* 3.1416 / 180))^2)^0.5))))</f>
        <v>1407.01957379655</v>
      </c>
      <c r="O110" s="0" t="n">
        <f aca="false">IF(K110&gt;=15,(0.00000000010508*K110^4 - 0.000000017492*K110^3 + 0.0000012363*K110^2 - 0.000044163*K110 + 0.0008144)*N110^2+( -0.000000028*K110^4 + 0.000013654*K110^3 - 0.0019426*K110^2 + 0.11006*K110 - 2.0905)*N110+0.000087115*K110^4 - 0.024852*K110^3 + 2.6437*K110^2 - 124.35*K110 + 2183.8,N110*0.3835-146.8)</f>
        <v>414.767426799542</v>
      </c>
      <c r="P110" s="0" t="n">
        <f aca="false">O110/2.02</f>
        <v>205.330409306704</v>
      </c>
      <c r="Q110" s="0" t="n">
        <v>233.359158423639</v>
      </c>
      <c r="R110" s="0" t="n">
        <f aca="false">(198.58*(1/(2/15*ACOS(-TAN(3.1416/180*K110)*TAN(3.1416/180*23.45*SIN((2*3.1416/365*(I110+284)))))/3.1416*180))^2+5.0551/(2/15*ACOS(-TAN(3.1416/180*K110)*TAN(3.1416/180*23.45*SIN((2*3.1416/365*(I110+284)))))/3.1416*180)+1.49)*P110*2.02</f>
        <v>1418.07862739336</v>
      </c>
    </row>
    <row r="111" customFormat="false" ht="15.75" hidden="false" customHeight="false" outlineLevel="0" collapsed="false">
      <c r="I111" s="181" t="n">
        <f aca="false">I110+1</f>
        <v>276</v>
      </c>
      <c r="J111" s="0" t="n">
        <v>12</v>
      </c>
      <c r="K111" s="181" t="n">
        <v>36.67</v>
      </c>
      <c r="L111" s="0" t="n">
        <f aca="false">23.45*SIN((2*3.1416/365*(I111+284)))</f>
        <v>-5.00758189452903</v>
      </c>
      <c r="M111" s="0" t="n">
        <f aca="false">2/15*ACOS(-TAN(3.1416/180*K111)*TAN(3.1416/180*23.45*SIN((2*3.1416/365*(I111+284)))))/3.1416*180</f>
        <v>11.5012185600715</v>
      </c>
      <c r="N111" s="0" t="n">
        <f aca="false">2084 * EXP(-0.174353387144778 / SIN(ATAN((--COS(K111 * 3.1416 / 180) * SIN((J111 - 6) * 3.1416/12) * COS(23.45*SIN((2*3.1416/365*(I111+284)))* 3.1416 / 180) + SIN(K111 * 3.1416 / 180) * SIN(23.45*SIN((2*3.1416/365*(I111+284)))* 3.1416 / 180))/(((COS((J111 - 6) * 3.1416/12) * COS(23.45*SIN((2*3.1416/365*(I111+284)))* 3.1416 / 180))^2+(-SIN(K111 * 3.1416 / 180) * SIN((J111 - 6) * 3.1416/12) * COS(23.45*SIN((2*3.1416/365*(I111+284)))* 3.1416 / 180) - -COS(K111 * 3.1416 / 180) * SIN(23.45*SIN((2*3.1416/365*(I111+284)))* 3.1416 / 180))^2)^0.5))))*(0.1+SIN(ATAN((--COS(K111 * 3.1416 / 180) * SIN((J111 - 6) * 3.1416/12) * COS(23.45*SIN((2*3.1416/365*(I111+284)))* 3.1416 / 180) + SIN(K111 * 3.1416 / 180) * SIN(23.45*SIN((2*3.1416/365*(I111+284)))* 3.1416 / 180))/(((COS((J111 - 6) * 3.1416/12) * COS(23.45*SIN((2*3.1416/365*(I111+284)))* 3.1416 / 180))^2+(-SIN(K111 * 3.1416 / 180) * SIN((J111 - 6) * 3.1416/12) * COS(23.45*SIN((2*3.1416/365*(I111+284)))* 3.1416 / 180) - -COS(K111 * 3.1416 / 180) * SIN(23.45*SIN((2*3.1416/365*(I111+284)))* 3.1416 / 180))^2)^0.5))))</f>
        <v>1397.48801922254</v>
      </c>
      <c r="O111" s="0" t="n">
        <f aca="false">IF(K111&gt;=15,(0.00000000010508*K111^4 - 0.000000017492*K111^3 + 0.0000012363*K111^2 - 0.000044163*K111 + 0.0008144)*N111^2+( -0.000000028*K111^4 + 0.000013654*K111^3 - 0.0019426*K111^2 + 0.11006*K111 - 2.0905)*N111+0.000087115*K111^4 - 0.024852*K111^3 + 2.6437*K111^2 - 124.35*K111 + 2183.8,N111*0.3835-146.8)</f>
        <v>410.24665796157</v>
      </c>
      <c r="P111" s="0" t="n">
        <f aca="false">O111/2.02</f>
        <v>203.09240493147</v>
      </c>
      <c r="Q111" s="0" t="n">
        <v>225.884635679183</v>
      </c>
      <c r="R111" s="0" t="n">
        <f aca="false">(198.58*(1/(2/15*ACOS(-TAN(3.1416/180*K111)*TAN(3.1416/180*23.45*SIN((2*3.1416/365*(I111+284)))))/3.1416*180))^2+5.0551/(2/15*ACOS(-TAN(3.1416/180*K111)*TAN(3.1416/180*23.45*SIN((2*3.1416/365*(I111+284)))))/3.1416*180)+1.49)*P111*2.02</f>
        <v>1407.45752532579</v>
      </c>
    </row>
    <row r="112" customFormat="false" ht="15.75" hidden="false" customHeight="false" outlineLevel="0" collapsed="false">
      <c r="I112" s="181" t="n">
        <f aca="false">I111+1</f>
        <v>277</v>
      </c>
      <c r="J112" s="0" t="n">
        <v>12</v>
      </c>
      <c r="K112" s="181" t="n">
        <v>36.67</v>
      </c>
      <c r="L112" s="0" t="n">
        <f aca="false">23.45*SIN((2*3.1416/365*(I112+284)))</f>
        <v>-5.40118329344813</v>
      </c>
      <c r="M112" s="0" t="n">
        <f aca="false">2/15*ACOS(-TAN(3.1416/180*K112)*TAN(3.1416/180*23.45*SIN((2*3.1416/365*(I112+284)))))/3.1416*180</f>
        <v>11.4617283364589</v>
      </c>
      <c r="N112" s="0" t="n">
        <f aca="false">2084 * EXP(-0.174353387144778 / SIN(ATAN((--COS(K112 * 3.1416 / 180) * SIN((J112 - 6) * 3.1416/12) * COS(23.45*SIN((2*3.1416/365*(I112+284)))* 3.1416 / 180) + SIN(K112 * 3.1416 / 180) * SIN(23.45*SIN((2*3.1416/365*(I112+284)))* 3.1416 / 180))/(((COS((J112 - 6) * 3.1416/12) * COS(23.45*SIN((2*3.1416/365*(I112+284)))* 3.1416 / 180))^2+(-SIN(K112 * 3.1416 / 180) * SIN((J112 - 6) * 3.1416/12) * COS(23.45*SIN((2*3.1416/365*(I112+284)))* 3.1416 / 180) - -COS(K112 * 3.1416 / 180) * SIN(23.45*SIN((2*3.1416/365*(I112+284)))* 3.1416 / 180))^2)^0.5))))*(0.1+SIN(ATAN((--COS(K112 * 3.1416 / 180) * SIN((J112 - 6) * 3.1416/12) * COS(23.45*SIN((2*3.1416/365*(I112+284)))* 3.1416 / 180) + SIN(K112 * 3.1416 / 180) * SIN(23.45*SIN((2*3.1416/365*(I112+284)))* 3.1416 / 180))/(((COS((J112 - 6) * 3.1416/12) * COS(23.45*SIN((2*3.1416/365*(I112+284)))* 3.1416 / 180))^2+(-SIN(K112 * 3.1416 / 180) * SIN((J112 - 6) * 3.1416/12) * COS(23.45*SIN((2*3.1416/365*(I112+284)))* 3.1416 / 180) - -COS(K112 * 3.1416 / 180) * SIN(23.45*SIN((2*3.1416/365*(I112+284)))* 3.1416 / 180))^2)^0.5))))</f>
        <v>1387.91853262782</v>
      </c>
      <c r="O112" s="0" t="n">
        <f aca="false">IF(K112&gt;=15,(0.00000000010508*K112^4 - 0.000000017492*K112^3 + 0.0000012363*K112^2 - 0.000044163*K112 + 0.0008144)*N112^2+( -0.000000028*K112^4 + 0.000013654*K112^3 - 0.0019426*K112^2 + 0.11006*K112 - 2.0905)*N112+0.000087115*K112^4 - 0.024852*K112^3 + 2.6437*K112^2 - 124.35*K112 + 2183.8,N112*0.3835-146.8)</f>
        <v>405.741688205693</v>
      </c>
      <c r="P112" s="0" t="n">
        <f aca="false">O112/2.02</f>
        <v>200.862221884007</v>
      </c>
      <c r="Q112" s="0" t="n">
        <v>208.210153887348</v>
      </c>
      <c r="R112" s="0" t="n">
        <f aca="false">(198.58*(1/(2/15*ACOS(-TAN(3.1416/180*K112)*TAN(3.1416/180*23.45*SIN((2*3.1416/365*(I112+284)))))/3.1416*180))^2+5.0551/(2/15*ACOS(-TAN(3.1416/180*K112)*TAN(3.1416/180*23.45*SIN((2*3.1416/365*(I112+284)))))/3.1416*180)+1.49)*P112*2.02</f>
        <v>1396.82099283703</v>
      </c>
    </row>
    <row r="113" customFormat="false" ht="15.75" hidden="false" customHeight="false" outlineLevel="0" collapsed="false">
      <c r="I113" s="181" t="n">
        <f aca="false">I112+1</f>
        <v>278</v>
      </c>
      <c r="J113" s="0" t="n">
        <v>12</v>
      </c>
      <c r="K113" s="181" t="n">
        <v>36.67</v>
      </c>
      <c r="L113" s="0" t="n">
        <f aca="false">23.45*SIN((2*3.1416/365*(I113+284)))</f>
        <v>-5.79318419770521</v>
      </c>
      <c r="M113" s="0" t="n">
        <f aca="false">2/15*ACOS(-TAN(3.1416/180*K113)*TAN(3.1416/180*23.45*SIN((2*3.1416/365*(I113+284)))))/3.1416*180</f>
        <v>11.4223333247587</v>
      </c>
      <c r="N113" s="0" t="n">
        <f aca="false">2084 * EXP(-0.174353387144778 / SIN(ATAN((--COS(K113 * 3.1416 / 180) * SIN((J113 - 6) * 3.1416/12) * COS(23.45*SIN((2*3.1416/365*(I113+284)))* 3.1416 / 180) + SIN(K113 * 3.1416 / 180) * SIN(23.45*SIN((2*3.1416/365*(I113+284)))* 3.1416 / 180))/(((COS((J113 - 6) * 3.1416/12) * COS(23.45*SIN((2*3.1416/365*(I113+284)))* 3.1416 / 180))^2+(-SIN(K113 * 3.1416 / 180) * SIN((J113 - 6) * 3.1416/12) * COS(23.45*SIN((2*3.1416/365*(I113+284)))* 3.1416 / 180) - -COS(K113 * 3.1416 / 180) * SIN(23.45*SIN((2*3.1416/365*(I113+284)))* 3.1416 / 180))^2)^0.5))))*(0.1+SIN(ATAN((--COS(K113 * 3.1416 / 180) * SIN((J113 - 6) * 3.1416/12) * COS(23.45*SIN((2*3.1416/365*(I113+284)))* 3.1416 / 180) + SIN(K113 * 3.1416 / 180) * SIN(23.45*SIN((2*3.1416/365*(I113+284)))* 3.1416 / 180))/(((COS((J113 - 6) * 3.1416/12) * COS(23.45*SIN((2*3.1416/365*(I113+284)))* 3.1416 / 180))^2+(-SIN(K113 * 3.1416 / 180) * SIN((J113 - 6) * 3.1416/12) * COS(23.45*SIN((2*3.1416/365*(I113+284)))* 3.1416 / 180) - -COS(K113 * 3.1416 / 180) * SIN(23.45*SIN((2*3.1416/365*(I113+284)))* 3.1416 / 180))^2)^0.5))))</f>
        <v>1378.31526421322</v>
      </c>
      <c r="O113" s="0" t="n">
        <f aca="false">IF(K113&gt;=15,(0.00000000010508*K113^4 - 0.000000017492*K113^3 + 0.0000012363*K113^2 - 0.000044163*K113 + 0.0008144)*N113^2+( -0.000000028*K113^4 + 0.000013654*K113^3 - 0.0019426*K113^2 + 0.11006*K113 - 2.0905)*N113+0.000087115*K113^4 - 0.024852*K113^3 + 2.6437*K113^2 - 124.35*K113 + 2183.8,N113*0.3835-146.8)</f>
        <v>401.254851830839</v>
      </c>
      <c r="P113" s="0" t="n">
        <f aca="false">O113/2.02</f>
        <v>198.641015757841</v>
      </c>
      <c r="Q113" s="0" t="n">
        <v>197.927009828629</v>
      </c>
      <c r="R113" s="0" t="n">
        <f aca="false">(198.58*(1/(2/15*ACOS(-TAN(3.1416/180*K113)*TAN(3.1416/180*23.45*SIN((2*3.1416/365*(I113+284)))))/3.1416*180))^2+5.0551/(2/15*ACOS(-TAN(3.1416/180*K113)*TAN(3.1416/180*23.45*SIN((2*3.1416/365*(I113+284)))))/3.1416*180)+1.49)*P113*2.02</f>
        <v>1386.17583337856</v>
      </c>
    </row>
    <row r="114" customFormat="false" ht="15.75" hidden="false" customHeight="false" outlineLevel="0" collapsed="false">
      <c r="I114" s="181" t="n">
        <f aca="false">I113+1</f>
        <v>279</v>
      </c>
      <c r="J114" s="0" t="n">
        <v>12</v>
      </c>
      <c r="K114" s="181" t="n">
        <v>36.67</v>
      </c>
      <c r="L114" s="0" t="n">
        <f aca="false">23.45*SIN((2*3.1416/365*(I114+284)))</f>
        <v>-6.18346844842901</v>
      </c>
      <c r="M114" s="0" t="n">
        <f aca="false">2/15*ACOS(-TAN(3.1416/180*K114)*TAN(3.1416/180*23.45*SIN((2*3.1416/365*(I114+284)))))/3.1416*180</f>
        <v>11.383041140456</v>
      </c>
      <c r="N114" s="0" t="n">
        <f aca="false">2084 * EXP(-0.174353387144778 / SIN(ATAN((--COS(K114 * 3.1416 / 180) * SIN((J114 - 6) * 3.1416/12) * COS(23.45*SIN((2*3.1416/365*(I114+284)))* 3.1416 / 180) + SIN(K114 * 3.1416 / 180) * SIN(23.45*SIN((2*3.1416/365*(I114+284)))* 3.1416 / 180))/(((COS((J114 - 6) * 3.1416/12) * COS(23.45*SIN((2*3.1416/365*(I114+284)))* 3.1416 / 180))^2+(-SIN(K114 * 3.1416 / 180) * SIN((J114 - 6) * 3.1416/12) * COS(23.45*SIN((2*3.1416/365*(I114+284)))* 3.1416 / 180) - -COS(K114 * 3.1416 / 180) * SIN(23.45*SIN((2*3.1416/365*(I114+284)))* 3.1416 / 180))^2)^0.5))))*(0.1+SIN(ATAN((--COS(K114 * 3.1416 / 180) * SIN((J114 - 6) * 3.1416/12) * COS(23.45*SIN((2*3.1416/365*(I114+284)))* 3.1416 / 180) + SIN(K114 * 3.1416 / 180) * SIN(23.45*SIN((2*3.1416/365*(I114+284)))* 3.1416 / 180))/(((COS((J114 - 6) * 3.1416/12) * COS(23.45*SIN((2*3.1416/365*(I114+284)))* 3.1416 / 180))^2+(-SIN(K114 * 3.1416 / 180) * SIN((J114 - 6) * 3.1416/12) * COS(23.45*SIN((2*3.1416/365*(I114+284)))* 3.1416 / 180) - -COS(K114 * 3.1416 / 180) * SIN(23.45*SIN((2*3.1416/365*(I114+284)))* 3.1416 / 180))^2)^0.5))))</f>
        <v>1368.68242786038</v>
      </c>
      <c r="O114" s="0" t="n">
        <f aca="false">IF(K114&gt;=15,(0.00000000010508*K114^4 - 0.000000017492*K114^3 + 0.0000012363*K114^2 - 0.000044163*K114 + 0.0008144)*N114^2+( -0.000000028*K114^4 + 0.000013654*K114^3 - 0.0019426*K114^2 + 0.11006*K114 - 2.0905)*N114+0.000087115*K114^4 - 0.024852*K114^3 + 2.6437*K114^2 - 124.35*K114 + 2183.8,N114*0.3835-146.8)</f>
        <v>396.788454983347</v>
      </c>
      <c r="P114" s="0" t="n">
        <f aca="false">O114/2.02</f>
        <v>196.429928209578</v>
      </c>
      <c r="Q114" s="0" t="n">
        <v>232.709271830897</v>
      </c>
      <c r="R114" s="0" t="n">
        <f aca="false">(198.58*(1/(2/15*ACOS(-TAN(3.1416/180*K114)*TAN(3.1416/180*23.45*SIN((2*3.1416/365*(I114+284)))))/3.1416*180))^2+5.0551/(2/15*ACOS(-TAN(3.1416/180*K114)*TAN(3.1416/180*23.45*SIN((2*3.1416/365*(I114+284)))))/3.1416*180)+1.49)*P114*2.02</f>
        <v>1375.52885396343</v>
      </c>
    </row>
    <row r="115" customFormat="false" ht="15.75" hidden="false" customHeight="false" outlineLevel="0" collapsed="false">
      <c r="I115" s="181" t="n">
        <f aca="false">I114+1</f>
        <v>280</v>
      </c>
      <c r="J115" s="0" t="n">
        <v>12</v>
      </c>
      <c r="K115" s="181" t="n">
        <v>36.67</v>
      </c>
      <c r="L115" s="0" t="n">
        <f aca="false">23.45*SIN((2*3.1416/365*(I115+284)))</f>
        <v>-6.57192039543215</v>
      </c>
      <c r="M115" s="0" t="n">
        <f aca="false">2/15*ACOS(-TAN(3.1416/180*K115)*TAN(3.1416/180*23.45*SIN((2*3.1416/365*(I115+284)))))/3.1416*180</f>
        <v>11.3438595166412</v>
      </c>
      <c r="N115" s="0" t="n">
        <f aca="false">2084 * EXP(-0.174353387144778 / SIN(ATAN((--COS(K115 * 3.1416 / 180) * SIN((J115 - 6) * 3.1416/12) * COS(23.45*SIN((2*3.1416/365*(I115+284)))* 3.1416 / 180) + SIN(K115 * 3.1416 / 180) * SIN(23.45*SIN((2*3.1416/365*(I115+284)))* 3.1416 / 180))/(((COS((J115 - 6) * 3.1416/12) * COS(23.45*SIN((2*3.1416/365*(I115+284)))* 3.1416 / 180))^2+(-SIN(K115 * 3.1416 / 180) * SIN((J115 - 6) * 3.1416/12) * COS(23.45*SIN((2*3.1416/365*(I115+284)))* 3.1416 / 180) - -COS(K115 * 3.1416 / 180) * SIN(23.45*SIN((2*3.1416/365*(I115+284)))* 3.1416 / 180))^2)^0.5))))*(0.1+SIN(ATAN((--COS(K115 * 3.1416 / 180) * SIN((J115 - 6) * 3.1416/12) * COS(23.45*SIN((2*3.1416/365*(I115+284)))* 3.1416 / 180) + SIN(K115 * 3.1416 / 180) * SIN(23.45*SIN((2*3.1416/365*(I115+284)))* 3.1416 / 180))/(((COS((J115 - 6) * 3.1416/12) * COS(23.45*SIN((2*3.1416/365*(I115+284)))* 3.1416 / 180))^2+(-SIN(K115 * 3.1416 / 180) * SIN((J115 - 6) * 3.1416/12) * COS(23.45*SIN((2*3.1416/365*(I115+284)))* 3.1416 / 180) - -COS(K115 * 3.1416 / 180) * SIN(23.45*SIN((2*3.1416/365*(I115+284)))* 3.1416 / 180))^2)^0.5))))</f>
        <v>1359.02429755617</v>
      </c>
      <c r="O115" s="0" t="n">
        <f aca="false">IF(K115&gt;=15,(0.00000000010508*K115^4 - 0.000000017492*K115^3 + 0.0000012363*K115^2 - 0.000044163*K115 + 0.0008144)*N115^2+( -0.000000028*K115^4 + 0.000013654*K115^3 - 0.0019426*K115^2 + 0.11006*K115 - 2.0905)*N115+0.000087115*K115^4 - 0.024852*K115^3 + 2.6437*K115^2 - 124.35*K115 + 2183.8,N115*0.3835-146.8)</f>
        <v>392.344772394706</v>
      </c>
      <c r="P115" s="0" t="n">
        <f aca="false">O115/2.02</f>
        <v>194.230085343914</v>
      </c>
      <c r="Q115" s="0" t="n">
        <v>244.401067918346</v>
      </c>
      <c r="R115" s="0" t="n">
        <f aca="false">(198.58*(1/(2/15*ACOS(-TAN(3.1416/180*K115)*TAN(3.1416/180*23.45*SIN((2*3.1416/365*(I115+284)))))/3.1416*180))^2+5.0551/(2/15*ACOS(-TAN(3.1416/180*K115)*TAN(3.1416/180*23.45*SIN((2*3.1416/365*(I115+284)))))/3.1416*180)+1.49)*P115*2.02</f>
        <v>1364.88685399152</v>
      </c>
    </row>
    <row r="116" customFormat="false" ht="15.75" hidden="false" customHeight="false" outlineLevel="0" collapsed="false">
      <c r="I116" s="181" t="n">
        <f aca="false">I115+1</f>
        <v>281</v>
      </c>
      <c r="J116" s="0" t="n">
        <v>12</v>
      </c>
      <c r="K116" s="181" t="n">
        <v>36.67</v>
      </c>
      <c r="L116" s="0" t="n">
        <f aca="false">23.45*SIN((2*3.1416/365*(I116+284)))</f>
        <v>-6.95842493148095</v>
      </c>
      <c r="M116" s="0" t="n">
        <f aca="false">2/15*ACOS(-TAN(3.1416/180*K116)*TAN(3.1416/180*23.45*SIN((2*3.1416/365*(I116+284)))))/3.1416*180</f>
        <v>11.3047963110183</v>
      </c>
      <c r="N116" s="0" t="n">
        <f aca="false">2084 * EXP(-0.174353387144778 / SIN(ATAN((--COS(K116 * 3.1416 / 180) * SIN((J116 - 6) * 3.1416/12) * COS(23.45*SIN((2*3.1416/365*(I116+284)))* 3.1416 / 180) + SIN(K116 * 3.1416 / 180) * SIN(23.45*SIN((2*3.1416/365*(I116+284)))* 3.1416 / 180))/(((COS((J116 - 6) * 3.1416/12) * COS(23.45*SIN((2*3.1416/365*(I116+284)))* 3.1416 / 180))^2+(-SIN(K116 * 3.1416 / 180) * SIN((J116 - 6) * 3.1416/12) * COS(23.45*SIN((2*3.1416/365*(I116+284)))* 3.1416 / 180) - -COS(K116 * 3.1416 / 180) * SIN(23.45*SIN((2*3.1416/365*(I116+284)))* 3.1416 / 180))^2)^0.5))))*(0.1+SIN(ATAN((--COS(K116 * 3.1416 / 180) * SIN((J116 - 6) * 3.1416/12) * COS(23.45*SIN((2*3.1416/365*(I116+284)))* 3.1416 / 180) + SIN(K116 * 3.1416 / 180) * SIN(23.45*SIN((2*3.1416/365*(I116+284)))* 3.1416 / 180))/(((COS((J116 - 6) * 3.1416/12) * COS(23.45*SIN((2*3.1416/365*(I116+284)))* 3.1416 / 180))^2+(-SIN(K116 * 3.1416 / 180) * SIN((J116 - 6) * 3.1416/12) * COS(23.45*SIN((2*3.1416/365*(I116+284)))* 3.1416 / 180) - -COS(K116 * 3.1416 / 180) * SIN(23.45*SIN((2*3.1416/365*(I116+284)))* 3.1416 / 180))^2)^0.5))))</f>
        <v>1349.34520375266</v>
      </c>
      <c r="O116" s="0" t="n">
        <f aca="false">IF(K116&gt;=15,(0.00000000010508*K116^4 - 0.000000017492*K116^3 + 0.0000012363*K116^2 - 0.000044163*K116 + 0.0008144)*N116^2+( -0.000000028*K116^4 + 0.000013654*K116^3 - 0.0019426*K116^2 + 0.11006*K116 - 2.0905)*N116+0.000087115*K116^4 - 0.024852*K116^3 + 2.6437*K116^2 - 124.35*K116 + 2183.8,N116*0.3835-146.8)</f>
        <v>387.92604422305</v>
      </c>
      <c r="P116" s="0" t="n">
        <f aca="false">O116/2.02</f>
        <v>192.042596150025</v>
      </c>
      <c r="Q116" s="0" t="n">
        <v>158.880812121975</v>
      </c>
      <c r="R116" s="0" t="n">
        <f aca="false">(198.58*(1/(2/15*ACOS(-TAN(3.1416/180*K116)*TAN(3.1416/180*23.45*SIN((2*3.1416/365*(I116+284)))))/3.1416*180))^2+5.0551/(2/15*ACOS(-TAN(3.1416/180*K116)*TAN(3.1416/180*23.45*SIN((2*3.1416/365*(I116+284)))))/3.1416*180)+1.49)*P116*2.02</f>
        <v>1354.25661416561</v>
      </c>
    </row>
    <row r="117" customFormat="false" ht="15.75" hidden="false" customHeight="false" outlineLevel="0" collapsed="false">
      <c r="I117" s="181" t="n">
        <f aca="false">I116+1</f>
        <v>282</v>
      </c>
      <c r="J117" s="0" t="n">
        <v>12</v>
      </c>
      <c r="K117" s="181" t="n">
        <v>36.67</v>
      </c>
      <c r="L117" s="0" t="n">
        <f aca="false">23.45*SIN((2*3.1416/365*(I117+284)))</f>
        <v>-7.34286752640427</v>
      </c>
      <c r="M117" s="0" t="n">
        <f aca="false">2/15*ACOS(-TAN(3.1416/180*K117)*TAN(3.1416/180*23.45*SIN((2*3.1416/365*(I117+284)))))/3.1416*180</f>
        <v>11.2658595126802</v>
      </c>
      <c r="N117" s="0" t="n">
        <f aca="false">2084 * EXP(-0.174353387144778 / SIN(ATAN((--COS(K117 * 3.1416 / 180) * SIN((J117 - 6) * 3.1416/12) * COS(23.45*SIN((2*3.1416/365*(I117+284)))* 3.1416 / 180) + SIN(K117 * 3.1416 / 180) * SIN(23.45*SIN((2*3.1416/365*(I117+284)))* 3.1416 / 180))/(((COS((J117 - 6) * 3.1416/12) * COS(23.45*SIN((2*3.1416/365*(I117+284)))* 3.1416 / 180))^2+(-SIN(K117 * 3.1416 / 180) * SIN((J117 - 6) * 3.1416/12) * COS(23.45*SIN((2*3.1416/365*(I117+284)))* 3.1416 / 180) - -COS(K117 * 3.1416 / 180) * SIN(23.45*SIN((2*3.1416/365*(I117+284)))* 3.1416 / 180))^2)^0.5))))*(0.1+SIN(ATAN((--COS(K117 * 3.1416 / 180) * SIN((J117 - 6) * 3.1416/12) * COS(23.45*SIN((2*3.1416/365*(I117+284)))* 3.1416 / 180) + SIN(K117 * 3.1416 / 180) * SIN(23.45*SIN((2*3.1416/365*(I117+284)))* 3.1416 / 180))/(((COS((J117 - 6) * 3.1416/12) * COS(23.45*SIN((2*3.1416/365*(I117+284)))* 3.1416 / 180))^2+(-SIN(K117 * 3.1416 / 180) * SIN((J117 - 6) * 3.1416/12) * COS(23.45*SIN((2*3.1416/365*(I117+284)))* 3.1416 / 180) - -COS(K117 * 3.1416 / 180) * SIN(23.45*SIN((2*3.1416/365*(I117+284)))* 3.1416 / 180))^2)^0.5))))</f>
        <v>1339.64952966908</v>
      </c>
      <c r="O117" s="0" t="n">
        <f aca="false">IF(K117&gt;=15,(0.00000000010508*K117^4 - 0.000000017492*K117^3 + 0.0000012363*K117^2 - 0.000044163*K117 + 0.0008144)*N117^2+( -0.000000028*K117^4 + 0.000013654*K117^3 - 0.0019426*K117^2 + 0.11006*K117 - 2.0905)*N117+0.000087115*K117^4 - 0.024852*K117^3 + 2.6437*K117^2 - 124.35*K117 + 2183.8,N117*0.3835-146.8)</f>
        <v>383.534473006803</v>
      </c>
      <c r="P117" s="0" t="n">
        <f aca="false">O117/2.02</f>
        <v>189.868550993467</v>
      </c>
      <c r="Q117" s="0" t="n">
        <v>227.047808247228</v>
      </c>
      <c r="R117" s="0" t="n">
        <f aca="false">(198.58*(1/(2/15*ACOS(-TAN(3.1416/180*K117)*TAN(3.1416/180*23.45*SIN((2*3.1416/365*(I117+284)))))/3.1416*180))^2+5.0551/(2/15*ACOS(-TAN(3.1416/180*K117)*TAN(3.1416/180*23.45*SIN((2*3.1416/365*(I117+284)))))/3.1416*180)+1.49)*P117*2.02</f>
        <v>1343.64488552767</v>
      </c>
    </row>
    <row r="118" customFormat="false" ht="15.75" hidden="false" customHeight="false" outlineLevel="0" collapsed="false">
      <c r="I118" s="181" t="n">
        <f aca="false">I117+1</f>
        <v>283</v>
      </c>
      <c r="J118" s="0" t="n">
        <v>12</v>
      </c>
      <c r="K118" s="181" t="n">
        <v>36.67</v>
      </c>
      <c r="L118" s="0" t="n">
        <f aca="false">23.45*SIN((2*3.1416/365*(I118+284)))</f>
        <v>-7.72513426103153</v>
      </c>
      <c r="M118" s="0" t="n">
        <f aca="false">2/15*ACOS(-TAN(3.1416/180*K118)*TAN(3.1416/180*23.45*SIN((2*3.1416/365*(I118+284)))))/3.1416*180</f>
        <v>11.2270572486334</v>
      </c>
      <c r="N118" s="0" t="n">
        <f aca="false">2084 * EXP(-0.174353387144778 / SIN(ATAN((--COS(K118 * 3.1416 / 180) * SIN((J118 - 6) * 3.1416/12) * COS(23.45*SIN((2*3.1416/365*(I118+284)))* 3.1416 / 180) + SIN(K118 * 3.1416 / 180) * SIN(23.45*SIN((2*3.1416/365*(I118+284)))* 3.1416 / 180))/(((COS((J118 - 6) * 3.1416/12) * COS(23.45*SIN((2*3.1416/365*(I118+284)))* 3.1416 / 180))^2+(-SIN(K118 * 3.1416 / 180) * SIN((J118 - 6) * 3.1416/12) * COS(23.45*SIN((2*3.1416/365*(I118+284)))* 3.1416 / 180) - -COS(K118 * 3.1416 / 180) * SIN(23.45*SIN((2*3.1416/365*(I118+284)))* 3.1416 / 180))^2)^0.5))))*(0.1+SIN(ATAN((--COS(K118 * 3.1416 / 180) * SIN((J118 - 6) * 3.1416/12) * COS(23.45*SIN((2*3.1416/365*(I118+284)))* 3.1416 / 180) + SIN(K118 * 3.1416 / 180) * SIN(23.45*SIN((2*3.1416/365*(I118+284)))* 3.1416 / 180))/(((COS((J118 - 6) * 3.1416/12) * COS(23.45*SIN((2*3.1416/365*(I118+284)))* 3.1416 / 180))^2+(-SIN(K118 * 3.1416 / 180) * SIN((J118 - 6) * 3.1416/12) * COS(23.45*SIN((2*3.1416/365*(I118+284)))* 3.1416 / 180) - -COS(K118 * 3.1416 / 180) * SIN(23.45*SIN((2*3.1416/365*(I118+284)))* 3.1416 / 180))^2)^0.5))))</f>
        <v>1329.941707542</v>
      </c>
      <c r="O118" s="0" t="n">
        <f aca="false">IF(K118&gt;=15,(0.00000000010508*K118^4 - 0.000000017492*K118^3 + 0.0000012363*K118^2 - 0.000044163*K118 + 0.0008144)*N118^2+( -0.000000028*K118^4 + 0.000013654*K118^3 - 0.0019426*K118^2 + 0.11006*K118 - 2.0905)*N118+0.000087115*K118^4 - 0.024852*K118^3 + 2.6437*K118^2 - 124.35*K118 + 2183.8,N118*0.3835-146.8)</f>
        <v>379.172220738456</v>
      </c>
      <c r="P118" s="0" t="n">
        <f aca="false">O118/2.02</f>
        <v>187.709020167552</v>
      </c>
      <c r="Q118" s="0" t="n">
        <v>258.517593876008</v>
      </c>
      <c r="R118" s="0" t="n">
        <f aca="false">(198.58*(1/(2/15*ACOS(-TAN(3.1416/180*K118)*TAN(3.1416/180*23.45*SIN((2*3.1416/365*(I118+284)))))/3.1416*180))^2+5.0551/(2/15*ACOS(-TAN(3.1416/180*K118)*TAN(3.1416/180*23.45*SIN((2*3.1416/365*(I118+284)))))/3.1416*180)+1.49)*P118*2.02</f>
        <v>1333.05837864407</v>
      </c>
    </row>
    <row r="119" customFormat="false" ht="15.75" hidden="false" customHeight="false" outlineLevel="0" collapsed="false">
      <c r="I119" s="181" t="n">
        <f aca="false">I118+1</f>
        <v>284</v>
      </c>
      <c r="J119" s="0" t="n">
        <v>12</v>
      </c>
      <c r="K119" s="181" t="n">
        <v>36.67</v>
      </c>
      <c r="L119" s="0" t="n">
        <f aca="false">23.45*SIN((2*3.1416/365*(I119+284)))</f>
        <v>-8.10511186094952</v>
      </c>
      <c r="M119" s="0" t="n">
        <f aca="false">2/15*ACOS(-TAN(3.1416/180*K119)*TAN(3.1416/180*23.45*SIN((2*3.1416/365*(I119+284)))))/3.1416*180</f>
        <v>11.1883977900513</v>
      </c>
      <c r="N119" s="0" t="n">
        <f aca="false">2084 * EXP(-0.174353387144778 / SIN(ATAN((--COS(K119 * 3.1416 / 180) * SIN((J119 - 6) * 3.1416/12) * COS(23.45*SIN((2*3.1416/365*(I119+284)))* 3.1416 / 180) + SIN(K119 * 3.1416 / 180) * SIN(23.45*SIN((2*3.1416/365*(I119+284)))* 3.1416 / 180))/(((COS((J119 - 6) * 3.1416/12) * COS(23.45*SIN((2*3.1416/365*(I119+284)))* 3.1416 / 180))^2+(-SIN(K119 * 3.1416 / 180) * SIN((J119 - 6) * 3.1416/12) * COS(23.45*SIN((2*3.1416/365*(I119+284)))* 3.1416 / 180) - -COS(K119 * 3.1416 / 180) * SIN(23.45*SIN((2*3.1416/365*(I119+284)))* 3.1416 / 180))^2)^0.5))))*(0.1+SIN(ATAN((--COS(K119 * 3.1416 / 180) * SIN((J119 - 6) * 3.1416/12) * COS(23.45*SIN((2*3.1416/365*(I119+284)))* 3.1416 / 180) + SIN(K119 * 3.1416 / 180) * SIN(23.45*SIN((2*3.1416/365*(I119+284)))* 3.1416 / 180))/(((COS((J119 - 6) * 3.1416/12) * COS(23.45*SIN((2*3.1416/365*(I119+284)))* 3.1416 / 180))^2+(-SIN(K119 * 3.1416 / 180) * SIN((J119 - 6) * 3.1416/12) * COS(23.45*SIN((2*3.1416/365*(I119+284)))* 3.1416 / 180) - -COS(K119 * 3.1416 / 180) * SIN(23.45*SIN((2*3.1416/365*(I119+284)))* 3.1416 / 180))^2)^0.5))))</f>
        <v>1320.22621482982</v>
      </c>
      <c r="O119" s="0" t="n">
        <f aca="false">IF(K119&gt;=15,(0.00000000010508*K119^4 - 0.000000017492*K119^3 + 0.0000012363*K119^2 - 0.000044163*K119 + 0.0008144)*N119^2+( -0.000000028*K119^4 + 0.000013654*K119^3 - 0.0019426*K119^2 + 0.11006*K119 - 2.0905)*N119+0.000087115*K119^4 - 0.024852*K119^3 + 2.6437*K119^2 - 124.35*K119 + 2183.8,N119*0.3835-146.8)</f>
        <v>374.841406065967</v>
      </c>
      <c r="P119" s="0" t="n">
        <f aca="false">O119/2.02</f>
        <v>185.565052507905</v>
      </c>
      <c r="Q119" s="0" t="n">
        <v>143.572535361013</v>
      </c>
      <c r="R119" s="0" t="n">
        <f aca="false">(198.58*(1/(2/15*ACOS(-TAN(3.1416/180*K119)*TAN(3.1416/180*23.45*SIN((2*3.1416/365*(I119+284)))))/3.1416*180))^2+5.0551/(2/15*ACOS(-TAN(3.1416/180*K119)*TAN(3.1416/180*23.45*SIN((2*3.1416/365*(I119+284)))))/3.1416*180)+1.49)*P119*2.02</f>
        <v>1322.50375296812</v>
      </c>
    </row>
    <row r="120" customFormat="false" ht="15.75" hidden="false" customHeight="false" outlineLevel="0" collapsed="false">
      <c r="I120" s="181" t="n">
        <f aca="false">I119+1</f>
        <v>285</v>
      </c>
      <c r="J120" s="0" t="n">
        <v>12</v>
      </c>
      <c r="K120" s="181" t="n">
        <v>36.67</v>
      </c>
      <c r="L120" s="0" t="n">
        <f aca="false">23.45*SIN((2*3.1416/365*(I120+284)))</f>
        <v>-8.48268773006819</v>
      </c>
      <c r="M120" s="0" t="n">
        <f aca="false">2/15*ACOS(-TAN(3.1416/180*K120)*TAN(3.1416/180*23.45*SIN((2*3.1416/365*(I120+284)))))/3.1416*180</f>
        <v>11.1498895582373</v>
      </c>
      <c r="N120" s="0" t="n">
        <f aca="false">2084 * EXP(-0.174353387144778 / SIN(ATAN((--COS(K120 * 3.1416 / 180) * SIN((J120 - 6) * 3.1416/12) * COS(23.45*SIN((2*3.1416/365*(I120+284)))* 3.1416 / 180) + SIN(K120 * 3.1416 / 180) * SIN(23.45*SIN((2*3.1416/365*(I120+284)))* 3.1416 / 180))/(((COS((J120 - 6) * 3.1416/12) * COS(23.45*SIN((2*3.1416/365*(I120+284)))* 3.1416 / 180))^2+(-SIN(K120 * 3.1416 / 180) * SIN((J120 - 6) * 3.1416/12) * COS(23.45*SIN((2*3.1416/365*(I120+284)))* 3.1416 / 180) - -COS(K120 * 3.1416 / 180) * SIN(23.45*SIN((2*3.1416/365*(I120+284)))* 3.1416 / 180))^2)^0.5))))*(0.1+SIN(ATAN((--COS(K120 * 3.1416 / 180) * SIN((J120 - 6) * 3.1416/12) * COS(23.45*SIN((2*3.1416/365*(I120+284)))* 3.1416 / 180) + SIN(K120 * 3.1416 / 180) * SIN(23.45*SIN((2*3.1416/365*(I120+284)))* 3.1416 / 180))/(((COS((J120 - 6) * 3.1416/12) * COS(23.45*SIN((2*3.1416/365*(I120+284)))* 3.1416 / 180))^2+(-SIN(K120 * 3.1416 / 180) * SIN((J120 - 6) * 3.1416/12) * COS(23.45*SIN((2*3.1416/365*(I120+284)))* 3.1416 / 180) - -COS(K120 * 3.1416 / 180) * SIN(23.45*SIN((2*3.1416/365*(I120+284)))* 3.1416 / 180))^2)^0.5))))</f>
        <v>1310.50757037807</v>
      </c>
      <c r="O120" s="0" t="n">
        <f aca="false">IF(K120&gt;=15,(0.00000000010508*K120^4 - 0.000000017492*K120^3 + 0.0000012363*K120^2 - 0.000044163*K120 + 0.0008144)*N120^2+( -0.000000028*K120^4 + 0.000013654*K120^3 - 0.0019426*K120^2 + 0.11006*K120 - 2.0905)*N120+0.000087115*K120^4 - 0.024852*K120^3 + 2.6437*K120^2 - 124.35*K120 + 2183.8,N120*0.3835-146.8)</f>
        <v>370.544101628823</v>
      </c>
      <c r="P120" s="0" t="n">
        <f aca="false">O120/2.02</f>
        <v>183.437674073675</v>
      </c>
      <c r="Q120" s="0" t="n">
        <v>112.140365108366</v>
      </c>
      <c r="R120" s="0" t="n">
        <f aca="false">(198.58*(1/(2/15*ACOS(-TAN(3.1416/180*K120)*TAN(3.1416/180*23.45*SIN((2*3.1416/365*(I120+284)))))/3.1416*180))^2+5.0551/(2/15*ACOS(-TAN(3.1416/180*K120)*TAN(3.1416/180*23.45*SIN((2*3.1416/365*(I120+284)))))/3.1416*180)+1.49)*P120*2.02</f>
        <v>1311.98760640723</v>
      </c>
    </row>
    <row r="121" customFormat="false" ht="15.75" hidden="false" customHeight="false" outlineLevel="0" collapsed="false">
      <c r="I121" s="181" t="n">
        <f aca="false">I120+1</f>
        <v>286</v>
      </c>
      <c r="J121" s="0" t="n">
        <v>12</v>
      </c>
      <c r="K121" s="181" t="n">
        <v>36.67</v>
      </c>
      <c r="L121" s="0" t="n">
        <f aca="false">23.45*SIN((2*3.1416/365*(I121+284)))</f>
        <v>-8.85774998398554</v>
      </c>
      <c r="M121" s="0" t="n">
        <f aca="false">2/15*ACOS(-TAN(3.1416/180*K121)*TAN(3.1416/180*23.45*SIN((2*3.1416/365*(I121+284)))))/3.1416*180</f>
        <v>11.1115411302766</v>
      </c>
      <c r="N121" s="0" t="n">
        <f aca="false">2084 * EXP(-0.174353387144778 / SIN(ATAN((--COS(K121 * 3.1416 / 180) * SIN((J121 - 6) * 3.1416/12) * COS(23.45*SIN((2*3.1416/365*(I121+284)))* 3.1416 / 180) + SIN(K121 * 3.1416 / 180) * SIN(23.45*SIN((2*3.1416/365*(I121+284)))* 3.1416 / 180))/(((COS((J121 - 6) * 3.1416/12) * COS(23.45*SIN((2*3.1416/365*(I121+284)))* 3.1416 / 180))^2+(-SIN(K121 * 3.1416 / 180) * SIN((J121 - 6) * 3.1416/12) * COS(23.45*SIN((2*3.1416/365*(I121+284)))* 3.1416 / 180) - -COS(K121 * 3.1416 / 180) * SIN(23.45*SIN((2*3.1416/365*(I121+284)))* 3.1416 / 180))^2)^0.5))))*(0.1+SIN(ATAN((--COS(K121 * 3.1416 / 180) * SIN((J121 - 6) * 3.1416/12) * COS(23.45*SIN((2*3.1416/365*(I121+284)))* 3.1416 / 180) + SIN(K121 * 3.1416 / 180) * SIN(23.45*SIN((2*3.1416/365*(I121+284)))* 3.1416 / 180))/(((COS((J121 - 6) * 3.1416/12) * COS(23.45*SIN((2*3.1416/365*(I121+284)))* 3.1416 / 180))^2+(-SIN(K121 * 3.1416 / 180) * SIN((J121 - 6) * 3.1416/12) * COS(23.45*SIN((2*3.1416/365*(I121+284)))* 3.1416 / 180) - -COS(K121 * 3.1416 / 180) * SIN(23.45*SIN((2*3.1416/365*(I121+284)))* 3.1416 / 180))^2)^0.5))))</f>
        <v>1300.79033055147</v>
      </c>
      <c r="O121" s="0" t="n">
        <f aca="false">IF(K121&gt;=15,(0.00000000010508*K121^4 - 0.000000017492*K121^3 + 0.0000012363*K121^2 - 0.000044163*K121 + 0.0008144)*N121^2+( -0.000000028*K121^4 + 0.000013654*K121^3 - 0.0019426*K121^2 + 0.11006*K121 - 2.0905)*N121+0.000087115*K121^4 - 0.024852*K121^3 + 2.6437*K121^2 - 124.35*K121 + 2183.8,N121*0.3835-146.8)</f>
        <v>366.282331535245</v>
      </c>
      <c r="P121" s="0" t="n">
        <f aca="false">O121/2.02</f>
        <v>181.327886898636</v>
      </c>
      <c r="Q121" s="0" t="n">
        <v>191.613336378528</v>
      </c>
      <c r="R121" s="0" t="n">
        <f aca="false">(198.58*(1/(2/15*ACOS(-TAN(3.1416/180*K121)*TAN(3.1416/180*23.45*SIN((2*3.1416/365*(I121+284)))))/3.1416*180))^2+5.0551/(2/15*ACOS(-TAN(3.1416/180*K121)*TAN(3.1416/180*23.45*SIN((2*3.1416/365*(I121+284)))))/3.1416*180)+1.49)*P121*2.02</f>
        <v>1301.51646512152</v>
      </c>
    </row>
    <row r="122" customFormat="false" ht="15.75" hidden="false" customHeight="false" outlineLevel="0" collapsed="false">
      <c r="I122" s="181" t="n">
        <f aca="false">I121+1</f>
        <v>287</v>
      </c>
      <c r="J122" s="0" t="n">
        <v>12</v>
      </c>
      <c r="K122" s="181" t="n">
        <v>36.67</v>
      </c>
      <c r="L122" s="0" t="n">
        <f aca="false">23.45*SIN((2*3.1416/365*(I122+284)))</f>
        <v>-9.23018748314143</v>
      </c>
      <c r="M122" s="0" t="n">
        <f aca="false">2/15*ACOS(-TAN(3.1416/180*K122)*TAN(3.1416/180*23.45*SIN((2*3.1416/365*(I122+284)))))/3.1416*180</f>
        <v>11.0733612443555</v>
      </c>
      <c r="N122" s="0" t="n">
        <f aca="false">2084 * EXP(-0.174353387144778 / SIN(ATAN((--COS(K122 * 3.1416 / 180) * SIN((J122 - 6) * 3.1416/12) * COS(23.45*SIN((2*3.1416/365*(I122+284)))* 3.1416 / 180) + SIN(K122 * 3.1416 / 180) * SIN(23.45*SIN((2*3.1416/365*(I122+284)))* 3.1416 / 180))/(((COS((J122 - 6) * 3.1416/12) * COS(23.45*SIN((2*3.1416/365*(I122+284)))* 3.1416 / 180))^2+(-SIN(K122 * 3.1416 / 180) * SIN((J122 - 6) * 3.1416/12) * COS(23.45*SIN((2*3.1416/365*(I122+284)))* 3.1416 / 180) - -COS(K122 * 3.1416 / 180) * SIN(23.45*SIN((2*3.1416/365*(I122+284)))* 3.1416 / 180))^2)^0.5))))*(0.1+SIN(ATAN((--COS(K122 * 3.1416 / 180) * SIN((J122 - 6) * 3.1416/12) * COS(23.45*SIN((2*3.1416/365*(I122+284)))* 3.1416 / 180) + SIN(K122 * 3.1416 / 180) * SIN(23.45*SIN((2*3.1416/365*(I122+284)))* 3.1416 / 180))/(((COS((J122 - 6) * 3.1416/12) * COS(23.45*SIN((2*3.1416/365*(I122+284)))* 3.1416 / 180))^2+(-SIN(K122 * 3.1416 / 180) * SIN((J122 - 6) * 3.1416/12) * COS(23.45*SIN((2*3.1416/365*(I122+284)))* 3.1416 / 180) - -COS(K122 * 3.1416 / 180) * SIN(23.45*SIN((2*3.1416/365*(I122+284)))* 3.1416 / 180))^2)^0.5))))</f>
        <v>1291.07908533926</v>
      </c>
      <c r="O122" s="0" t="n">
        <f aca="false">IF(K122&gt;=15,(0.00000000010508*K122^4 - 0.000000017492*K122^3 + 0.0000012363*K122^2 - 0.000044163*K122 + 0.0008144)*N122^2+( -0.000000028*K122^4 + 0.000013654*K122^3 - 0.0019426*K122^2 + 0.11006*K122 - 2.0905)*N122+0.000087115*K122^4 - 0.024852*K122^3 + 2.6437*K122^2 - 124.35*K122 + 2183.8,N122*0.3835-146.8)</f>
        <v>362.058068986555</v>
      </c>
      <c r="P122" s="0" t="n">
        <f aca="false">O122/2.02</f>
        <v>179.236667815126</v>
      </c>
      <c r="Q122" s="0" t="n">
        <v>217.426206527217</v>
      </c>
      <c r="R122" s="0" t="n">
        <f aca="false">(198.58*(1/(2/15*ACOS(-TAN(3.1416/180*K122)*TAN(3.1416/180*23.45*SIN((2*3.1416/365*(I122+284)))))/3.1416*180))^2+5.0551/(2/15*ACOS(-TAN(3.1416/180*K122)*TAN(3.1416/180*23.45*SIN((2*3.1416/365*(I122+284)))))/3.1416*180)+1.49)*P122*2.02</f>
        <v>1291.0967735798</v>
      </c>
    </row>
    <row r="123" customFormat="false" ht="15.75" hidden="false" customHeight="false" outlineLevel="0" collapsed="false">
      <c r="I123" s="181" t="n">
        <f aca="false">I122+1</f>
        <v>288</v>
      </c>
      <c r="J123" s="0" t="n">
        <v>12</v>
      </c>
      <c r="K123" s="181" t="n">
        <v>36.67</v>
      </c>
      <c r="L123" s="0" t="n">
        <f aca="false">23.45*SIN((2*3.1416/365*(I123+284)))</f>
        <v>-9.59988986575089</v>
      </c>
      <c r="M123" s="0" t="n">
        <f aca="false">2/15*ACOS(-TAN(3.1416/180*K123)*TAN(3.1416/180*23.45*SIN((2*3.1416/365*(I123+284)))))/3.1416*180</f>
        <v>11.0353588047267</v>
      </c>
      <c r="N123" s="0" t="n">
        <f aca="false">2084 * EXP(-0.174353387144778 / SIN(ATAN((--COS(K123 * 3.1416 / 180) * SIN((J123 - 6) * 3.1416/12) * COS(23.45*SIN((2*3.1416/365*(I123+284)))* 3.1416 / 180) + SIN(K123 * 3.1416 / 180) * SIN(23.45*SIN((2*3.1416/365*(I123+284)))* 3.1416 / 180))/(((COS((J123 - 6) * 3.1416/12) * COS(23.45*SIN((2*3.1416/365*(I123+284)))* 3.1416 / 180))^2+(-SIN(K123 * 3.1416 / 180) * SIN((J123 - 6) * 3.1416/12) * COS(23.45*SIN((2*3.1416/365*(I123+284)))* 3.1416 / 180) - -COS(K123 * 3.1416 / 180) * SIN(23.45*SIN((2*3.1416/365*(I123+284)))* 3.1416 / 180))^2)^0.5))))*(0.1+SIN(ATAN((--COS(K123 * 3.1416 / 180) * SIN((J123 - 6) * 3.1416/12) * COS(23.45*SIN((2*3.1416/365*(I123+284)))* 3.1416 / 180) + SIN(K123 * 3.1416 / 180) * SIN(23.45*SIN((2*3.1416/365*(I123+284)))* 3.1416 / 180))/(((COS((J123 - 6) * 3.1416/12) * COS(23.45*SIN((2*3.1416/365*(I123+284)))* 3.1416 / 180))^2+(-SIN(K123 * 3.1416 / 180) * SIN((J123 - 6) * 3.1416/12) * COS(23.45*SIN((2*3.1416/365*(I123+284)))* 3.1416 / 180) - -COS(K123 * 3.1416 / 180) * SIN(23.45*SIN((2*3.1416/365*(I123+284)))* 3.1416 / 180))^2)^0.5))))</f>
        <v>1281.37845443958</v>
      </c>
      <c r="O123" s="0" t="n">
        <f aca="false">IF(K123&gt;=15,(0.00000000010508*K123^4 - 0.000000017492*K123^3 + 0.0000012363*K123^2 - 0.000044163*K123 + 0.0008144)*N123^2+( -0.000000028*K123^4 + 0.000013654*K123^3 - 0.0019426*K123^2 + 0.11006*K123 - 2.0905)*N123+0.000087115*K123^4 - 0.024852*K123^3 + 2.6437*K123^2 - 124.35*K123 + 2183.8,N123*0.3835-146.8)</f>
        <v>357.87323405409</v>
      </c>
      <c r="P123" s="0" t="n">
        <f aca="false">O123/2.02</f>
        <v>177.16496735351</v>
      </c>
      <c r="Q123" s="0" t="n">
        <v>261.874350270917</v>
      </c>
      <c r="R123" s="0" t="n">
        <f aca="false">(198.58*(1/(2/15*ACOS(-TAN(3.1416/180*K123)*TAN(3.1416/180*23.45*SIN((2*3.1416/365*(I123+284)))))/3.1416*180))^2+5.0551/(2/15*ACOS(-TAN(3.1416/180*K123)*TAN(3.1416/180*23.45*SIN((2*3.1416/365*(I123+284)))))/3.1416*180)+1.49)*P123*2.02</f>
        <v>1280.73488489787</v>
      </c>
    </row>
    <row r="124" customFormat="false" ht="15.75" hidden="false" customHeight="false" outlineLevel="0" collapsed="false">
      <c r="I124" s="181" t="n">
        <f aca="false">I123+1</f>
        <v>289</v>
      </c>
      <c r="J124" s="0" t="n">
        <v>12</v>
      </c>
      <c r="K124" s="181" t="n">
        <v>36.67</v>
      </c>
      <c r="L124" s="0" t="n">
        <f aca="false">23.45*SIN((2*3.1416/365*(I124+284)))</f>
        <v>-9.96674758050677</v>
      </c>
      <c r="M124" s="0" t="n">
        <f aca="false">2/15*ACOS(-TAN(3.1416/180*K124)*TAN(3.1416/180*23.45*SIN((2*3.1416/365*(I124+284)))))/3.1416*180</f>
        <v>10.9975428862981</v>
      </c>
      <c r="N124" s="0" t="n">
        <f aca="false">2084 * EXP(-0.174353387144778 / SIN(ATAN((--COS(K124 * 3.1416 / 180) * SIN((J124 - 6) * 3.1416/12) * COS(23.45*SIN((2*3.1416/365*(I124+284)))* 3.1416 / 180) + SIN(K124 * 3.1416 / 180) * SIN(23.45*SIN((2*3.1416/365*(I124+284)))* 3.1416 / 180))/(((COS((J124 - 6) * 3.1416/12) * COS(23.45*SIN((2*3.1416/365*(I124+284)))* 3.1416 / 180))^2+(-SIN(K124 * 3.1416 / 180) * SIN((J124 - 6) * 3.1416/12) * COS(23.45*SIN((2*3.1416/365*(I124+284)))* 3.1416 / 180) - -COS(K124 * 3.1416 / 180) * SIN(23.45*SIN((2*3.1416/365*(I124+284)))* 3.1416 / 180))^2)^0.5))))*(0.1+SIN(ATAN((--COS(K124 * 3.1416 / 180) * SIN((J124 - 6) * 3.1416/12) * COS(23.45*SIN((2*3.1416/365*(I124+284)))* 3.1416 / 180) + SIN(K124 * 3.1416 / 180) * SIN(23.45*SIN((2*3.1416/365*(I124+284)))* 3.1416 / 180))/(((COS((J124 - 6) * 3.1416/12) * COS(23.45*SIN((2*3.1416/365*(I124+284)))* 3.1416 / 180))^2+(-SIN(K124 * 3.1416 / 180) * SIN((J124 - 6) * 3.1416/12) * COS(23.45*SIN((2*3.1416/365*(I124+284)))* 3.1416 / 180) - -COS(K124 * 3.1416 / 180) * SIN(23.45*SIN((2*3.1416/365*(I124+284)))* 3.1416 / 180))^2)^0.5))))</f>
        <v>1271.69308332928</v>
      </c>
      <c r="O124" s="0" t="n">
        <f aca="false">IF(K124&gt;=15,(0.00000000010508*K124^4 - 0.000000017492*K124^3 + 0.0000012363*K124^2 - 0.000044163*K124 + 0.0008144)*N124^2+( -0.000000028*K124^4 + 0.000013654*K124^3 - 0.0019426*K124^2 + 0.11006*K124 - 2.0905)*N124+0.000087115*K124^4 - 0.024852*K124^3 + 2.6437*K124^2 - 124.35*K124 + 2183.8,N124*0.3835-146.8)</f>
        <v>353.72969161359</v>
      </c>
      <c r="P124" s="0" t="n">
        <f aca="false">O124/2.02</f>
        <v>175.113708719599</v>
      </c>
      <c r="Q124" s="0" t="n">
        <v>223.708220451108</v>
      </c>
      <c r="R124" s="0" t="n">
        <f aca="false">(198.58*(1/(2/15*ACOS(-TAN(3.1416/180*K124)*TAN(3.1416/180*23.45*SIN((2*3.1416/365*(I124+284)))))/3.1416*180))^2+5.0551/(2/15*ACOS(-TAN(3.1416/180*K124)*TAN(3.1416/180*23.45*SIN((2*3.1416/365*(I124+284)))))/3.1416*180)+1.49)*P124*2.02</f>
        <v>1270.43705148316</v>
      </c>
    </row>
    <row r="125" customFormat="false" ht="15.75" hidden="false" customHeight="false" outlineLevel="0" collapsed="false">
      <c r="I125" s="181" t="n">
        <f aca="false">I124+1</f>
        <v>290</v>
      </c>
      <c r="J125" s="0" t="n">
        <v>12</v>
      </c>
      <c r="K125" s="181" t="n">
        <v>36.67</v>
      </c>
      <c r="L125" s="0" t="n">
        <f aca="false">23.45*SIN((2*3.1416/365*(I125+284)))</f>
        <v>-10.3306519190423</v>
      </c>
      <c r="M125" s="0" t="n">
        <f aca="false">2/15*ACOS(-TAN(3.1416/180*K125)*TAN(3.1416/180*23.45*SIN((2*3.1416/365*(I125+284)))))/3.1416*180</f>
        <v>10.9599227388225</v>
      </c>
      <c r="N125" s="0" t="n">
        <f aca="false">2084 * EXP(-0.174353387144778 / SIN(ATAN((--COS(K125 * 3.1416 / 180) * SIN((J125 - 6) * 3.1416/12) * COS(23.45*SIN((2*3.1416/365*(I125+284)))* 3.1416 / 180) + SIN(K125 * 3.1416 / 180) * SIN(23.45*SIN((2*3.1416/365*(I125+284)))* 3.1416 / 180))/(((COS((J125 - 6) * 3.1416/12) * COS(23.45*SIN((2*3.1416/365*(I125+284)))* 3.1416 / 180))^2+(-SIN(K125 * 3.1416 / 180) * SIN((J125 - 6) * 3.1416/12) * COS(23.45*SIN((2*3.1416/365*(I125+284)))* 3.1416 / 180) - -COS(K125 * 3.1416 / 180) * SIN(23.45*SIN((2*3.1416/365*(I125+284)))* 3.1416 / 180))^2)^0.5))))*(0.1+SIN(ATAN((--COS(K125 * 3.1416 / 180) * SIN((J125 - 6) * 3.1416/12) * COS(23.45*SIN((2*3.1416/365*(I125+284)))* 3.1416 / 180) + SIN(K125 * 3.1416 / 180) * SIN(23.45*SIN((2*3.1416/365*(I125+284)))* 3.1416 / 180))/(((COS((J125 - 6) * 3.1416/12) * COS(23.45*SIN((2*3.1416/365*(I125+284)))* 3.1416 / 180))^2+(-SIN(K125 * 3.1416 / 180) * SIN((J125 - 6) * 3.1416/12) * COS(23.45*SIN((2*3.1416/365*(I125+284)))* 3.1416 / 180) - -COS(K125 * 3.1416 / 180) * SIN(23.45*SIN((2*3.1416/365*(I125+284)))* 3.1416 / 180))^2)^0.5))))</f>
        <v>1262.02763932491</v>
      </c>
      <c r="O125" s="0" t="n">
        <f aca="false">IF(K125&gt;=15,(0.00000000010508*K125^4 - 0.000000017492*K125^3 + 0.0000012363*K125^2 - 0.000044163*K125 + 0.0008144)*N125^2+( -0.000000028*K125^4 + 0.000013654*K125^3 - 0.0019426*K125^2 + 0.11006*K125 - 2.0905)*N125+0.000087115*K125^4 - 0.024852*K125^3 + 2.6437*K125^2 - 124.35*K125 + 2183.8,N125*0.3835-146.8)</f>
        <v>349.629249441309</v>
      </c>
      <c r="P125" s="0" t="n">
        <f aca="false">O125/2.02</f>
        <v>173.083786852133</v>
      </c>
      <c r="Q125" s="0" t="n">
        <v>270.489009734123</v>
      </c>
      <c r="R125" s="0" t="n">
        <f aca="false">(198.58*(1/(2/15*ACOS(-TAN(3.1416/180*K125)*TAN(3.1416/180*23.45*SIN((2*3.1416/365*(I125+284)))))/3.1416*180))^2+5.0551/(2/15*ACOS(-TAN(3.1416/180*K125)*TAN(3.1416/180*23.45*SIN((2*3.1416/365*(I125+284)))))/3.1416*180)+1.49)*P125*2.02</f>
        <v>1260.20941600861</v>
      </c>
    </row>
    <row r="126" customFormat="false" ht="15.75" hidden="false" customHeight="false" outlineLevel="0" collapsed="false">
      <c r="I126" s="181" t="n">
        <f aca="false">I125+1</f>
        <v>291</v>
      </c>
      <c r="J126" s="0" t="n">
        <v>12</v>
      </c>
      <c r="K126" s="181" t="n">
        <v>36.67</v>
      </c>
      <c r="L126" s="0" t="n">
        <f aca="false">23.45*SIN((2*3.1416/365*(I126+284)))</f>
        <v>-10.6914950481441</v>
      </c>
      <c r="M126" s="0" t="n">
        <f aca="false">2/15*ACOS(-TAN(3.1416/180*K126)*TAN(3.1416/180*23.45*SIN((2*3.1416/365*(I126+284)))))/3.1416*180</f>
        <v>10.9225077906643</v>
      </c>
      <c r="N126" s="0" t="n">
        <f aca="false">2084 * EXP(-0.174353387144778 / SIN(ATAN((--COS(K126 * 3.1416 / 180) * SIN((J126 - 6) * 3.1416/12) * COS(23.45*SIN((2*3.1416/365*(I126+284)))* 3.1416 / 180) + SIN(K126 * 3.1416 / 180) * SIN(23.45*SIN((2*3.1416/365*(I126+284)))* 3.1416 / 180))/(((COS((J126 - 6) * 3.1416/12) * COS(23.45*SIN((2*3.1416/365*(I126+284)))* 3.1416 / 180))^2+(-SIN(K126 * 3.1416 / 180) * SIN((J126 - 6) * 3.1416/12) * COS(23.45*SIN((2*3.1416/365*(I126+284)))* 3.1416 / 180) - -COS(K126 * 3.1416 / 180) * SIN(23.45*SIN((2*3.1416/365*(I126+284)))* 3.1416 / 180))^2)^0.5))))*(0.1+SIN(ATAN((--COS(K126 * 3.1416 / 180) * SIN((J126 - 6) * 3.1416/12) * COS(23.45*SIN((2*3.1416/365*(I126+284)))* 3.1416 / 180) + SIN(K126 * 3.1416 / 180) * SIN(23.45*SIN((2*3.1416/365*(I126+284)))* 3.1416 / 180))/(((COS((J126 - 6) * 3.1416/12) * COS(23.45*SIN((2*3.1416/365*(I126+284)))* 3.1416 / 180))^2+(-SIN(K126 * 3.1416 / 180) * SIN((J126 - 6) * 3.1416/12) * COS(23.45*SIN((2*3.1416/365*(I126+284)))* 3.1416 / 180) - -COS(K126 * 3.1416 / 180) * SIN(23.45*SIN((2*3.1416/365*(I126+284)))* 3.1416 / 180))^2)^0.5))))</f>
        <v>1252.38680764098</v>
      </c>
      <c r="O126" s="0" t="n">
        <f aca="false">IF(K126&gt;=15,(0.00000000010508*K126^4 - 0.000000017492*K126^3 + 0.0000012363*K126^2 - 0.000044163*K126 + 0.0008144)*N126^2+( -0.000000028*K126^4 + 0.000013654*K126^3 - 0.0019426*K126^2 + 0.11006*K126 - 2.0905)*N126+0.000087115*K126^4 - 0.024852*K126^3 + 2.6437*K126^2 - 124.35*K126 + 2183.8,N126*0.3835-146.8)</f>
        <v>345.573656475604</v>
      </c>
      <c r="P126" s="0" t="n">
        <f aca="false">O126/2.02</f>
        <v>171.07606756218</v>
      </c>
      <c r="Q126" s="0" t="n">
        <v>271.258190524194</v>
      </c>
      <c r="R126" s="0" t="n">
        <f aca="false">(198.58*(1/(2/15*ACOS(-TAN(3.1416/180*K126)*TAN(3.1416/180*23.45*SIN((2*3.1416/365*(I126+284)))))/3.1416*180))^2+5.0551/(2/15*ACOS(-TAN(3.1416/180*K126)*TAN(3.1416/180*23.45*SIN((2*3.1416/365*(I126+284)))))/3.1416*180)+1.49)*P126*2.02</f>
        <v>1250.05800273782</v>
      </c>
    </row>
    <row r="127" customFormat="false" ht="15.75" hidden="false" customHeight="false" outlineLevel="0" collapsed="false">
      <c r="I127" s="181" t="n">
        <f aca="false">I126+1</f>
        <v>292</v>
      </c>
      <c r="J127" s="0" t="n">
        <v>12</v>
      </c>
      <c r="K127" s="181" t="n">
        <v>36.67</v>
      </c>
      <c r="L127" s="0" t="n">
        <f aca="false">23.45*SIN((2*3.1416/365*(I127+284)))</f>
        <v>-11.0491700417052</v>
      </c>
      <c r="M127" s="0" t="n">
        <f aca="false">2/15*ACOS(-TAN(3.1416/180*K127)*TAN(3.1416/180*23.45*SIN((2*3.1416/365*(I127+284)))))/3.1416*180</f>
        <v>10.885307652121</v>
      </c>
      <c r="N127" s="0" t="n">
        <f aca="false">2084 * EXP(-0.174353387144778 / SIN(ATAN((--COS(K127 * 3.1416 / 180) * SIN((J127 - 6) * 3.1416/12) * COS(23.45*SIN((2*3.1416/365*(I127+284)))* 3.1416 / 180) + SIN(K127 * 3.1416 / 180) * SIN(23.45*SIN((2*3.1416/365*(I127+284)))* 3.1416 / 180))/(((COS((J127 - 6) * 3.1416/12) * COS(23.45*SIN((2*3.1416/365*(I127+284)))* 3.1416 / 180))^2+(-SIN(K127 * 3.1416 / 180) * SIN((J127 - 6) * 3.1416/12) * COS(23.45*SIN((2*3.1416/365*(I127+284)))* 3.1416 / 180) - -COS(K127 * 3.1416 / 180) * SIN(23.45*SIN((2*3.1416/365*(I127+284)))* 3.1416 / 180))^2)^0.5))))*(0.1+SIN(ATAN((--COS(K127 * 3.1416 / 180) * SIN((J127 - 6) * 3.1416/12) * COS(23.45*SIN((2*3.1416/365*(I127+284)))* 3.1416 / 180) + SIN(K127 * 3.1416 / 180) * SIN(23.45*SIN((2*3.1416/365*(I127+284)))* 3.1416 / 180))/(((COS((J127 - 6) * 3.1416/12) * COS(23.45*SIN((2*3.1416/365*(I127+284)))* 3.1416 / 180))^2+(-SIN(K127 * 3.1416 / 180) * SIN((J127 - 6) * 3.1416/12) * COS(23.45*SIN((2*3.1416/365*(I127+284)))* 3.1416 / 180) - -COS(K127 * 3.1416 / 180) * SIN(23.45*SIN((2*3.1416/365*(I127+284)))* 3.1416 / 180))^2)^0.5))))</f>
        <v>1242.77528745101</v>
      </c>
      <c r="O127" s="0" t="n">
        <f aca="false">IF(K127&gt;=15,(0.00000000010508*K127^4 - 0.000000017492*K127^3 + 0.0000012363*K127^2 - 0.000044163*K127 + 0.0008144)*N127^2+( -0.000000028*K127^4 + 0.000013654*K127^3 - 0.0019426*K127^2 + 0.11006*K127 - 2.0905)*N127+0.000087115*K127^4 - 0.024852*K127^3 + 2.6437*K127^2 - 124.35*K127 + 2183.8,N127*0.3835-146.8)</f>
        <v>341.564601247119</v>
      </c>
      <c r="P127" s="0" t="n">
        <f aca="false">O127/2.02</f>
        <v>169.091386755999</v>
      </c>
      <c r="Q127" s="0" t="n">
        <v>264.209496282762</v>
      </c>
      <c r="R127" s="0" t="n">
        <f aca="false">(198.58*(1/(2/15*ACOS(-TAN(3.1416/180*K127)*TAN(3.1416/180*23.45*SIN((2*3.1416/365*(I127+284)))))/3.1416*180))^2+5.0551/(2/15*ACOS(-TAN(3.1416/180*K127)*TAN(3.1416/180*23.45*SIN((2*3.1416/365*(I127+284)))))/3.1416*180)+1.49)*P127*2.02</f>
        <v>1239.98870922211</v>
      </c>
    </row>
    <row r="128" customFormat="false" ht="15.75" hidden="false" customHeight="false" outlineLevel="0" collapsed="false">
      <c r="I128" s="181" t="n">
        <f aca="false">I127+1</f>
        <v>293</v>
      </c>
      <c r="J128" s="0" t="n">
        <v>12</v>
      </c>
      <c r="K128" s="181" t="n">
        <v>36.67</v>
      </c>
      <c r="L128" s="0" t="n">
        <f aca="false">23.45*SIN((2*3.1416/365*(I128+284)))</f>
        <v>-11.4035709124101</v>
      </c>
      <c r="M128" s="0" t="n">
        <f aca="false">2/15*ACOS(-TAN(3.1416/180*K128)*TAN(3.1416/180*23.45*SIN((2*3.1416/365*(I128+284)))))/3.1416*180</f>
        <v>10.8483321182725</v>
      </c>
      <c r="N128" s="0" t="n">
        <f aca="false">2084 * EXP(-0.174353387144778 / SIN(ATAN((--COS(K128 * 3.1416 / 180) * SIN((J128 - 6) * 3.1416/12) * COS(23.45*SIN((2*3.1416/365*(I128+284)))* 3.1416 / 180) + SIN(K128 * 3.1416 / 180) * SIN(23.45*SIN((2*3.1416/365*(I128+284)))* 3.1416 / 180))/(((COS((J128 - 6) * 3.1416/12) * COS(23.45*SIN((2*3.1416/365*(I128+284)))* 3.1416 / 180))^2+(-SIN(K128 * 3.1416 / 180) * SIN((J128 - 6) * 3.1416/12) * COS(23.45*SIN((2*3.1416/365*(I128+284)))* 3.1416 / 180) - -COS(K128 * 3.1416 / 180) * SIN(23.45*SIN((2*3.1416/365*(I128+284)))* 3.1416 / 180))^2)^0.5))))*(0.1+SIN(ATAN((--COS(K128 * 3.1416 / 180) * SIN((J128 - 6) * 3.1416/12) * COS(23.45*SIN((2*3.1416/365*(I128+284)))* 3.1416 / 180) + SIN(K128 * 3.1416 / 180) * SIN(23.45*SIN((2*3.1416/365*(I128+284)))* 3.1416 / 180))/(((COS((J128 - 6) * 3.1416/12) * COS(23.45*SIN((2*3.1416/365*(I128+284)))* 3.1416 / 180))^2+(-SIN(K128 * 3.1416 / 180) * SIN((J128 - 6) * 3.1416/12) * COS(23.45*SIN((2*3.1416/365*(I128+284)))* 3.1416 / 180) - -COS(K128 * 3.1416 / 180) * SIN(23.45*SIN((2*3.1416/365*(I128+284)))* 3.1416 / 180))^2)^0.5))))</f>
        <v>1233.19778795726</v>
      </c>
      <c r="O128" s="0" t="n">
        <f aca="false">IF(K128&gt;=15,(0.00000000010508*K128^4 - 0.000000017492*K128^3 + 0.0000012363*K128^2 - 0.000044163*K128 + 0.0008144)*N128^2+( -0.000000028*K128^4 + 0.000013654*K128^3 - 0.0019426*K128^2 + 0.11006*K128 - 2.0905)*N128+0.000087115*K128^4 - 0.024852*K128^3 + 2.6437*K128^2 - 124.35*K128 + 2183.8,N128*0.3835-146.8)</f>
        <v>337.603710480087</v>
      </c>
      <c r="P128" s="0" t="n">
        <f aca="false">O128/2.02</f>
        <v>167.130549742617</v>
      </c>
      <c r="Q128" s="0" t="n">
        <v>104.384086362777</v>
      </c>
      <c r="R128" s="0" t="n">
        <f aca="false">(198.58*(1/(2/15*ACOS(-TAN(3.1416/180*K128)*TAN(3.1416/180*23.45*SIN((2*3.1416/365*(I128+284)))))/3.1416*180))^2+5.0551/(2/15*ACOS(-TAN(3.1416/180*K128)*TAN(3.1416/180*23.45*SIN((2*3.1416/365*(I128+284)))))/3.1416*180)+1.49)*P128*2.02</f>
        <v>1230.00729838914</v>
      </c>
    </row>
    <row r="129" customFormat="false" ht="15.75" hidden="false" customHeight="false" outlineLevel="0" collapsed="false">
      <c r="I129" s="181" t="n">
        <f aca="false">I128+1</f>
        <v>294</v>
      </c>
      <c r="J129" s="0" t="n">
        <v>12</v>
      </c>
      <c r="K129" s="181" t="n">
        <v>36.67</v>
      </c>
      <c r="L129" s="0" t="n">
        <f aca="false">23.45*SIN((2*3.1416/365*(I129+284)))</f>
        <v>-11.7545926431411</v>
      </c>
      <c r="M129" s="0" t="n">
        <f aca="false">2/15*ACOS(-TAN(3.1416/180*K129)*TAN(3.1416/180*23.45*SIN((2*3.1416/365*(I129+284)))))/3.1416*180</f>
        <v>10.811591171337</v>
      </c>
      <c r="N129" s="0" t="n">
        <f aca="false">2084 * EXP(-0.174353387144778 / SIN(ATAN((--COS(K129 * 3.1416 / 180) * SIN((J129 - 6) * 3.1416/12) * COS(23.45*SIN((2*3.1416/365*(I129+284)))* 3.1416 / 180) + SIN(K129 * 3.1416 / 180) * SIN(23.45*SIN((2*3.1416/365*(I129+284)))* 3.1416 / 180))/(((COS((J129 - 6) * 3.1416/12) * COS(23.45*SIN((2*3.1416/365*(I129+284)))* 3.1416 / 180))^2+(-SIN(K129 * 3.1416 / 180) * SIN((J129 - 6) * 3.1416/12) * COS(23.45*SIN((2*3.1416/365*(I129+284)))* 3.1416 / 180) - -COS(K129 * 3.1416 / 180) * SIN(23.45*SIN((2*3.1416/365*(I129+284)))* 3.1416 / 180))^2)^0.5))))*(0.1+SIN(ATAN((--COS(K129 * 3.1416 / 180) * SIN((J129 - 6) * 3.1416/12) * COS(23.45*SIN((2*3.1416/365*(I129+284)))* 3.1416 / 180) + SIN(K129 * 3.1416 / 180) * SIN(23.45*SIN((2*3.1416/365*(I129+284)))* 3.1416 / 180))/(((COS((J129 - 6) * 3.1416/12) * COS(23.45*SIN((2*3.1416/365*(I129+284)))* 3.1416 / 180))^2+(-SIN(K129 * 3.1416 / 180) * SIN((J129 - 6) * 3.1416/12) * COS(23.45*SIN((2*3.1416/365*(I129+284)))* 3.1416 / 180) - -COS(K129 * 3.1416 / 180) * SIN(23.45*SIN((2*3.1416/365*(I129+284)))* 3.1416 / 180))^2)^0.5))))</f>
        <v>1223.65902447457</v>
      </c>
      <c r="O129" s="0" t="n">
        <f aca="false">IF(K129&gt;=15,(0.00000000010508*K129^4 - 0.000000017492*K129^3 + 0.0000012363*K129^2 - 0.000044163*K129 + 0.0008144)*N129^2+( -0.000000028*K129^4 + 0.000013654*K129^3 - 0.0019426*K129^2 + 0.11006*K129 - 2.0905)*N129+0.000087115*K129^4 - 0.024852*K129^3 + 2.6437*K129^2 - 124.35*K129 + 2183.8,N129*0.3835-146.8)</f>
        <v>333.692547866721</v>
      </c>
      <c r="P129" s="0" t="n">
        <f aca="false">O129/2.02</f>
        <v>165.19433062709</v>
      </c>
      <c r="Q129" s="0" t="n">
        <v>183.165342269405</v>
      </c>
      <c r="R129" s="0" t="n">
        <f aca="false">(198.58*(1/(2/15*ACOS(-TAN(3.1416/180*K129)*TAN(3.1416/180*23.45*SIN((2*3.1416/365*(I129+284)))))/3.1416*180))^2+5.0551/(2/15*ACOS(-TAN(3.1416/180*K129)*TAN(3.1416/180*23.45*SIN((2*3.1416/365*(I129+284)))))/3.1416*180)+1.49)*P129*2.02</f>
        <v>1220.11939104136</v>
      </c>
    </row>
    <row r="130" customFormat="false" ht="15.75" hidden="false" customHeight="false" outlineLevel="0" collapsed="false">
      <c r="I130" s="181" t="n">
        <f aca="false">I129+1</f>
        <v>295</v>
      </c>
      <c r="J130" s="0" t="n">
        <v>12</v>
      </c>
      <c r="K130" s="181" t="n">
        <v>36.67</v>
      </c>
      <c r="L130" s="0" t="n">
        <f aca="false">23.45*SIN((2*3.1416/365*(I130+284)))</f>
        <v>-12.1021312180972</v>
      </c>
      <c r="M130" s="0" t="n">
        <f aca="false">2/15*ACOS(-TAN(3.1416/180*K130)*TAN(3.1416/180*23.45*SIN((2*3.1416/365*(I130+284)))))/3.1416*180</f>
        <v>10.775094982506</v>
      </c>
      <c r="N130" s="0" t="n">
        <f aca="false">2084 * EXP(-0.174353387144778 / SIN(ATAN((--COS(K130 * 3.1416 / 180) * SIN((J130 - 6) * 3.1416/12) * COS(23.45*SIN((2*3.1416/365*(I130+284)))* 3.1416 / 180) + SIN(K130 * 3.1416 / 180) * SIN(23.45*SIN((2*3.1416/365*(I130+284)))* 3.1416 / 180))/(((COS((J130 - 6) * 3.1416/12) * COS(23.45*SIN((2*3.1416/365*(I130+284)))* 3.1416 / 180))^2+(-SIN(K130 * 3.1416 / 180) * SIN((J130 - 6) * 3.1416/12) * COS(23.45*SIN((2*3.1416/365*(I130+284)))* 3.1416 / 180) - -COS(K130 * 3.1416 / 180) * SIN(23.45*SIN((2*3.1416/365*(I130+284)))* 3.1416 / 180))^2)^0.5))))*(0.1+SIN(ATAN((--COS(K130 * 3.1416 / 180) * SIN((J130 - 6) * 3.1416/12) * COS(23.45*SIN((2*3.1416/365*(I130+284)))* 3.1416 / 180) + SIN(K130 * 3.1416 / 180) * SIN(23.45*SIN((2*3.1416/365*(I130+284)))* 3.1416 / 180))/(((COS((J130 - 6) * 3.1416/12) * COS(23.45*SIN((2*3.1416/365*(I130+284)))* 3.1416 / 180))^2+(-SIN(K130 * 3.1416 / 180) * SIN((J130 - 6) * 3.1416/12) * COS(23.45*SIN((2*3.1416/365*(I130+284)))* 3.1416 / 180) - -COS(K130 * 3.1416 / 180) * SIN(23.45*SIN((2*3.1416/365*(I130+284)))* 3.1416 / 180))^2)^0.5))))</f>
        <v>1214.16371453356</v>
      </c>
      <c r="O130" s="0" t="n">
        <f aca="false">IF(K130&gt;=15,(0.00000000010508*K130^4 - 0.000000017492*K130^3 + 0.0000012363*K130^2 - 0.000044163*K130 + 0.0008144)*N130^2+( -0.000000028*K130^4 + 0.000013654*K130^3 - 0.0019426*K130^2 + 0.11006*K130 - 2.0905)*N130+0.000087115*K130^4 - 0.024852*K130^3 + 2.6437*K130^2 - 124.35*K130 + 2183.8,N130*0.3835-146.8)</f>
        <v>329.832613016019</v>
      </c>
      <c r="P130" s="0" t="n">
        <f aca="false">O130/2.02</f>
        <v>163.283471790108</v>
      </c>
      <c r="Q130" s="0" t="n">
        <v>179.975270917339</v>
      </c>
      <c r="R130" s="0" t="n">
        <f aca="false">(198.58*(1/(2/15*ACOS(-TAN(3.1416/180*K130)*TAN(3.1416/180*23.45*SIN((2*3.1416/365*(I130+284)))))/3.1416*180))^2+5.0551/(2/15*ACOS(-TAN(3.1416/180*K130)*TAN(3.1416/180*23.45*SIN((2*3.1416/365*(I130+284)))))/3.1416*180)+1.49)*P130*2.02</f>
        <v>1210.33045878171</v>
      </c>
    </row>
    <row r="131" customFormat="false" ht="15.75" hidden="false" customHeight="false" outlineLevel="0" collapsed="false">
      <c r="I131" s="181" t="n">
        <f aca="false">I130+1</f>
        <v>296</v>
      </c>
      <c r="J131" s="0" t="n">
        <v>12</v>
      </c>
      <c r="K131" s="181" t="n">
        <v>36.67</v>
      </c>
      <c r="L131" s="0" t="n">
        <f aca="false">23.45*SIN((2*3.1416/365*(I131+284)))</f>
        <v>-12.4460836536166</v>
      </c>
      <c r="M131" s="0" t="n">
        <f aca="false">2/15*ACOS(-TAN(3.1416/180*K131)*TAN(3.1416/180*23.45*SIN((2*3.1416/365*(I131+284)))))/3.1416*180</f>
        <v>10.7388539132358</v>
      </c>
      <c r="N131" s="0" t="n">
        <f aca="false">2084 * EXP(-0.174353387144778 / SIN(ATAN((--COS(K131 * 3.1416 / 180) * SIN((J131 - 6) * 3.1416/12) * COS(23.45*SIN((2*3.1416/365*(I131+284)))* 3.1416 / 180) + SIN(K131 * 3.1416 / 180) * SIN(23.45*SIN((2*3.1416/365*(I131+284)))* 3.1416 / 180))/(((COS((J131 - 6) * 3.1416/12) * COS(23.45*SIN((2*3.1416/365*(I131+284)))* 3.1416 / 180))^2+(-SIN(K131 * 3.1416 / 180) * SIN((J131 - 6) * 3.1416/12) * COS(23.45*SIN((2*3.1416/365*(I131+284)))* 3.1416 / 180) - -COS(K131 * 3.1416 / 180) * SIN(23.45*SIN((2*3.1416/365*(I131+284)))* 3.1416 / 180))^2)^0.5))))*(0.1+SIN(ATAN((--COS(K131 * 3.1416 / 180) * SIN((J131 - 6) * 3.1416/12) * COS(23.45*SIN((2*3.1416/365*(I131+284)))* 3.1416 / 180) + SIN(K131 * 3.1416 / 180) * SIN(23.45*SIN((2*3.1416/365*(I131+284)))* 3.1416 / 180))/(((COS((J131 - 6) * 3.1416/12) * COS(23.45*SIN((2*3.1416/365*(I131+284)))* 3.1416 / 180))^2+(-SIN(K131 * 3.1416 / 180) * SIN((J131 - 6) * 3.1416/12) * COS(23.45*SIN((2*3.1416/365*(I131+284)))* 3.1416 / 180) - -COS(K131 * 3.1416 / 180) * SIN(23.45*SIN((2*3.1416/365*(I131+284)))* 3.1416 / 180))^2)^0.5))))</f>
        <v>1204.71657400854</v>
      </c>
      <c r="O131" s="0" t="n">
        <f aca="false">IF(K131&gt;=15,(0.00000000010508*K131^4 - 0.000000017492*K131^3 + 0.0000012363*K131^2 - 0.000044163*K131 + 0.0008144)*N131^2+( -0.000000028*K131^4 + 0.000013654*K131^3 - 0.0019426*K131^2 + 0.11006*K131 - 2.0905)*N131+0.000087115*K131^4 - 0.024852*K131^3 + 2.6437*K131^2 - 124.35*K131 + 2183.8,N131*0.3835-146.8)</f>
        <v>326.025340577751</v>
      </c>
      <c r="P131" s="0" t="n">
        <f aca="false">O131/2.02</f>
        <v>161.398683454332</v>
      </c>
      <c r="Q131" s="0" t="n">
        <v>226.569076045866</v>
      </c>
      <c r="R131" s="0" t="n">
        <f aca="false">(198.58*(1/(2/15*ACOS(-TAN(3.1416/180*K131)*TAN(3.1416/180*23.45*SIN((2*3.1416/365*(I131+284)))))/3.1416*180))^2+5.0551/(2/15*ACOS(-TAN(3.1416/180*K131)*TAN(3.1416/180*23.45*SIN((2*3.1416/365*(I131+284)))))/3.1416*180)+1.49)*P131*2.02</f>
        <v>1200.6458173821</v>
      </c>
    </row>
    <row r="132" customFormat="false" ht="15.75" hidden="false" customHeight="false" outlineLevel="0" collapsed="false">
      <c r="I132" s="181" t="n">
        <f aca="false">I131+1</f>
        <v>297</v>
      </c>
      <c r="J132" s="0" t="n">
        <v>12</v>
      </c>
      <c r="K132" s="181" t="n">
        <v>36.67</v>
      </c>
      <c r="L132" s="0" t="n">
        <f aca="false">23.45*SIN((2*3.1416/365*(I132+284)))</f>
        <v>-12.7863480286929</v>
      </c>
      <c r="M132" s="0" t="n">
        <f aca="false">2/15*ACOS(-TAN(3.1416/180*K132)*TAN(3.1416/180*23.45*SIN((2*3.1416/365*(I132+284)))))/3.1416*180</f>
        <v>10.7028785159683</v>
      </c>
      <c r="N132" s="0" t="n">
        <f aca="false">2084 * EXP(-0.174353387144778 / SIN(ATAN((--COS(K132 * 3.1416 / 180) * SIN((J132 - 6) * 3.1416/12) * COS(23.45*SIN((2*3.1416/365*(I132+284)))* 3.1416 / 180) + SIN(K132 * 3.1416 / 180) * SIN(23.45*SIN((2*3.1416/365*(I132+284)))* 3.1416 / 180))/(((COS((J132 - 6) * 3.1416/12) * COS(23.45*SIN((2*3.1416/365*(I132+284)))* 3.1416 / 180))^2+(-SIN(K132 * 3.1416 / 180) * SIN((J132 - 6) * 3.1416/12) * COS(23.45*SIN((2*3.1416/365*(I132+284)))* 3.1416 / 180) - -COS(K132 * 3.1416 / 180) * SIN(23.45*SIN((2*3.1416/365*(I132+284)))* 3.1416 / 180))^2)^0.5))))*(0.1+SIN(ATAN((--COS(K132 * 3.1416 / 180) * SIN((J132 - 6) * 3.1416/12) * COS(23.45*SIN((2*3.1416/365*(I132+284)))* 3.1416 / 180) + SIN(K132 * 3.1416 / 180) * SIN(23.45*SIN((2*3.1416/365*(I132+284)))* 3.1416 / 180))/(((COS((J132 - 6) * 3.1416/12) * COS(23.45*SIN((2*3.1416/365*(I132+284)))* 3.1416 / 180))^2+(-SIN(K132 * 3.1416 / 180) * SIN((J132 - 6) * 3.1416/12) * COS(23.45*SIN((2*3.1416/365*(I132+284)))* 3.1416 / 180) - -COS(K132 * 3.1416 / 180) * SIN(23.45*SIN((2*3.1416/365*(I132+284)))* 3.1416 / 180))^2)^0.5))))</f>
        <v>1195.32231327519</v>
      </c>
      <c r="O132" s="0" t="n">
        <f aca="false">IF(K132&gt;=15,(0.00000000010508*K132^4 - 0.000000017492*K132^3 + 0.0000012363*K132^2 - 0.000044163*K132 + 0.0008144)*N132^2+( -0.000000028*K132^4 + 0.000013654*K132^3 - 0.0019426*K132^2 + 0.11006*K132 - 2.0905)*N132+0.000087115*K132^4 - 0.024852*K132^3 + 2.6437*K132^2 - 124.35*K132 + 2183.8,N132*0.3835-146.8)</f>
        <v>322.272099541815</v>
      </c>
      <c r="P132" s="0" t="n">
        <f aca="false">O132/2.02</f>
        <v>159.540643337532</v>
      </c>
      <c r="Q132" s="0" t="n">
        <v>271.232516381048</v>
      </c>
      <c r="R132" s="0" t="n">
        <f aca="false">(198.58*(1/(2/15*ACOS(-TAN(3.1416/180*K132)*TAN(3.1416/180*23.45*SIN((2*3.1416/365*(I132+284)))))/3.1416*180))^2+5.0551/(2/15*ACOS(-TAN(3.1416/180*K132)*TAN(3.1416/180*23.45*SIN((2*3.1416/365*(I132+284)))))/3.1416*180)+1.49)*P132*2.02</f>
        <v>1191.07062060957</v>
      </c>
    </row>
    <row r="133" customFormat="false" ht="15.75" hidden="false" customHeight="false" outlineLevel="0" collapsed="false">
      <c r="I133" s="181" t="n">
        <f aca="false">I132+1</f>
        <v>298</v>
      </c>
      <c r="J133" s="0" t="n">
        <v>12</v>
      </c>
      <c r="K133" s="181" t="n">
        <v>36.67</v>
      </c>
      <c r="L133" s="0" t="n">
        <f aca="false">23.45*SIN((2*3.1416/365*(I133+284)))</f>
        <v>-13.1228235151766</v>
      </c>
      <c r="M133" s="0" t="n">
        <f aca="false">2/15*ACOS(-TAN(3.1416/180*K133)*TAN(3.1416/180*23.45*SIN((2*3.1416/365*(I133+284)))))/3.1416*180</f>
        <v>10.6671795342581</v>
      </c>
      <c r="N133" s="0" t="n">
        <f aca="false">2084 * EXP(-0.174353387144778 / SIN(ATAN((--COS(K133 * 3.1416 / 180) * SIN((J133 - 6) * 3.1416/12) * COS(23.45*SIN((2*3.1416/365*(I133+284)))* 3.1416 / 180) + SIN(K133 * 3.1416 / 180) * SIN(23.45*SIN((2*3.1416/365*(I133+284)))* 3.1416 / 180))/(((COS((J133 - 6) * 3.1416/12) * COS(23.45*SIN((2*3.1416/365*(I133+284)))* 3.1416 / 180))^2+(-SIN(K133 * 3.1416 / 180) * SIN((J133 - 6) * 3.1416/12) * COS(23.45*SIN((2*3.1416/365*(I133+284)))* 3.1416 / 180) - -COS(K133 * 3.1416 / 180) * SIN(23.45*SIN((2*3.1416/365*(I133+284)))* 3.1416 / 180))^2)^0.5))))*(0.1+SIN(ATAN((--COS(K133 * 3.1416 / 180) * SIN((J133 - 6) * 3.1416/12) * COS(23.45*SIN((2*3.1416/365*(I133+284)))* 3.1416 / 180) + SIN(K133 * 3.1416 / 180) * SIN(23.45*SIN((2*3.1416/365*(I133+284)))* 3.1416 / 180))/(((COS((J133 - 6) * 3.1416/12) * COS(23.45*SIN((2*3.1416/365*(I133+284)))* 3.1416 / 180))^2+(-SIN(K133 * 3.1416 / 180) * SIN((J133 - 6) * 3.1416/12) * COS(23.45*SIN((2*3.1416/365*(I133+284)))* 3.1416 / 180) - -COS(K133 * 3.1416 / 180) * SIN(23.45*SIN((2*3.1416/365*(I133+284)))* 3.1416 / 180))^2)^0.5))))</f>
        <v>1185.98563340265</v>
      </c>
      <c r="O133" s="0" t="n">
        <f aca="false">IF(K133&gt;=15,(0.00000000010508*K133^4 - 0.000000017492*K133^3 + 0.0000012363*K133^2 - 0.000044163*K133 + 0.0008144)*N133^2+( -0.000000028*K133^4 + 0.000013654*K133^3 - 0.0019426*K133^2 + 0.11006*K133 - 2.0905)*N133+0.000087115*K133^4 - 0.024852*K133^3 + 2.6437*K133^2 - 124.35*K133 + 2183.8,N133*0.3835-146.8)</f>
        <v>318.574192712542</v>
      </c>
      <c r="P133" s="0" t="n">
        <f aca="false">O133/2.02</f>
        <v>157.709996392348</v>
      </c>
      <c r="Q133" s="0" t="n">
        <v>273.431002709173</v>
      </c>
      <c r="R133" s="0" t="n">
        <f aca="false">(198.58*(1/(2/15*ACOS(-TAN(3.1416/180*K133)*TAN(3.1416/180*23.45*SIN((2*3.1416/365*(I133+284)))))/3.1416*180))^2+5.0551/(2/15*ACOS(-TAN(3.1416/180*K133)*TAN(3.1416/180*23.45*SIN((2*3.1416/365*(I133+284)))))/3.1416*180)+1.49)*P133*2.02</f>
        <v>1181.60985452333</v>
      </c>
    </row>
    <row r="134" customFormat="false" ht="15.75" hidden="false" customHeight="false" outlineLevel="0" collapsed="false">
      <c r="I134" s="181" t="n">
        <f aca="false">I133+1</f>
        <v>299</v>
      </c>
      <c r="J134" s="0" t="n">
        <v>12</v>
      </c>
      <c r="K134" s="181" t="n">
        <v>36.67</v>
      </c>
      <c r="L134" s="0" t="n">
        <f aca="false">23.45*SIN((2*3.1416/365*(I134+284)))</f>
        <v>-13.4554104076531</v>
      </c>
      <c r="M134" s="0" t="n">
        <f aca="false">2/15*ACOS(-TAN(3.1416/180*K134)*TAN(3.1416/180*23.45*SIN((2*3.1416/365*(I134+284)))))/3.1416*180</f>
        <v>10.6317679022802</v>
      </c>
      <c r="N134" s="0" t="n">
        <f aca="false">2084 * EXP(-0.174353387144778 / SIN(ATAN((--COS(K134 * 3.1416 / 180) * SIN((J134 - 6) * 3.1416/12) * COS(23.45*SIN((2*3.1416/365*(I134+284)))* 3.1416 / 180) + SIN(K134 * 3.1416 / 180) * SIN(23.45*SIN((2*3.1416/365*(I134+284)))* 3.1416 / 180))/(((COS((J134 - 6) * 3.1416/12) * COS(23.45*SIN((2*3.1416/365*(I134+284)))* 3.1416 / 180))^2+(-SIN(K134 * 3.1416 / 180) * SIN((J134 - 6) * 3.1416/12) * COS(23.45*SIN((2*3.1416/365*(I134+284)))* 3.1416 / 180) - -COS(K134 * 3.1416 / 180) * SIN(23.45*SIN((2*3.1416/365*(I134+284)))* 3.1416 / 180))^2)^0.5))))*(0.1+SIN(ATAN((--COS(K134 * 3.1416 / 180) * SIN((J134 - 6) * 3.1416/12) * COS(23.45*SIN((2*3.1416/365*(I134+284)))* 3.1416 / 180) + SIN(K134 * 3.1416 / 180) * SIN(23.45*SIN((2*3.1416/365*(I134+284)))* 3.1416 / 180))/(((COS((J134 - 6) * 3.1416/12) * COS(23.45*SIN((2*3.1416/365*(I134+284)))* 3.1416 / 180))^2+(-SIN(K134 * 3.1416 / 180) * SIN((J134 - 6) * 3.1416/12) * COS(23.45*SIN((2*3.1416/365*(I134+284)))* 3.1416 / 180) - -COS(K134 * 3.1416 / 180) * SIN(23.45*SIN((2*3.1416/365*(I134+284)))* 3.1416 / 180))^2)^0.5))))</f>
        <v>1176.711222385</v>
      </c>
      <c r="O134" s="0" t="n">
        <f aca="false">IF(K134&gt;=15,(0.00000000010508*K134^4 - 0.000000017492*K134^3 + 0.0000012363*K134^2 - 0.000044163*K134 + 0.0008144)*N134^2+( -0.000000028*K134^4 + 0.000013654*K134^3 - 0.0019426*K134^2 + 0.11006*K134 - 2.0905)*N134+0.000087115*K134^4 - 0.024852*K134^3 + 2.6437*K134^2 - 124.35*K134 + 2183.8,N134*0.3835-146.8)</f>
        <v>314.932856357022</v>
      </c>
      <c r="P134" s="0" t="n">
        <f aca="false">O134/2.02</f>
        <v>155.907354632189</v>
      </c>
      <c r="Q134" s="0" t="n">
        <v>279.873893491683</v>
      </c>
      <c r="R134" s="0" t="n">
        <f aca="false">(198.58*(1/(2/15*ACOS(-TAN(3.1416/180*K134)*TAN(3.1416/180*23.45*SIN((2*3.1416/365*(I134+284)))))/3.1416*180))^2+5.0551/(2/15*ACOS(-TAN(3.1416/180*K134)*TAN(3.1416/180*23.45*SIN((2*3.1416/365*(I134+284)))))/3.1416*180)+1.49)*P134*2.02</f>
        <v>1172.26833225471</v>
      </c>
    </row>
    <row r="135" customFormat="false" ht="15.75" hidden="false" customHeight="false" outlineLevel="0" collapsed="false">
      <c r="I135" s="181" t="n">
        <f aca="false">I134+1</f>
        <v>300</v>
      </c>
      <c r="J135" s="0" t="n">
        <v>12</v>
      </c>
      <c r="K135" s="181" t="n">
        <v>36.67</v>
      </c>
      <c r="L135" s="0" t="n">
        <f aca="false">23.45*SIN((2*3.1416/365*(I135+284)))</f>
        <v>-13.7840101529874</v>
      </c>
      <c r="M135" s="0" t="n">
        <f aca="false">2/15*ACOS(-TAN(3.1416/180*K135)*TAN(3.1416/180*23.45*SIN((2*3.1416/365*(I135+284)))))/3.1416*180</f>
        <v>10.596654743694</v>
      </c>
      <c r="N135" s="0" t="n">
        <f aca="false">2084 * EXP(-0.174353387144778 / SIN(ATAN((--COS(K135 * 3.1416 / 180) * SIN((J135 - 6) * 3.1416/12) * COS(23.45*SIN((2*3.1416/365*(I135+284)))* 3.1416 / 180) + SIN(K135 * 3.1416 / 180) * SIN(23.45*SIN((2*3.1416/365*(I135+284)))* 3.1416 / 180))/(((COS((J135 - 6) * 3.1416/12) * COS(23.45*SIN((2*3.1416/365*(I135+284)))* 3.1416 / 180))^2+(-SIN(K135 * 3.1416 / 180) * SIN((J135 - 6) * 3.1416/12) * COS(23.45*SIN((2*3.1416/365*(I135+284)))* 3.1416 / 180) - -COS(K135 * 3.1416 / 180) * SIN(23.45*SIN((2*3.1416/365*(I135+284)))* 3.1416 / 180))^2)^0.5))))*(0.1+SIN(ATAN((--COS(K135 * 3.1416 / 180) * SIN((J135 - 6) * 3.1416/12) * COS(23.45*SIN((2*3.1416/365*(I135+284)))* 3.1416 / 180) + SIN(K135 * 3.1416 / 180) * SIN(23.45*SIN((2*3.1416/365*(I135+284)))* 3.1416 / 180))/(((COS((J135 - 6) * 3.1416/12) * COS(23.45*SIN((2*3.1416/365*(I135+284)))* 3.1416 / 180))^2+(-SIN(K135 * 3.1416 / 180) * SIN((J135 - 6) * 3.1416/12) * COS(23.45*SIN((2*3.1416/365*(I135+284)))* 3.1416 / 180) - -COS(K135 * 3.1416 / 180) * SIN(23.45*SIN((2*3.1416/365*(I135+284)))* 3.1416 / 180))^2)^0.5))))</f>
        <v>1167.50375141633</v>
      </c>
      <c r="O135" s="0" t="n">
        <f aca="false">IF(K135&gt;=15,(0.00000000010508*K135^4 - 0.000000017492*K135^3 + 0.0000012363*K135^2 - 0.000044163*K135 + 0.0008144)*N135^2+( -0.000000028*K135^4 + 0.000013654*K135^3 - 0.0019426*K135^2 + 0.11006*K135 - 2.0905)*N135+0.000087115*K135^4 - 0.024852*K135^3 + 2.6437*K135^2 - 124.35*K135 + 2183.8,N135*0.3835-146.8)</f>
        <v>311.34926002589</v>
      </c>
      <c r="P135" s="0" t="n">
        <f aca="false">O135/2.02</f>
        <v>154.13329704252</v>
      </c>
      <c r="Q135" s="0" t="n">
        <v>270.929801694808</v>
      </c>
      <c r="R135" s="0" t="n">
        <f aca="false">(198.58*(1/(2/15*ACOS(-TAN(3.1416/180*K135)*TAN(3.1416/180*23.45*SIN((2*3.1416/365*(I135+284)))))/3.1416*180))^2+5.0551/(2/15*ACOS(-TAN(3.1416/180*K135)*TAN(3.1416/180*23.45*SIN((2*3.1416/365*(I135+284)))))/3.1416*180)+1.49)*P135*2.02</f>
        <v>1163.05068928079</v>
      </c>
    </row>
    <row r="136" customFormat="false" ht="15.75" hidden="false" customHeight="false" outlineLevel="0" collapsed="false">
      <c r="I136" s="181" t="n">
        <f aca="false">I135+1</f>
        <v>301</v>
      </c>
      <c r="J136" s="0" t="n">
        <v>12</v>
      </c>
      <c r="K136" s="181" t="n">
        <v>36.67</v>
      </c>
      <c r="L136" s="0" t="n">
        <f aca="false">23.45*SIN((2*3.1416/365*(I136+284)))</f>
        <v>-14.1085253795279</v>
      </c>
      <c r="M136" s="0" t="n">
        <f aca="false">2/15*ACOS(-TAN(3.1416/180*K136)*TAN(3.1416/180*23.45*SIN((2*3.1416/365*(I136+284)))))/3.1416*180</f>
        <v>10.5618513698392</v>
      </c>
      <c r="N136" s="0" t="n">
        <f aca="false">2084 * EXP(-0.174353387144778 / SIN(ATAN((--COS(K136 * 3.1416 / 180) * SIN((J136 - 6) * 3.1416/12) * COS(23.45*SIN((2*3.1416/365*(I136+284)))* 3.1416 / 180) + SIN(K136 * 3.1416 / 180) * SIN(23.45*SIN((2*3.1416/365*(I136+284)))* 3.1416 / 180))/(((COS((J136 - 6) * 3.1416/12) * COS(23.45*SIN((2*3.1416/365*(I136+284)))* 3.1416 / 180))^2+(-SIN(K136 * 3.1416 / 180) * SIN((J136 - 6) * 3.1416/12) * COS(23.45*SIN((2*3.1416/365*(I136+284)))* 3.1416 / 180) - -COS(K136 * 3.1416 / 180) * SIN(23.45*SIN((2*3.1416/365*(I136+284)))* 3.1416 / 180))^2)^0.5))))*(0.1+SIN(ATAN((--COS(K136 * 3.1416 / 180) * SIN((J136 - 6) * 3.1416/12) * COS(23.45*SIN((2*3.1416/365*(I136+284)))* 3.1416 / 180) + SIN(K136 * 3.1416 / 180) * SIN(23.45*SIN((2*3.1416/365*(I136+284)))* 3.1416 / 180))/(((COS((J136 - 6) * 3.1416/12) * COS(23.45*SIN((2*3.1416/365*(I136+284)))* 3.1416 / 180))^2+(-SIN(K136 * 3.1416 / 180) * SIN((J136 - 6) * 3.1416/12) * COS(23.45*SIN((2*3.1416/365*(I136+284)))* 3.1416 / 180) - -COS(K136 * 3.1416 / 180) * SIN(23.45*SIN((2*3.1416/365*(I136+284)))* 3.1416 / 180))^2)^0.5))))</f>
        <v>1158.36787121384</v>
      </c>
      <c r="O136" s="0" t="n">
        <f aca="false">IF(K136&gt;=15,(0.00000000010508*K136^4 - 0.000000017492*K136^3 + 0.0000012363*K136^2 - 0.000044163*K136 + 0.0008144)*N136^2+( -0.000000028*K136^4 + 0.000013654*K136^3 - 0.0019426*K136^2 + 0.11006*K136 - 2.0905)*N136+0.000087115*K136^4 - 0.024852*K136^3 + 2.6437*K136^2 - 124.35*K136 + 2183.8,N136*0.3835-146.8)</f>
        <v>307.824506544576</v>
      </c>
      <c r="P136" s="0" t="n">
        <f aca="false">O136/2.02</f>
        <v>152.388369576523</v>
      </c>
      <c r="Q136" s="0" t="n">
        <v>221.285853232106</v>
      </c>
      <c r="R136" s="0" t="n">
        <f aca="false">(198.58*(1/(2/15*ACOS(-TAN(3.1416/180*K136)*TAN(3.1416/180*23.45*SIN((2*3.1416/365*(I136+284)))))/3.1416*180))^2+5.0551/(2/15*ACOS(-TAN(3.1416/180*K136)*TAN(3.1416/180*23.45*SIN((2*3.1416/365*(I136+284)))))/3.1416*180)+1.49)*P136*2.02</f>
        <v>1153.96137920102</v>
      </c>
    </row>
    <row r="137" customFormat="false" ht="15.75" hidden="false" customHeight="false" outlineLevel="0" collapsed="false">
      <c r="I137" s="181" t="n">
        <f aca="false">I136+1</f>
        <v>302</v>
      </c>
      <c r="J137" s="0" t="n">
        <v>12</v>
      </c>
      <c r="K137" s="181" t="n">
        <v>36.67</v>
      </c>
      <c r="L137" s="0" t="n">
        <f aca="false">23.45*SIN((2*3.1416/365*(I137+284)))</f>
        <v>-14.4288599259596</v>
      </c>
      <c r="M137" s="0" t="n">
        <f aca="false">2/15*ACOS(-TAN(3.1416/180*K137)*TAN(3.1416/180*23.45*SIN((2*3.1416/365*(I137+284)))))/3.1416*180</f>
        <v>10.5273692772414</v>
      </c>
      <c r="N137" s="0" t="n">
        <f aca="false">2084 * EXP(-0.174353387144778 / SIN(ATAN((--COS(K137 * 3.1416 / 180) * SIN((J137 - 6) * 3.1416/12) * COS(23.45*SIN((2*3.1416/365*(I137+284)))* 3.1416 / 180) + SIN(K137 * 3.1416 / 180) * SIN(23.45*SIN((2*3.1416/365*(I137+284)))* 3.1416 / 180))/(((COS((J137 - 6) * 3.1416/12) * COS(23.45*SIN((2*3.1416/365*(I137+284)))* 3.1416 / 180))^2+(-SIN(K137 * 3.1416 / 180) * SIN((J137 - 6) * 3.1416/12) * COS(23.45*SIN((2*3.1416/365*(I137+284)))* 3.1416 / 180) - -COS(K137 * 3.1416 / 180) * SIN(23.45*SIN((2*3.1416/365*(I137+284)))* 3.1416 / 180))^2)^0.5))))*(0.1+SIN(ATAN((--COS(K137 * 3.1416 / 180) * SIN((J137 - 6) * 3.1416/12) * COS(23.45*SIN((2*3.1416/365*(I137+284)))* 3.1416 / 180) + SIN(K137 * 3.1416 / 180) * SIN(23.45*SIN((2*3.1416/365*(I137+284)))* 3.1416 / 180))/(((COS((J137 - 6) * 3.1416/12) * COS(23.45*SIN((2*3.1416/365*(I137+284)))* 3.1416 / 180))^2+(-SIN(K137 * 3.1416 / 180) * SIN((J137 - 6) * 3.1416/12) * COS(23.45*SIN((2*3.1416/365*(I137+284)))* 3.1416 / 180) - -COS(K137 * 3.1416 / 180) * SIN(23.45*SIN((2*3.1416/365*(I137+284)))* 3.1416 / 180))^2)^0.5))))</f>
        <v>1149.30820839304</v>
      </c>
      <c r="O137" s="0" t="n">
        <f aca="false">IF(K137&gt;=15,(0.00000000010508*K137^4 - 0.000000017492*K137^3 + 0.0000012363*K137^2 - 0.000044163*K137 + 0.0008144)*N137^2+( -0.000000028*K137^4 + 0.000013654*K137^3 - 0.0019426*K137^2 + 0.11006*K137 - 2.0905)*N137+0.000087115*K137^4 - 0.024852*K137^3 + 2.6437*K137^2 - 124.35*K137 + 2183.8,N137*0.3835-146.8)</f>
        <v>304.359632172402</v>
      </c>
      <c r="P137" s="0" t="n">
        <f aca="false">O137/2.02</f>
        <v>150.673085233862</v>
      </c>
      <c r="Q137" s="0" t="n">
        <v>226.781655588457</v>
      </c>
      <c r="R137" s="0" t="n">
        <f aca="false">(198.58*(1/(2/15*ACOS(-TAN(3.1416/180*K137)*TAN(3.1416/180*23.45*SIN((2*3.1416/365*(I137+284)))))/3.1416*180))^2+5.0551/(2/15*ACOS(-TAN(3.1416/180*K137)*TAN(3.1416/180*23.45*SIN((2*3.1416/365*(I137+284)))))/3.1416*180)+1.49)*P137*2.02</f>
        <v>1145.00467002495</v>
      </c>
    </row>
    <row r="138" customFormat="false" ht="15.75" hidden="false" customHeight="false" outlineLevel="0" collapsed="false">
      <c r="I138" s="181" t="n">
        <f aca="false">I137+1</f>
        <v>303</v>
      </c>
      <c r="J138" s="0" t="n">
        <v>12</v>
      </c>
      <c r="K138" s="181" t="n">
        <v>36.67</v>
      </c>
      <c r="L138" s="0" t="n">
        <f aca="false">23.45*SIN((2*3.1416/365*(I138+284)))</f>
        <v>-14.744918869799</v>
      </c>
      <c r="M138" s="0" t="n">
        <f aca="false">2/15*ACOS(-TAN(3.1416/180*K138)*TAN(3.1416/180*23.45*SIN((2*3.1416/365*(I138+284)))))/3.1416*180</f>
        <v>10.4932201444029</v>
      </c>
      <c r="N138" s="0" t="n">
        <f aca="false">2084 * EXP(-0.174353387144778 / SIN(ATAN((--COS(K138 * 3.1416 / 180) * SIN((J138 - 6) * 3.1416/12) * COS(23.45*SIN((2*3.1416/365*(I138+284)))* 3.1416 / 180) + SIN(K138 * 3.1416 / 180) * SIN(23.45*SIN((2*3.1416/365*(I138+284)))* 3.1416 / 180))/(((COS((J138 - 6) * 3.1416/12) * COS(23.45*SIN((2*3.1416/365*(I138+284)))* 3.1416 / 180))^2+(-SIN(K138 * 3.1416 / 180) * SIN((J138 - 6) * 3.1416/12) * COS(23.45*SIN((2*3.1416/365*(I138+284)))* 3.1416 / 180) - -COS(K138 * 3.1416 / 180) * SIN(23.45*SIN((2*3.1416/365*(I138+284)))* 3.1416 / 180))^2)^0.5))))*(0.1+SIN(ATAN((--COS(K138 * 3.1416 / 180) * SIN((J138 - 6) * 3.1416/12) * COS(23.45*SIN((2*3.1416/365*(I138+284)))* 3.1416 / 180) + SIN(K138 * 3.1416 / 180) * SIN(23.45*SIN((2*3.1416/365*(I138+284)))* 3.1416 / 180))/(((COS((J138 - 6) * 3.1416/12) * COS(23.45*SIN((2*3.1416/365*(I138+284)))* 3.1416 / 180))^2+(-SIN(K138 * 3.1416 / 180) * SIN((J138 - 6) * 3.1416/12) * COS(23.45*SIN((2*3.1416/365*(I138+284)))* 3.1416 / 180) - -COS(K138 * 3.1416 / 180) * SIN(23.45*SIN((2*3.1416/365*(I138+284)))* 3.1416 / 180))^2)^0.5))))</f>
        <v>1140.32936189882</v>
      </c>
      <c r="O138" s="0" t="n">
        <f aca="false">IF(K138&gt;=15,(0.00000000010508*K138^4 - 0.000000017492*K138^3 + 0.0000012363*K138^2 - 0.000044163*K138 + 0.0008144)*N138^2+( -0.000000028*K138^4 + 0.000013654*K138^3 - 0.0019426*K138^2 + 0.11006*K138 - 2.0905)*N138+0.000087115*K138^4 - 0.024852*K138^3 + 2.6437*K138^2 - 124.35*K138 + 2183.8,N138*0.3835-146.8)</f>
        <v>300.95560692648</v>
      </c>
      <c r="P138" s="0" t="n">
        <f aca="false">O138/2.02</f>
        <v>148.98792422103</v>
      </c>
      <c r="Q138" s="0" t="n">
        <v>270.34427765877</v>
      </c>
      <c r="R138" s="0" t="n">
        <f aca="false">(198.58*(1/(2/15*ACOS(-TAN(3.1416/180*K138)*TAN(3.1416/180*23.45*SIN((2*3.1416/365*(I138+284)))))/3.1416*180))^2+5.0551/(2/15*ACOS(-TAN(3.1416/180*K138)*TAN(3.1416/180*23.45*SIN((2*3.1416/365*(I138+284)))))/3.1416*180)+1.49)*P138*2.02</f>
        <v>1136.18464097795</v>
      </c>
    </row>
    <row r="139" customFormat="false" ht="15.75" hidden="false" customHeight="false" outlineLevel="0" collapsed="false">
      <c r="I139" s="181" t="n">
        <f aca="false">I138+1</f>
        <v>304</v>
      </c>
      <c r="J139" s="0" t="n">
        <v>12</v>
      </c>
      <c r="K139" s="181" t="n">
        <v>36.67</v>
      </c>
      <c r="L139" s="0" t="n">
        <f aca="false">23.45*SIN((2*3.1416/365*(I139+284)))</f>
        <v>-15.056608555522</v>
      </c>
      <c r="M139" s="0" t="n">
        <f aca="false">2/15*ACOS(-TAN(3.1416/180*K139)*TAN(3.1416/180*23.45*SIN((2*3.1416/365*(I139+284)))))/3.1416*180</f>
        <v>10.4594158278586</v>
      </c>
      <c r="N139" s="0" t="n">
        <f aca="false">2084 * EXP(-0.174353387144778 / SIN(ATAN((--COS(K139 * 3.1416 / 180) * SIN((J139 - 6) * 3.1416/12) * COS(23.45*SIN((2*3.1416/365*(I139+284)))* 3.1416 / 180) + SIN(K139 * 3.1416 / 180) * SIN(23.45*SIN((2*3.1416/365*(I139+284)))* 3.1416 / 180))/(((COS((J139 - 6) * 3.1416/12) * COS(23.45*SIN((2*3.1416/365*(I139+284)))* 3.1416 / 180))^2+(-SIN(K139 * 3.1416 / 180) * SIN((J139 - 6) * 3.1416/12) * COS(23.45*SIN((2*3.1416/365*(I139+284)))* 3.1416 / 180) - -COS(K139 * 3.1416 / 180) * SIN(23.45*SIN((2*3.1416/365*(I139+284)))* 3.1416 / 180))^2)^0.5))))*(0.1+SIN(ATAN((--COS(K139 * 3.1416 / 180) * SIN((J139 - 6) * 3.1416/12) * COS(23.45*SIN((2*3.1416/365*(I139+284)))* 3.1416 / 180) + SIN(K139 * 3.1416 / 180) * SIN(23.45*SIN((2*3.1416/365*(I139+284)))* 3.1416 / 180))/(((COS((J139 - 6) * 3.1416/12) * COS(23.45*SIN((2*3.1416/365*(I139+284)))* 3.1416 / 180))^2+(-SIN(K139 * 3.1416 / 180) * SIN((J139 - 6) * 3.1416/12) * COS(23.45*SIN((2*3.1416/365*(I139+284)))* 3.1416 / 180) - -COS(K139 * 3.1416 / 180) * SIN(23.45*SIN((2*3.1416/365*(I139+284)))* 3.1416 / 180))^2)^0.5))))</f>
        <v>1131.43589949608</v>
      </c>
      <c r="O139" s="0" t="n">
        <f aca="false">IF(K139&gt;=15,(0.00000000010508*K139^4 - 0.000000017492*K139^3 + 0.0000012363*K139^2 - 0.000044163*K139 + 0.0008144)*N139^2+( -0.000000028*K139^4 + 0.000013654*K139^3 - 0.0019426*K139^2 + 0.11006*K139 - 2.0905)*N139+0.000087115*K139^4 - 0.024852*K139^3 + 2.6437*K139^2 - 124.35*K139 + 2183.8,N139*0.3835-146.8)</f>
        <v>297.613335066846</v>
      </c>
      <c r="P139" s="0" t="n">
        <f aca="false">O139/2.02</f>
        <v>147.333334191508</v>
      </c>
      <c r="Q139" s="0" t="n">
        <v>256.727629630796</v>
      </c>
      <c r="R139" s="0" t="n">
        <f aca="false">(198.58*(1/(2/15*ACOS(-TAN(3.1416/180*K139)*TAN(3.1416/180*23.45*SIN((2*3.1416/365*(I139+284)))))/3.1416*180))^2+5.0551/(2/15*ACOS(-TAN(3.1416/180*K139)*TAN(3.1416/180*23.45*SIN((2*3.1416/365*(I139+284)))))/3.1416*180)+1.49)*P139*2.02</f>
        <v>1127.50517983011</v>
      </c>
    </row>
    <row r="140" customFormat="false" ht="15.75" hidden="false" customHeight="false" outlineLevel="0" collapsed="false">
      <c r="I140" s="181"/>
      <c r="K140" s="181"/>
    </row>
    <row r="141" customFormat="false" ht="15.75" hidden="false" customHeight="false" outlineLevel="0" collapsed="false">
      <c r="I141" s="181"/>
      <c r="K141" s="181"/>
    </row>
    <row r="142" customFormat="false" ht="15.75" hidden="false" customHeight="false" outlineLevel="0" collapsed="false">
      <c r="I142" s="181"/>
      <c r="K142" s="181"/>
    </row>
    <row r="143" customFormat="false" ht="15.75" hidden="false" customHeight="false" outlineLevel="0" collapsed="false">
      <c r="I143" s="181"/>
      <c r="K143" s="181"/>
    </row>
    <row r="144" customFormat="false" ht="15.75" hidden="false" customHeight="false" outlineLevel="0" collapsed="false">
      <c r="I144" s="181"/>
      <c r="K144" s="181"/>
    </row>
    <row r="145" customFormat="false" ht="15.75" hidden="false" customHeight="false" outlineLevel="0" collapsed="false">
      <c r="I145" s="181"/>
      <c r="K145" s="181"/>
    </row>
    <row r="146" customFormat="false" ht="15.75" hidden="false" customHeight="false" outlineLevel="0" collapsed="false">
      <c r="I146" s="181"/>
      <c r="K146" s="181"/>
    </row>
    <row r="147" customFormat="false" ht="15.75" hidden="false" customHeight="false" outlineLevel="0" collapsed="false">
      <c r="I147" s="181"/>
      <c r="K147" s="181"/>
    </row>
    <row r="148" customFormat="false" ht="15.75" hidden="false" customHeight="false" outlineLevel="0" collapsed="false">
      <c r="I148" s="181"/>
      <c r="K148" s="181"/>
    </row>
    <row r="149" customFormat="false" ht="15.75" hidden="false" customHeight="false" outlineLevel="0" collapsed="false">
      <c r="I149" s="181"/>
      <c r="K149" s="181"/>
    </row>
    <row r="150" customFormat="false" ht="15.75" hidden="false" customHeight="false" outlineLevel="0" collapsed="false">
      <c r="I150" s="181"/>
      <c r="K150" s="181"/>
    </row>
    <row r="151" customFormat="false" ht="15.75" hidden="false" customHeight="false" outlineLevel="0" collapsed="false">
      <c r="I151" s="181"/>
      <c r="K151" s="181"/>
    </row>
    <row r="152" customFormat="false" ht="15.75" hidden="false" customHeight="false" outlineLevel="0" collapsed="false">
      <c r="I152" s="181"/>
      <c r="K152" s="181"/>
    </row>
    <row r="153" customFormat="false" ht="15.75" hidden="false" customHeight="false" outlineLevel="0" collapsed="false">
      <c r="I153" s="181"/>
      <c r="K153" s="181"/>
    </row>
    <row r="154" customFormat="false" ht="15.75" hidden="false" customHeight="false" outlineLevel="0" collapsed="false">
      <c r="I154" s="181"/>
      <c r="K154" s="181"/>
    </row>
    <row r="155" customFormat="false" ht="15.75" hidden="false" customHeight="false" outlineLevel="0" collapsed="false">
      <c r="I155" s="181"/>
      <c r="K155" s="181"/>
    </row>
    <row r="156" customFormat="false" ht="15.75" hidden="false" customHeight="false" outlineLevel="0" collapsed="false">
      <c r="I156" s="181"/>
      <c r="K156" s="181"/>
    </row>
    <row r="157" customFormat="false" ht="15.75" hidden="false" customHeight="false" outlineLevel="0" collapsed="false">
      <c r="I157" s="181"/>
      <c r="K157" s="181"/>
    </row>
    <row r="158" customFormat="false" ht="15.75" hidden="false" customHeight="false" outlineLevel="0" collapsed="false">
      <c r="I158" s="181"/>
      <c r="K158" s="181"/>
    </row>
    <row r="159" customFormat="false" ht="15.75" hidden="false" customHeight="false" outlineLevel="0" collapsed="false">
      <c r="I159" s="181"/>
      <c r="K159" s="181"/>
    </row>
    <row r="160" customFormat="false" ht="15.75" hidden="false" customHeight="false" outlineLevel="0" collapsed="false">
      <c r="I160" s="181"/>
      <c r="K160" s="181"/>
    </row>
    <row r="161" customFormat="false" ht="15.75" hidden="false" customHeight="false" outlineLevel="0" collapsed="false">
      <c r="I161" s="181"/>
      <c r="K161" s="181"/>
    </row>
    <row r="162" customFormat="false" ht="15.75" hidden="false" customHeight="false" outlineLevel="0" collapsed="false">
      <c r="I162" s="181"/>
      <c r="K162" s="181"/>
    </row>
    <row r="163" customFormat="false" ht="15.75" hidden="false" customHeight="false" outlineLevel="0" collapsed="false">
      <c r="I163" s="181"/>
      <c r="K163" s="181"/>
    </row>
    <row r="164" customFormat="false" ht="15.75" hidden="false" customHeight="false" outlineLevel="0" collapsed="false">
      <c r="I164" s="181"/>
      <c r="K164" s="18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Q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I5" activeCellId="0" sqref="I5"/>
    </sheetView>
  </sheetViews>
  <sheetFormatPr defaultColWidth="10.5" defaultRowHeight="15.75" zeroHeight="false" outlineLevelRow="0" outlineLevelCol="0"/>
  <cols>
    <col collapsed="false" customWidth="true" hidden="false" outlineLevel="0" max="2" min="2" style="0" width="8.66"/>
    <col collapsed="false" customWidth="true" hidden="false" outlineLevel="0" max="3" min="3" style="0" width="9.17"/>
    <col collapsed="false" customWidth="true" hidden="false" outlineLevel="0" max="4" min="4" style="0" width="13.5"/>
    <col collapsed="false" customWidth="true" hidden="false" outlineLevel="0" max="5" min="5" style="0" width="13.16"/>
    <col collapsed="false" customWidth="true" hidden="false" outlineLevel="0" max="6" min="6" style="0" width="20.16"/>
    <col collapsed="false" customWidth="true" hidden="false" outlineLevel="0" max="7" min="7" style="0" width="14.33"/>
    <col collapsed="false" customWidth="true" hidden="false" outlineLevel="0" max="8" min="8" style="0" width="15.5"/>
    <col collapsed="false" customWidth="true" hidden="false" outlineLevel="0" max="9" min="9" style="0" width="22.66"/>
    <col collapsed="false" customWidth="true" hidden="false" outlineLevel="0" max="10" min="10" style="0" width="18.83"/>
    <col collapsed="false" customWidth="true" hidden="false" outlineLevel="0" max="12" min="11" style="0" width="9.5"/>
    <col collapsed="false" customWidth="true" hidden="false" outlineLevel="0" max="13" min="13" style="0" width="14.16"/>
    <col collapsed="false" customWidth="true" hidden="false" outlineLevel="0" max="14" min="14" style="0" width="11"/>
    <col collapsed="false" customWidth="true" hidden="false" outlineLevel="0" max="15" min="15" style="0" width="10.66"/>
    <col collapsed="false" customWidth="true" hidden="false" outlineLevel="0" max="16" min="16" style="0" width="9.66"/>
    <col collapsed="false" customWidth="true" hidden="false" outlineLevel="0" max="17" min="17" style="0" width="9.5"/>
    <col collapsed="false" customWidth="true" hidden="false" outlineLevel="0" max="18" min="18" style="0" width="10"/>
    <col collapsed="false" customWidth="true" hidden="false" outlineLevel="0" max="19" min="19" style="0" width="9.66"/>
    <col collapsed="false" customWidth="true" hidden="false" outlineLevel="0" max="20" min="20" style="0" width="9.5"/>
    <col collapsed="false" customWidth="true" hidden="false" outlineLevel="0" max="21" min="21" style="0" width="10.66"/>
    <col collapsed="false" customWidth="true" hidden="false" outlineLevel="0" max="22" min="22" style="0" width="9.66"/>
    <col collapsed="false" customWidth="true" hidden="false" outlineLevel="0" max="23" min="23" style="0" width="9.5"/>
    <col collapsed="false" customWidth="true" hidden="false" outlineLevel="0" max="24" min="24" style="0" width="10"/>
    <col collapsed="false" customWidth="true" hidden="false" outlineLevel="0" max="25" min="25" style="0" width="15.84"/>
    <col collapsed="false" customWidth="true" hidden="false" outlineLevel="0" max="26" min="26" style="0" width="17.5"/>
    <col collapsed="false" customWidth="true" hidden="false" outlineLevel="0" max="27" min="27" style="0" width="11.5"/>
    <col collapsed="false" customWidth="true" hidden="false" outlineLevel="0" max="28" min="28" style="0" width="12.66"/>
    <col collapsed="false" customWidth="true" hidden="false" outlineLevel="0" max="29" min="29" style="0" width="15.33"/>
    <col collapsed="false" customWidth="true" hidden="false" outlineLevel="0" max="30" min="30" style="0" width="20"/>
    <col collapsed="false" customWidth="true" hidden="false" outlineLevel="0" max="31" min="31" style="0" width="21.66"/>
    <col collapsed="false" customWidth="true" hidden="false" outlineLevel="0" max="32" min="32" style="0" width="9.5"/>
    <col collapsed="false" customWidth="true" hidden="false" outlineLevel="0" max="33" min="33" style="0" width="11.66"/>
    <col collapsed="false" customWidth="true" hidden="false" outlineLevel="0" max="34" min="34" style="0" width="8.17"/>
    <col collapsed="false" customWidth="true" hidden="false" outlineLevel="0" max="35" min="35" style="0" width="20.5"/>
    <col collapsed="false" customWidth="true" hidden="false" outlineLevel="0" max="36" min="36" style="0" width="16.5"/>
    <col collapsed="false" customWidth="true" hidden="false" outlineLevel="0" max="37" min="37" style="0" width="16.67"/>
    <col collapsed="false" customWidth="true" hidden="false" outlineLevel="0" max="38" min="38" style="0" width="19.16"/>
    <col collapsed="false" customWidth="true" hidden="false" outlineLevel="0" max="39" min="39" style="0" width="15.16"/>
    <col collapsed="false" customWidth="true" hidden="false" outlineLevel="0" max="40" min="40" style="0" width="16.5"/>
    <col collapsed="false" customWidth="true" hidden="false" outlineLevel="0" max="43" min="41" style="0" width="20.66"/>
    <col collapsed="false" customWidth="true" hidden="false" outlineLevel="0" max="45" min="44" style="0" width="10.66"/>
    <col collapsed="false" customWidth="true" hidden="false" outlineLevel="0" max="46" min="46" style="0" width="8.5"/>
    <col collapsed="false" customWidth="true" hidden="false" outlineLevel="0" max="47" min="47" style="0" width="20.33"/>
    <col collapsed="false" customWidth="true" hidden="false" outlineLevel="0" max="48" min="48" style="0" width="14.16"/>
    <col collapsed="false" customWidth="true" hidden="false" outlineLevel="0" max="49" min="49" style="0" width="15.33"/>
    <col collapsed="false" customWidth="true" hidden="false" outlineLevel="0" max="50" min="50" style="0" width="15.16"/>
    <col collapsed="false" customWidth="true" hidden="false" outlineLevel="0" max="51" min="51" style="0" width="16.67"/>
    <col collapsed="false" customWidth="true" hidden="false" outlineLevel="0" max="52" min="52" style="0" width="13.5"/>
    <col collapsed="false" customWidth="true" hidden="false" outlineLevel="0" max="53" min="53" style="0" width="14.66"/>
    <col collapsed="false" customWidth="true" hidden="false" outlineLevel="0" max="54" min="54" style="0" width="13.66"/>
    <col collapsed="false" customWidth="true" hidden="false" outlineLevel="0" max="55" min="55" style="0" width="14.66"/>
    <col collapsed="false" customWidth="true" hidden="false" outlineLevel="0" max="56" min="56" style="0" width="16.5"/>
    <col collapsed="false" customWidth="true" hidden="false" outlineLevel="0" max="57" min="57" style="0" width="17.33"/>
    <col collapsed="false" customWidth="true" hidden="false" outlineLevel="0" max="58" min="58" style="0" width="9.5"/>
    <col collapsed="false" customWidth="true" hidden="false" outlineLevel="0" max="59" min="59" style="0" width="8.17"/>
    <col collapsed="false" customWidth="true" hidden="false" outlineLevel="0" max="61" min="61" style="0" width="9.5"/>
    <col collapsed="false" customWidth="true" hidden="false" outlineLevel="0" max="62" min="62" style="0" width="8.66"/>
    <col collapsed="false" customWidth="true" hidden="false" outlineLevel="0" max="63" min="63" style="0" width="9.83"/>
    <col collapsed="false" customWidth="true" hidden="false" outlineLevel="0" max="64" min="64" style="0" width="5.83"/>
    <col collapsed="false" customWidth="true" hidden="false" outlineLevel="0" max="65" min="65" style="0" width="5"/>
    <col collapsed="false" customWidth="true" hidden="false" outlineLevel="0" max="66" min="66" style="0" width="6.5"/>
  </cols>
  <sheetData>
    <row r="1" customFormat="false" ht="15.75" hidden="false" customHeight="false" outlineLevel="0" collapsed="false">
      <c r="B1" s="523" t="s">
        <v>1822</v>
      </c>
      <c r="C1" s="523"/>
      <c r="D1" s="523"/>
      <c r="E1" s="523"/>
      <c r="F1" s="523"/>
    </row>
    <row r="3" customFormat="false" ht="15.75" hidden="false" customHeight="false" outlineLevel="0" collapsed="false">
      <c r="D3" s="0" t="n">
        <f aca="false">('sureau_ini.txt'!ET36*'sureau_ini.txt'!CP36+'sureau_ini.txt'!EU36*'sureau_ini.txt'!CQ36+'sureau_ini.txt'!EV36*'sureau_ini.txt'!CR36)*B5/101.6</f>
        <v>1.66327108255928</v>
      </c>
      <c r="M3" s="468" t="s">
        <v>1823</v>
      </c>
      <c r="N3" s="468" t="s">
        <v>1824</v>
      </c>
      <c r="S3" s="468" t="s">
        <v>1054</v>
      </c>
      <c r="T3" s="468" t="s">
        <v>1825</v>
      </c>
      <c r="BF3" s="179" t="s">
        <v>1826</v>
      </c>
      <c r="BG3" s="420"/>
      <c r="BH3" s="420"/>
    </row>
    <row r="4" customFormat="false" ht="15.75" hidden="false" customHeight="false" outlineLevel="0" collapsed="false">
      <c r="B4" s="72" t="s">
        <v>1794</v>
      </c>
      <c r="C4" s="72" t="s">
        <v>1827</v>
      </c>
      <c r="D4" s="72" t="s">
        <v>1828</v>
      </c>
      <c r="E4" s="72" t="s">
        <v>1829</v>
      </c>
      <c r="F4" s="72" t="s">
        <v>1830</v>
      </c>
      <c r="G4" s="179" t="s">
        <v>1831</v>
      </c>
      <c r="H4" s="179" t="s">
        <v>1832</v>
      </c>
      <c r="I4" s="72" t="s">
        <v>1833</v>
      </c>
      <c r="J4" s="72" t="s">
        <v>1834</v>
      </c>
      <c r="K4" s="72" t="s">
        <v>1835</v>
      </c>
      <c r="L4" s="72" t="s">
        <v>1836</v>
      </c>
      <c r="M4" s="72" t="s">
        <v>1837</v>
      </c>
      <c r="N4" s="72" t="s">
        <v>1838</v>
      </c>
      <c r="O4" s="72" t="s">
        <v>115</v>
      </c>
      <c r="P4" s="72" t="s">
        <v>1839</v>
      </c>
      <c r="Q4" s="72" t="s">
        <v>1840</v>
      </c>
      <c r="R4" s="72" t="s">
        <v>1841</v>
      </c>
      <c r="S4" s="72" t="s">
        <v>1837</v>
      </c>
      <c r="T4" s="72" t="s">
        <v>1838</v>
      </c>
      <c r="U4" s="72" t="s">
        <v>115</v>
      </c>
      <c r="V4" s="72" t="s">
        <v>1839</v>
      </c>
      <c r="W4" s="72" t="s">
        <v>1840</v>
      </c>
      <c r="X4" s="72" t="s">
        <v>1841</v>
      </c>
      <c r="Y4" s="26" t="s">
        <v>1842</v>
      </c>
      <c r="Z4" s="72" t="s">
        <v>1843</v>
      </c>
      <c r="AA4" s="26" t="s">
        <v>1844</v>
      </c>
      <c r="AB4" s="26" t="s">
        <v>1845</v>
      </c>
      <c r="AC4" s="26" t="s">
        <v>1846</v>
      </c>
      <c r="AD4" s="179" t="s">
        <v>1847</v>
      </c>
      <c r="AE4" s="26" t="s">
        <v>1848</v>
      </c>
      <c r="AF4" s="26" t="s">
        <v>129</v>
      </c>
      <c r="AG4" s="26" t="s">
        <v>1849</v>
      </c>
      <c r="AH4" s="26" t="s">
        <v>1850</v>
      </c>
      <c r="AI4" s="72" t="s">
        <v>1851</v>
      </c>
      <c r="AJ4" s="72" t="s">
        <v>1852</v>
      </c>
      <c r="AK4" s="72" t="s">
        <v>138</v>
      </c>
      <c r="AL4" s="72" t="s">
        <v>1853</v>
      </c>
      <c r="AM4" s="72" t="s">
        <v>1854</v>
      </c>
      <c r="AN4" s="72" t="s">
        <v>1855</v>
      </c>
      <c r="AO4" s="72" t="s">
        <v>1856</v>
      </c>
      <c r="AP4" s="72" t="s">
        <v>1857</v>
      </c>
      <c r="AQ4" s="72" t="s">
        <v>1858</v>
      </c>
      <c r="AR4" s="26" t="s">
        <v>1859</v>
      </c>
      <c r="AS4" s="26" t="s">
        <v>272</v>
      </c>
      <c r="AT4" s="72" t="s">
        <v>1860</v>
      </c>
      <c r="AU4" s="72" t="s">
        <v>1861</v>
      </c>
      <c r="AV4" s="72" t="s">
        <v>1862</v>
      </c>
      <c r="AW4" s="72" t="s">
        <v>1863</v>
      </c>
      <c r="AX4" s="72" t="s">
        <v>1864</v>
      </c>
      <c r="AY4" s="72" t="s">
        <v>1865</v>
      </c>
      <c r="AZ4" s="72" t="s">
        <v>1866</v>
      </c>
      <c r="BA4" s="72" t="s">
        <v>1867</v>
      </c>
      <c r="BB4" s="72" t="s">
        <v>1868</v>
      </c>
      <c r="BC4" s="72" t="s">
        <v>1869</v>
      </c>
      <c r="BD4" s="72" t="s">
        <v>1870</v>
      </c>
      <c r="BE4" s="72" t="s">
        <v>1871</v>
      </c>
      <c r="BF4" s="179" t="s">
        <v>1837</v>
      </c>
      <c r="BG4" s="179" t="s">
        <v>1838</v>
      </c>
      <c r="BH4" s="179" t="s">
        <v>115</v>
      </c>
      <c r="BI4" s="179" t="s">
        <v>1839</v>
      </c>
      <c r="BJ4" s="179" t="s">
        <v>1840</v>
      </c>
      <c r="BK4" s="179" t="s">
        <v>1841</v>
      </c>
      <c r="BL4" s="72" t="s">
        <v>1872</v>
      </c>
      <c r="BM4" s="72" t="s">
        <v>341</v>
      </c>
      <c r="BN4" s="72" t="s">
        <v>1873</v>
      </c>
      <c r="BO4" s="524" t="s">
        <v>1874</v>
      </c>
      <c r="BP4" s="524" t="s">
        <v>1875</v>
      </c>
      <c r="BQ4" s="524" t="s">
        <v>1876</v>
      </c>
    </row>
    <row r="5" customFormat="false" ht="15.75" hidden="false" customHeight="false" outlineLevel="0" collapsed="false">
      <c r="A5" s="0" t="str">
        <f aca="false">'sureau_ini.txt'!A36</f>
        <v>Quercus </v>
      </c>
      <c r="B5" s="525" t="n">
        <f aca="false">VPD_max</f>
        <v>1.26741256491017</v>
      </c>
      <c r="C5" s="525" t="n">
        <f aca="false">'sureau_ini.txt'!DZ36</f>
        <v>0.5</v>
      </c>
      <c r="D5" s="525" t="n">
        <f aca="false">(1/(1/'sureau_ini.txt'!EU36+1/(1.5*(0.00662*('sureau_ini.txt'!AG36/'sureau_ini.txt'!DU36*1000)^0.5)*1000*40)+1/'sureau_ini.txt'!EN36)*B5/101.6)</f>
        <v>2.14461054398506</v>
      </c>
      <c r="E5" s="525" t="n">
        <f aca="false">'sureau_ini.txt'!CQ36/(1/'sureau_ini.txt'!EU36+1/(1.5*(0.00662*('sureau_ini.txt'!AG36/'sureau_ini.txt'!DU36*1000)^0.5)*1000*40)+1/'sureau_ini.txt'!EN36)*B5/101.6 + 'sureau_ini.txt'!CR36/(1/'sureau_ini.txt'!EV36+1/(1.5*(0.00662*('sureau_ini.txt'!AG36/'sureau_ini.txt'!DU36*1000)^0.5)*1000*40)+1/'sureau_ini.txt'!EN36)*B5/101.6 + 'sureau_ini.txt'!CS36/(1/'sureau_ini.txt'!EW36+1/(1.5*(0.00662*('sureau_ini.txt'!AG36/'sureau_ini.txt'!DU36*1000)^0.5)*1000*40)+1/'sureau_ini.txt'!EN36)*B5/101.6</f>
        <v>2.14461054398506</v>
      </c>
      <c r="F5" s="75" t="n">
        <f aca="false">E5/1000*18/AK5/100000*3600*C5</f>
        <v>11.796177170888</v>
      </c>
      <c r="G5" s="72" t="n">
        <v>-1.5</v>
      </c>
      <c r="H5" s="72" t="n">
        <v>0</v>
      </c>
      <c r="I5" s="75" t="n">
        <f aca="false">E5/(H5-G5)</f>
        <v>1.42974036265671</v>
      </c>
      <c r="J5" s="75" t="n">
        <f aca="false">I5*C5</f>
        <v>0.714870181328353</v>
      </c>
      <c r="K5" s="75" t="n">
        <f aca="false">1/I5</f>
        <v>0.699427690592596</v>
      </c>
      <c r="L5" s="75" t="n">
        <f aca="false">1/J5</f>
        <v>1.39885538118519</v>
      </c>
      <c r="M5" s="526" t="n">
        <f aca="false">1/(1/'Allometric tree'!I5*'Allometric tree'!BF5/100)</f>
        <v>7.14870181328353</v>
      </c>
      <c r="N5" s="526" t="n">
        <f aca="false">1/(1/'Allometric tree'!I5*'Allometric tree'!BG5/100)</f>
        <v>7.14870181328353</v>
      </c>
      <c r="O5" s="30" t="n">
        <f aca="false">1/(1/'Allometric tree'!I5*'Allometric tree'!BH5/100)</f>
        <v>17.8717545332088</v>
      </c>
      <c r="P5" s="30" t="n">
        <f aca="false">1/(1/'Allometric tree'!I5*'Allometric tree'!BI5/100)</f>
        <v>71.4870181328353</v>
      </c>
      <c r="Q5" s="30" t="n">
        <f aca="false">1/(1/'Allometric tree'!I5*'Allometric tree'!BJ5/100)</f>
        <v>14.2974036265671</v>
      </c>
      <c r="R5" s="526" t="n">
        <f aca="false">1/(1/'Allometric tree'!I5*'Allometric tree'!BK5/100)</f>
        <v>3.57435090664177</v>
      </c>
      <c r="S5" s="30" t="n">
        <f aca="false">M5*'Allometric tree'!C5</f>
        <v>3.57435090664177</v>
      </c>
      <c r="T5" s="30" t="n">
        <f aca="false">N5*'Allometric tree'!C5</f>
        <v>3.57435090664177</v>
      </c>
      <c r="U5" s="526" t="n">
        <f aca="false">O5*'Allometric tree'!C5</f>
        <v>8.93587726660441</v>
      </c>
      <c r="V5" s="526" t="n">
        <f aca="false">P5*'Allometric tree'!C5</f>
        <v>35.7435090664177</v>
      </c>
      <c r="W5" s="526" t="n">
        <f aca="false">Q5*'Allometric tree'!C5</f>
        <v>7.14870181328353</v>
      </c>
      <c r="X5" s="30" t="n">
        <f aca="false">R5*'Allometric tree'!C5</f>
        <v>1.78717545332088</v>
      </c>
      <c r="Y5" s="525" t="n">
        <f aca="false">'sureau_ini.txt'!DG36</f>
        <v>0.5</v>
      </c>
      <c r="Z5" s="527" t="n">
        <f aca="false">AK5/C5</f>
        <v>0.00011781</v>
      </c>
      <c r="AA5" s="525" t="n">
        <f aca="false">'sureau_ini.txt'!DE36</f>
        <v>0.4</v>
      </c>
      <c r="AB5" s="525" t="n">
        <f aca="false">'sureau_ini.txt'!DF36</f>
        <v>0.2</v>
      </c>
      <c r="AC5" s="525" t="n">
        <v>1</v>
      </c>
      <c r="AD5" s="72" t="n">
        <v>0.1</v>
      </c>
      <c r="AE5" s="525" t="n">
        <f aca="false">'sureau_ini.txt'!$E$21</f>
        <v>1</v>
      </c>
      <c r="AF5" s="525" t="n">
        <f aca="false">'sureau_ini.txt'!DC36+'sureau_ini.txt'!CU36</f>
        <v>1</v>
      </c>
      <c r="AG5" s="525" t="n">
        <f aca="false">'sureau_ini.txt'!DC36</f>
        <v>0.5</v>
      </c>
      <c r="AH5" s="525" t="n">
        <f aca="false">'sureau_ini.txt'!DD36*100</f>
        <v>1</v>
      </c>
      <c r="AI5" s="75" t="n">
        <f aca="false">AH5/2*Y5</f>
        <v>0.25</v>
      </c>
      <c r="AJ5" s="75" t="n">
        <f aca="false">100*(AH5/100-SQRT(AH5/100*AH5/100-4*AW5/1000/AG5/3.1416))/2</f>
        <v>0.0390227771353556</v>
      </c>
      <c r="AK5" s="75" t="n">
        <f aca="false">(3.1416/4*(AH5^2)-3.1416*(AH5/2-AI5)^2)/10000</f>
        <v>5.8905E-005</v>
      </c>
      <c r="AL5" s="75" t="n">
        <f aca="false">AK5*AF5</f>
        <v>5.8905E-005</v>
      </c>
      <c r="AM5" s="75" t="n">
        <f aca="false">AL5*AA5*1000</f>
        <v>0.023562</v>
      </c>
      <c r="AN5" s="75" t="n">
        <f aca="false">AL5*1000*AB5</f>
        <v>0.011781</v>
      </c>
      <c r="AO5" s="75" t="n">
        <f aca="false">AK5*AG5</f>
        <v>2.94525E-005</v>
      </c>
      <c r="AP5" s="75" t="n">
        <f aca="false">AH5*AH5*3.1416/4/C5</f>
        <v>1.5708</v>
      </c>
      <c r="AQ5" s="75" t="n">
        <f aca="false">AK5*10000/C5</f>
        <v>1.1781</v>
      </c>
      <c r="AR5" s="525" t="n">
        <f aca="false">('sureau_ini.txt'!CP36/2*'sureau_ini.txt'!CP36/2*3.1416)</f>
        <v>0.19635</v>
      </c>
      <c r="AS5" s="525" t="n">
        <f aca="false">C5/AR5</f>
        <v>2.54647313470843</v>
      </c>
      <c r="AT5" s="75" t="n">
        <f aca="false">10000/AR5</f>
        <v>50929.4626941686</v>
      </c>
      <c r="AU5" s="75" t="n">
        <f aca="false">AH5*AH5*3.1416/4/10000*AT5</f>
        <v>4</v>
      </c>
      <c r="AV5" s="528" t="n">
        <f aca="false">AO5*AA5*1000</f>
        <v>0.011781</v>
      </c>
      <c r="AW5" s="528" t="n">
        <f aca="false">AO5*1000*AB5</f>
        <v>0.0058905</v>
      </c>
      <c r="AX5" s="528" t="n">
        <f aca="false">AM5-AV5</f>
        <v>0.011781</v>
      </c>
      <c r="AY5" s="528" t="n">
        <f aca="false">AN5-AW5</f>
        <v>0.0058905</v>
      </c>
      <c r="AZ5" s="528" t="n">
        <f aca="false">AM5*AC5</f>
        <v>0.023562</v>
      </c>
      <c r="BA5" s="528" t="n">
        <f aca="false">AN5*AC5</f>
        <v>0.011781</v>
      </c>
      <c r="BB5" s="528" t="n">
        <f aca="false">3.1416*AH5*AG5/100</f>
        <v>0.015708</v>
      </c>
      <c r="BC5" s="528" t="n">
        <f aca="false">C5*AD5</f>
        <v>0.05</v>
      </c>
      <c r="BD5" s="528" t="n">
        <f aca="false">C5*AE5</f>
        <v>0.5</v>
      </c>
      <c r="BE5" s="528" t="n">
        <f aca="false">BD5+BC5*AC5</f>
        <v>0.55</v>
      </c>
      <c r="BF5" s="72" t="n">
        <v>20</v>
      </c>
      <c r="BG5" s="72" t="n">
        <v>20</v>
      </c>
      <c r="BH5" s="72" t="n">
        <v>8</v>
      </c>
      <c r="BI5" s="72" t="n">
        <v>2</v>
      </c>
      <c r="BJ5" s="72" t="n">
        <v>10</v>
      </c>
      <c r="BK5" s="72" t="n">
        <v>40</v>
      </c>
      <c r="BL5" s="75" t="n">
        <f aca="false">SUM(BF5:BI5)</f>
        <v>50</v>
      </c>
      <c r="BM5" s="75" t="n">
        <f aca="false">BJ5+BK5</f>
        <v>50</v>
      </c>
      <c r="BN5" s="75" t="n">
        <f aca="false">SUM(BF5:BK5)</f>
        <v>100</v>
      </c>
      <c r="BO5" s="0" t="n">
        <f aca="false">AV5+AW5+AX5+AY5+AZ5+BA5+C5*'sureau_ini.txt'!EI36/1000</f>
        <v>0.13273727695</v>
      </c>
      <c r="BP5" s="0" t="n">
        <f aca="false">AV5+AX5+AZ5 +C5*'sureau_ini.txt'!EI36*'sureau_ini.txt'!EJ36/1000</f>
        <v>0.0626368192375</v>
      </c>
      <c r="BQ5" s="0" t="n">
        <f aca="false">BO5-BP5</f>
        <v>0.0701004577125</v>
      </c>
    </row>
    <row r="6" customFormat="false" ht="15.75" hidden="false" customHeight="false" outlineLevel="0" collapsed="false">
      <c r="A6" s="0" t="e">
        <f aca="false">sureau_ini.txt!#ref!</f>
        <v>#NAME?</v>
      </c>
      <c r="B6" s="525" t="n">
        <f aca="false">VPD_max</f>
        <v>1.26741256491017</v>
      </c>
      <c r="C6" s="525" t="e">
        <f aca="false">sureau_ini.txt!#ref!</f>
        <v>#NAME?</v>
      </c>
      <c r="D6" s="525" t="e">
        <f aca="false">(1/(1/sureau_ini.txt!#ref!+1/(1.5*(0.00662*(sureau_ini.txt!#ref!/sureau_ini.txt!#ref!*1000)^0.5)*1000*40)+1/sureau_ini.txt!#ref!)*B6/101.6)</f>
        <v>#NAME?</v>
      </c>
      <c r="E6" s="525" t="e">
        <f aca="false">sureau_ini.txt!#ref!/(1/sureau_ini.txt!#ref!+1/(1.5*(0.00662*(sureau_ini.txt!#ref!/sureau_ini.txt!#ref!*1000)^0.5)*1000*40)+1/sureau_ini.txt!#ref!)*B6/101.6 + sureau_ini.txt!#ref!/(1/sureau_ini.txt!#ref!+1/(1.5*(0.00662*(sureau_ini.txt!#ref!/sureau_ini.txt!#ref!*1000)^0.5)*1000*40)+1/sureau_ini.txt!#ref!)*B6/101.6 + sureau_ini.txt!#ref!/(1/sureau_ini.txt!#ref!+1/(1.5*(0.00662*(sureau_ini.txt!#ref!/sureau_ini.txt!#ref!*1000)^0.5)*1000*40)+1/sureau_ini.txt!#ref!)*B6/101.6</f>
        <v>#NAME?</v>
      </c>
      <c r="F6" s="75" t="e">
        <f aca="false">E6/1000*18/AK6/100000*3600*C6</f>
        <v>#NAME?</v>
      </c>
      <c r="G6" s="72" t="n">
        <v>-1.5</v>
      </c>
      <c r="H6" s="72" t="n">
        <v>0</v>
      </c>
      <c r="I6" s="75" t="e">
        <f aca="false">E6/(H6-G6)</f>
        <v>#NAME?</v>
      </c>
      <c r="J6" s="75" t="e">
        <f aca="false">I6*C6</f>
        <v>#NAME?</v>
      </c>
      <c r="K6" s="75" t="e">
        <f aca="false">1/I6</f>
        <v>#NAME?</v>
      </c>
      <c r="L6" s="75" t="e">
        <f aca="false">1/J6</f>
        <v>#NAME?</v>
      </c>
      <c r="M6" s="526" t="e">
        <f aca="false">1/(1/'Allometric tree'!I6*'Allometric tree'!BF6/100)</f>
        <v>#NAME?</v>
      </c>
      <c r="N6" s="526" t="e">
        <f aca="false">1/(1/'Allometric tree'!I6*'Allometric tree'!BG6/100)</f>
        <v>#NAME?</v>
      </c>
      <c r="O6" s="30" t="e">
        <f aca="false">1/(1/'Allometric tree'!I6*'Allometric tree'!BH6/100)</f>
        <v>#NAME?</v>
      </c>
      <c r="P6" s="30" t="e">
        <f aca="false">1/(1/'Allometric tree'!I6*'Allometric tree'!BI6/100)</f>
        <v>#NAME?</v>
      </c>
      <c r="Q6" s="30" t="e">
        <f aca="false">1/(1/'Allometric tree'!I6*'Allometric tree'!BJ6/100)</f>
        <v>#NAME?</v>
      </c>
      <c r="R6" s="526" t="e">
        <f aca="false">1/(1/'Allometric tree'!I6*'Allometric tree'!BK6/100)</f>
        <v>#NAME?</v>
      </c>
      <c r="S6" s="30" t="e">
        <f aca="false">M6*'Allometric tree'!C6</f>
        <v>#NAME?</v>
      </c>
      <c r="T6" s="30" t="e">
        <f aca="false">N6*'Allometric tree'!C6</f>
        <v>#NAME?</v>
      </c>
      <c r="U6" s="526" t="e">
        <f aca="false">O6*'Allometric tree'!C6</f>
        <v>#NAME?</v>
      </c>
      <c r="V6" s="526" t="e">
        <f aca="false">P6*'Allometric tree'!C6</f>
        <v>#NAME?</v>
      </c>
      <c r="W6" s="526" t="e">
        <f aca="false">Q6*'Allometric tree'!C6</f>
        <v>#NAME?</v>
      </c>
      <c r="X6" s="30" t="e">
        <f aca="false">R6*'Allometric tree'!C6</f>
        <v>#NAME?</v>
      </c>
      <c r="Y6" s="525" t="e">
        <f aca="false">sureau_ini.txt!#ref!</f>
        <v>#NAME?</v>
      </c>
      <c r="Z6" s="527" t="e">
        <f aca="false">AK6/C6</f>
        <v>#NAME?</v>
      </c>
      <c r="AA6" s="525" t="e">
        <f aca="false">sureau_ini.txt!#ref!</f>
        <v>#NAME?</v>
      </c>
      <c r="AB6" s="525" t="e">
        <f aca="false">sureau_ini.txt!#ref!</f>
        <v>#NAME?</v>
      </c>
      <c r="AC6" s="525" t="n">
        <v>1</v>
      </c>
      <c r="AD6" s="72" t="n">
        <v>0.1</v>
      </c>
      <c r="AE6" s="525" t="n">
        <f aca="false">'sureau_ini.txt'!$E$21</f>
        <v>1</v>
      </c>
      <c r="AF6" s="525" t="e">
        <f aca="false">sureau_ini.txt!#ref!+sureau_ini.txt!#ref!</f>
        <v>#NAME?</v>
      </c>
      <c r="AG6" s="525" t="e">
        <f aca="false">sureau_ini.txt!#ref!</f>
        <v>#NAME?</v>
      </c>
      <c r="AH6" s="525" t="e">
        <f aca="false">sureau_ini.txt!#ref!*100</f>
        <v>#NAME?</v>
      </c>
      <c r="AI6" s="75" t="e">
        <f aca="false">AH6/2*Y6</f>
        <v>#NAME?</v>
      </c>
      <c r="AJ6" s="75" t="e">
        <f aca="false">100*(AH6/100-SQRT(AH6/100*AH6/100-4*AW6/1000/AG6/3.1416))/2</f>
        <v>#NAME?</v>
      </c>
      <c r="AK6" s="75" t="e">
        <f aca="false">(3.1416/4*(AH6^2)-3.1416*(AH6/2-AI6)^2)/10000</f>
        <v>#NAME?</v>
      </c>
      <c r="AL6" s="75" t="e">
        <f aca="false">AK6*AF6</f>
        <v>#NAME?</v>
      </c>
      <c r="AM6" s="75" t="e">
        <f aca="false">AL6*AA6*1000</f>
        <v>#NAME?</v>
      </c>
      <c r="AN6" s="75" t="e">
        <f aca="false">AL6*1000*AB6</f>
        <v>#NAME?</v>
      </c>
      <c r="AO6" s="75" t="e">
        <f aca="false">AK6*AG6</f>
        <v>#NAME?</v>
      </c>
      <c r="AP6" s="75" t="e">
        <f aca="false">AH6*AH6*3.1416/4/C6</f>
        <v>#NAME?</v>
      </c>
      <c r="AQ6" s="75" t="e">
        <f aca="false">AK6*10000/C6</f>
        <v>#NAME?</v>
      </c>
      <c r="AR6" s="525" t="e">
        <f aca="false">(sureau_ini.txt!#ref!/2*sureau_ini.txt!#ref!/2*3.1416)</f>
        <v>#NAME?</v>
      </c>
      <c r="AS6" s="525" t="e">
        <f aca="false">C6/AR6</f>
        <v>#NAME?</v>
      </c>
      <c r="AT6" s="75" t="e">
        <f aca="false">10000/AR6</f>
        <v>#NAME?</v>
      </c>
      <c r="AU6" s="75" t="e">
        <f aca="false">AH6*AH6*3.1416/4/10000*AT6</f>
        <v>#NAME?</v>
      </c>
      <c r="AV6" s="528" t="e">
        <f aca="false">AO6*AA6*1000</f>
        <v>#NAME?</v>
      </c>
      <c r="AW6" s="528" t="e">
        <f aca="false">AO6*1000*AB6</f>
        <v>#NAME?</v>
      </c>
      <c r="AX6" s="528" t="e">
        <f aca="false">AM6-AV6</f>
        <v>#NAME?</v>
      </c>
      <c r="AY6" s="528" t="e">
        <f aca="false">AN6-AW6</f>
        <v>#NAME?</v>
      </c>
      <c r="AZ6" s="528" t="e">
        <f aca="false">AM6*AC6</f>
        <v>#NAME?</v>
      </c>
      <c r="BA6" s="528" t="e">
        <f aca="false">AN6*AC6</f>
        <v>#NAME?</v>
      </c>
      <c r="BB6" s="528" t="e">
        <f aca="false">3.1416*AH6*AG6/100</f>
        <v>#NAME?</v>
      </c>
      <c r="BC6" s="528" t="e">
        <f aca="false">C6*AD6</f>
        <v>#NAME?</v>
      </c>
      <c r="BD6" s="528" t="e">
        <f aca="false">C6*AE6</f>
        <v>#NAME?</v>
      </c>
      <c r="BE6" s="528" t="e">
        <f aca="false">BD6+BC6*AC6</f>
        <v>#NAME?</v>
      </c>
      <c r="BF6" s="72" t="n">
        <v>20</v>
      </c>
      <c r="BG6" s="72" t="n">
        <v>20</v>
      </c>
      <c r="BH6" s="72" t="n">
        <v>8</v>
      </c>
      <c r="BI6" s="72" t="n">
        <v>2</v>
      </c>
      <c r="BJ6" s="72" t="n">
        <v>10</v>
      </c>
      <c r="BK6" s="72" t="n">
        <v>40</v>
      </c>
      <c r="BL6" s="75" t="n">
        <f aca="false">SUM(BF6:BI6)</f>
        <v>50</v>
      </c>
      <c r="BM6" s="75" t="n">
        <f aca="false">BJ6+BK6</f>
        <v>50</v>
      </c>
      <c r="BN6" s="75" t="n">
        <f aca="false">SUM(BF6:BK6)</f>
        <v>100</v>
      </c>
      <c r="BO6" s="0" t="e">
        <f aca="false">AV6+AW6+AX6+AY6+AZ6+BA6+C6*sureau_ini.txt!#ref!/1000</f>
        <v>#NAME?</v>
      </c>
      <c r="BP6" s="0" t="e">
        <f aca="false">AV6+AX6+AZ6 +C6*sureau_ini.txt!#ref!*sureau_ini.txt!#ref!/1000</f>
        <v>#NAME?</v>
      </c>
      <c r="BQ6" s="0" t="e">
        <f aca="false">BO6-BP6</f>
        <v>#NAME?</v>
      </c>
    </row>
    <row r="7" customFormat="false" ht="15.75" hidden="false" customHeight="false" outlineLevel="0" collapsed="false">
      <c r="A7" s="0" t="e">
        <f aca="false">sureau_ini.txt!#ref!</f>
        <v>#NAME?</v>
      </c>
      <c r="B7" s="525" t="n">
        <f aca="false">VPD_max</f>
        <v>1.26741256491017</v>
      </c>
      <c r="C7" s="525" t="e">
        <f aca="false">sureau_ini.txt!#ref!</f>
        <v>#NAME?</v>
      </c>
      <c r="D7" s="525" t="e">
        <f aca="false">(1/(1/sureau_ini.txt!#ref!+1/(1.5*(0.00662*(sureau_ini.txt!#ref!/sureau_ini.txt!#ref!*1000)^0.5)*1000*40)+1/sureau_ini.txt!#ref!)*B7/101.6)</f>
        <v>#NAME?</v>
      </c>
      <c r="E7" s="525" t="e">
        <f aca="false">sureau_ini.txt!#ref!/(1/sureau_ini.txt!#ref!+1/(1.5*(0.00662*(sureau_ini.txt!#ref!/sureau_ini.txt!#ref!*1000)^0.5)*1000*40)+1/sureau_ini.txt!#ref!)*B7/101.6 + sureau_ini.txt!#ref!/(1/sureau_ini.txt!#ref!+1/(1.5*(0.00662*(sureau_ini.txt!#ref!/sureau_ini.txt!#ref!*1000)^0.5)*1000*40)+1/sureau_ini.txt!#ref!)*B7/101.6 + sureau_ini.txt!#ref!/(1/sureau_ini.txt!#ref!+1/(1.5*(0.00662*(sureau_ini.txt!#ref!/sureau_ini.txt!#ref!*1000)^0.5)*1000*40)+1/sureau_ini.txt!#ref!)*B7/101.6</f>
        <v>#NAME?</v>
      </c>
      <c r="F7" s="75" t="e">
        <f aca="false">E7/1000*18/AK7/100000*3600*C7</f>
        <v>#NAME?</v>
      </c>
      <c r="G7" s="72" t="n">
        <v>-1.5</v>
      </c>
      <c r="H7" s="72" t="n">
        <v>0</v>
      </c>
      <c r="I7" s="75" t="e">
        <f aca="false">E7/(H7-G7)</f>
        <v>#NAME?</v>
      </c>
      <c r="J7" s="75" t="e">
        <f aca="false">I7*C7</f>
        <v>#NAME?</v>
      </c>
      <c r="K7" s="75" t="e">
        <f aca="false">1/I7</f>
        <v>#NAME?</v>
      </c>
      <c r="L7" s="75" t="e">
        <f aca="false">1/J7</f>
        <v>#NAME?</v>
      </c>
      <c r="M7" s="526" t="e">
        <f aca="false">1/(1/'Allometric tree'!I7*'Allometric tree'!BF7/100)</f>
        <v>#NAME?</v>
      </c>
      <c r="N7" s="526" t="e">
        <f aca="false">1/(1/'Allometric tree'!I7*'Allometric tree'!BG7/100)</f>
        <v>#NAME?</v>
      </c>
      <c r="O7" s="30" t="e">
        <f aca="false">1/(1/'Allometric tree'!I7*'Allometric tree'!BH7/100)</f>
        <v>#NAME?</v>
      </c>
      <c r="P7" s="30" t="e">
        <f aca="false">1/(1/'Allometric tree'!I7*'Allometric tree'!BI7/100)</f>
        <v>#NAME?</v>
      </c>
      <c r="Q7" s="30" t="e">
        <f aca="false">1/(1/'Allometric tree'!I7*'Allometric tree'!BJ7/100)</f>
        <v>#NAME?</v>
      </c>
      <c r="R7" s="526" t="e">
        <f aca="false">1/(1/'Allometric tree'!I7*'Allometric tree'!BK7/100)</f>
        <v>#NAME?</v>
      </c>
      <c r="S7" s="30" t="e">
        <f aca="false">M7*'Allometric tree'!C7</f>
        <v>#NAME?</v>
      </c>
      <c r="T7" s="30" t="e">
        <f aca="false">N7*'Allometric tree'!C7</f>
        <v>#NAME?</v>
      </c>
      <c r="U7" s="526" t="e">
        <f aca="false">O7*'Allometric tree'!C7</f>
        <v>#NAME?</v>
      </c>
      <c r="V7" s="526" t="e">
        <f aca="false">P7*'Allometric tree'!C7</f>
        <v>#NAME?</v>
      </c>
      <c r="W7" s="526" t="e">
        <f aca="false">Q7*'Allometric tree'!C7</f>
        <v>#NAME?</v>
      </c>
      <c r="X7" s="30" t="e">
        <f aca="false">R7*'Allometric tree'!C7</f>
        <v>#NAME?</v>
      </c>
      <c r="Y7" s="525" t="e">
        <f aca="false">sureau_ini.txt!#ref!</f>
        <v>#NAME?</v>
      </c>
      <c r="Z7" s="527" t="e">
        <f aca="false">AK7/C7</f>
        <v>#NAME?</v>
      </c>
      <c r="AA7" s="525" t="e">
        <f aca="false">sureau_ini.txt!#ref!</f>
        <v>#NAME?</v>
      </c>
      <c r="AB7" s="525" t="e">
        <f aca="false">sureau_ini.txt!#ref!</f>
        <v>#NAME?</v>
      </c>
      <c r="AC7" s="525" t="n">
        <v>1</v>
      </c>
      <c r="AD7" s="72" t="n">
        <v>0.1</v>
      </c>
      <c r="AE7" s="525" t="n">
        <f aca="false">'sureau_ini.txt'!$E$21</f>
        <v>1</v>
      </c>
      <c r="AF7" s="525" t="e">
        <f aca="false">sureau_ini.txt!#ref!+sureau_ini.txt!#ref!</f>
        <v>#NAME?</v>
      </c>
      <c r="AG7" s="525" t="e">
        <f aca="false">sureau_ini.txt!#ref!</f>
        <v>#NAME?</v>
      </c>
      <c r="AH7" s="525" t="e">
        <f aca="false">sureau_ini.txt!#ref!*100</f>
        <v>#NAME?</v>
      </c>
      <c r="AI7" s="75" t="e">
        <f aca="false">AH7/2*Y7</f>
        <v>#NAME?</v>
      </c>
      <c r="AJ7" s="75" t="e">
        <f aca="false">100*(AH7/100-SQRT(AH7/100*AH7/100-4*AW7/1000/AG7/3.1416))/2</f>
        <v>#NAME?</v>
      </c>
      <c r="AK7" s="75" t="e">
        <f aca="false">(3.1416/4*(AH7^2)-3.1416*(AH7/2-AI7)^2)/10000</f>
        <v>#NAME?</v>
      </c>
      <c r="AL7" s="75" t="e">
        <f aca="false">AK7*AF7</f>
        <v>#NAME?</v>
      </c>
      <c r="AM7" s="75" t="e">
        <f aca="false">AL7*AA7*1000</f>
        <v>#NAME?</v>
      </c>
      <c r="AN7" s="75" t="e">
        <f aca="false">AL7*1000*AB7</f>
        <v>#NAME?</v>
      </c>
      <c r="AO7" s="75" t="e">
        <f aca="false">AK7*AG7</f>
        <v>#NAME?</v>
      </c>
      <c r="AP7" s="75" t="e">
        <f aca="false">AH7*AH7*3.1416/4/C7</f>
        <v>#NAME?</v>
      </c>
      <c r="AQ7" s="75" t="e">
        <f aca="false">AK7*10000/C7</f>
        <v>#NAME?</v>
      </c>
      <c r="AR7" s="525" t="e">
        <f aca="false">(sureau_ini.txt!#ref!/2*sureau_ini.txt!#ref!/2*3.1416)</f>
        <v>#NAME?</v>
      </c>
      <c r="AS7" s="525" t="e">
        <f aca="false">C7/AR7</f>
        <v>#NAME?</v>
      </c>
      <c r="AT7" s="75" t="e">
        <f aca="false">10000/AR7</f>
        <v>#NAME?</v>
      </c>
      <c r="AU7" s="75" t="e">
        <f aca="false">AH7*AH7*3.1416/4/10000*AT7</f>
        <v>#NAME?</v>
      </c>
      <c r="AV7" s="528" t="e">
        <f aca="false">AO7*AA7*1000</f>
        <v>#NAME?</v>
      </c>
      <c r="AW7" s="528" t="e">
        <f aca="false">AO7*1000*AB7</f>
        <v>#NAME?</v>
      </c>
      <c r="AX7" s="528" t="e">
        <f aca="false">AM7-AV7</f>
        <v>#NAME?</v>
      </c>
      <c r="AY7" s="528" t="e">
        <f aca="false">AN7-AW7</f>
        <v>#NAME?</v>
      </c>
      <c r="AZ7" s="528" t="e">
        <f aca="false">AM7*AC7</f>
        <v>#NAME?</v>
      </c>
      <c r="BA7" s="528" t="e">
        <f aca="false">AN7*AC7</f>
        <v>#NAME?</v>
      </c>
      <c r="BB7" s="528" t="e">
        <f aca="false">3.1416*AH7*AG7/100</f>
        <v>#NAME?</v>
      </c>
      <c r="BC7" s="528" t="e">
        <f aca="false">C7*AD7</f>
        <v>#NAME?</v>
      </c>
      <c r="BD7" s="528" t="e">
        <f aca="false">C7*AE7</f>
        <v>#NAME?</v>
      </c>
      <c r="BE7" s="528" t="e">
        <f aca="false">BD7+BC7*AC7</f>
        <v>#NAME?</v>
      </c>
      <c r="BF7" s="72" t="n">
        <v>20</v>
      </c>
      <c r="BG7" s="72" t="n">
        <v>20</v>
      </c>
      <c r="BH7" s="72" t="n">
        <v>8</v>
      </c>
      <c r="BI7" s="72" t="n">
        <v>2</v>
      </c>
      <c r="BJ7" s="72" t="n">
        <v>10</v>
      </c>
      <c r="BK7" s="72" t="n">
        <v>40</v>
      </c>
      <c r="BL7" s="75" t="n">
        <f aca="false">SUM(BF7:BI7)</f>
        <v>50</v>
      </c>
      <c r="BM7" s="75" t="n">
        <f aca="false">BJ7+BK7</f>
        <v>50</v>
      </c>
      <c r="BN7" s="75" t="n">
        <f aca="false">SUM(BF7:BK7)</f>
        <v>100</v>
      </c>
      <c r="BO7" s="0" t="e">
        <f aca="false">AV7+AW7+AX7+AY7+AZ7+BA7+C7*sureau_ini.txt!#ref!/1000</f>
        <v>#NAME?</v>
      </c>
      <c r="BP7" s="0" t="e">
        <f aca="false">AV7+AX7+AZ7 +C7*sureau_ini.txt!#ref!*sureau_ini.txt!#ref!/1000</f>
        <v>#NAME?</v>
      </c>
      <c r="BQ7" s="0" t="e">
        <f aca="false">BO7-BP7</f>
        <v>#NAME?</v>
      </c>
    </row>
    <row r="8" customFormat="false" ht="15.75" hidden="false" customHeight="false" outlineLevel="0" collapsed="false">
      <c r="A8" s="0" t="e">
        <f aca="false">sureau_ini.txt!#ref!</f>
        <v>#NAME?</v>
      </c>
      <c r="B8" s="525" t="n">
        <f aca="false">VPD_max</f>
        <v>1.26741256491017</v>
      </c>
      <c r="C8" s="525" t="e">
        <f aca="false">sureau_ini.txt!#ref!</f>
        <v>#NAME?</v>
      </c>
      <c r="D8" s="525" t="e">
        <f aca="false">(1/(1/sureau_ini.txt!#ref!+1/(1.5*(0.00662*(sureau_ini.txt!#ref!/sureau_ini.txt!#ref!*1000)^0.5)*1000*40)+1/sureau_ini.txt!#ref!)*B8/101.6)</f>
        <v>#NAME?</v>
      </c>
      <c r="E8" s="525" t="e">
        <f aca="false">sureau_ini.txt!#ref!/(1/sureau_ini.txt!#ref!+1/(1.5*(0.00662*(sureau_ini.txt!#ref!/sureau_ini.txt!#ref!*1000)^0.5)*1000*40)+1/sureau_ini.txt!#ref!)*B8/101.6 + sureau_ini.txt!#ref!/(1/sureau_ini.txt!#ref!+1/(1.5*(0.00662*(sureau_ini.txt!#ref!/sureau_ini.txt!#ref!*1000)^0.5)*1000*40)+1/sureau_ini.txt!#ref!)*B8/101.6 + sureau_ini.txt!#ref!/(1/sureau_ini.txt!#ref!+1/(1.5*(0.00662*(sureau_ini.txt!#ref!/sureau_ini.txt!#ref!*1000)^0.5)*1000*40)+1/sureau_ini.txt!#ref!)*B8/101.6</f>
        <v>#NAME?</v>
      </c>
      <c r="F8" s="75" t="e">
        <f aca="false">E8/1000*18/AK8/100000*3600*C8</f>
        <v>#NAME?</v>
      </c>
      <c r="G8" s="72" t="n">
        <v>-1.5</v>
      </c>
      <c r="H8" s="72" t="n">
        <v>0</v>
      </c>
      <c r="I8" s="75" t="e">
        <f aca="false">E8/(H8-G8)</f>
        <v>#NAME?</v>
      </c>
      <c r="J8" s="75" t="e">
        <f aca="false">I8*C8</f>
        <v>#NAME?</v>
      </c>
      <c r="K8" s="75" t="e">
        <f aca="false">1/I8</f>
        <v>#NAME?</v>
      </c>
      <c r="L8" s="75" t="e">
        <f aca="false">1/J8</f>
        <v>#NAME?</v>
      </c>
      <c r="M8" s="526" t="e">
        <f aca="false">1/(1/'Allometric tree'!I8*'Allometric tree'!BF8/100)</f>
        <v>#NAME?</v>
      </c>
      <c r="N8" s="526" t="e">
        <f aca="false">1/(1/'Allometric tree'!I8*'Allometric tree'!BG8/100)</f>
        <v>#NAME?</v>
      </c>
      <c r="O8" s="30" t="e">
        <f aca="false">1/(1/'Allometric tree'!I8*'Allometric tree'!BH8/100)</f>
        <v>#NAME?</v>
      </c>
      <c r="P8" s="30" t="e">
        <f aca="false">1/(1/'Allometric tree'!I8*'Allometric tree'!BI8/100)</f>
        <v>#NAME?</v>
      </c>
      <c r="Q8" s="30" t="e">
        <f aca="false">1/(1/'Allometric tree'!I8*'Allometric tree'!BJ8/100)</f>
        <v>#NAME?</v>
      </c>
      <c r="R8" s="526" t="e">
        <f aca="false">1/(1/'Allometric tree'!I8*'Allometric tree'!BK8/100)</f>
        <v>#NAME?</v>
      </c>
      <c r="S8" s="30" t="e">
        <f aca="false">M8*'Allometric tree'!C8</f>
        <v>#NAME?</v>
      </c>
      <c r="T8" s="30" t="e">
        <f aca="false">N8*'Allometric tree'!C8</f>
        <v>#NAME?</v>
      </c>
      <c r="U8" s="526" t="e">
        <f aca="false">O8*'Allometric tree'!C8</f>
        <v>#NAME?</v>
      </c>
      <c r="V8" s="526" t="e">
        <f aca="false">P8*'Allometric tree'!C8</f>
        <v>#NAME?</v>
      </c>
      <c r="W8" s="526" t="e">
        <f aca="false">Q8*'Allometric tree'!C8</f>
        <v>#NAME?</v>
      </c>
      <c r="X8" s="30" t="e">
        <f aca="false">R8*'Allometric tree'!C8</f>
        <v>#NAME?</v>
      </c>
      <c r="Y8" s="525" t="e">
        <f aca="false">sureau_ini.txt!#ref!</f>
        <v>#NAME?</v>
      </c>
      <c r="Z8" s="527" t="e">
        <f aca="false">AK8/C8</f>
        <v>#NAME?</v>
      </c>
      <c r="AA8" s="525" t="e">
        <f aca="false">sureau_ini.txt!#ref!</f>
        <v>#NAME?</v>
      </c>
      <c r="AB8" s="525" t="e">
        <f aca="false">sureau_ini.txt!#ref!</f>
        <v>#NAME?</v>
      </c>
      <c r="AC8" s="525" t="n">
        <v>1</v>
      </c>
      <c r="AD8" s="72" t="n">
        <v>0.1</v>
      </c>
      <c r="AE8" s="525" t="n">
        <f aca="false">'sureau_ini.txt'!$E$21</f>
        <v>1</v>
      </c>
      <c r="AF8" s="525" t="e">
        <f aca="false">sureau_ini.txt!#ref!+sureau_ini.txt!#ref!</f>
        <v>#NAME?</v>
      </c>
      <c r="AG8" s="525" t="e">
        <f aca="false">sureau_ini.txt!#ref!</f>
        <v>#NAME?</v>
      </c>
      <c r="AH8" s="525" t="e">
        <f aca="false">sureau_ini.txt!#ref!*100</f>
        <v>#NAME?</v>
      </c>
      <c r="AI8" s="75" t="e">
        <f aca="false">AH8/2*Y8</f>
        <v>#NAME?</v>
      </c>
      <c r="AJ8" s="75" t="e">
        <f aca="false">100*(AH8/100-SQRT(AH8/100*AH8/100-4*AW8/1000/AG8/3.1416))/2</f>
        <v>#NAME?</v>
      </c>
      <c r="AK8" s="75" t="e">
        <f aca="false">(3.1416/4*(AH8^2)-3.1416*(AH8/2-AI8)^2)/10000</f>
        <v>#NAME?</v>
      </c>
      <c r="AL8" s="75" t="e">
        <f aca="false">AK8*AF8</f>
        <v>#NAME?</v>
      </c>
      <c r="AM8" s="75" t="e">
        <f aca="false">AL8*AA8*1000</f>
        <v>#NAME?</v>
      </c>
      <c r="AN8" s="75" t="e">
        <f aca="false">AL8*1000*AB8</f>
        <v>#NAME?</v>
      </c>
      <c r="AO8" s="75" t="e">
        <f aca="false">AK8*AG8</f>
        <v>#NAME?</v>
      </c>
      <c r="AP8" s="75" t="e">
        <f aca="false">AH8*AH8*3.1416/4/C8</f>
        <v>#NAME?</v>
      </c>
      <c r="AQ8" s="75" t="e">
        <f aca="false">AK8*10000/C8</f>
        <v>#NAME?</v>
      </c>
      <c r="AR8" s="525" t="e">
        <f aca="false">(sureau_ini.txt!#ref!/2*sureau_ini.txt!#ref!/2*3.1416)</f>
        <v>#NAME?</v>
      </c>
      <c r="AS8" s="525" t="e">
        <f aca="false">C8/AR8</f>
        <v>#NAME?</v>
      </c>
      <c r="AT8" s="75" t="e">
        <f aca="false">10000/AR8</f>
        <v>#NAME?</v>
      </c>
      <c r="AU8" s="75" t="e">
        <f aca="false">AH8*AH8*3.1416/4/10000*AT8</f>
        <v>#NAME?</v>
      </c>
      <c r="AV8" s="528" t="e">
        <f aca="false">AO8*AA8*1000</f>
        <v>#NAME?</v>
      </c>
      <c r="AW8" s="528" t="e">
        <f aca="false">AO8*1000*AB8</f>
        <v>#NAME?</v>
      </c>
      <c r="AX8" s="528" t="e">
        <f aca="false">AM8-AV8</f>
        <v>#NAME?</v>
      </c>
      <c r="AY8" s="528" t="e">
        <f aca="false">AN8-AW8</f>
        <v>#NAME?</v>
      </c>
      <c r="AZ8" s="528" t="e">
        <f aca="false">AM8*AC8</f>
        <v>#NAME?</v>
      </c>
      <c r="BA8" s="528" t="e">
        <f aca="false">AN8*AC8</f>
        <v>#NAME?</v>
      </c>
      <c r="BB8" s="528" t="e">
        <f aca="false">3.1416*AH8*AG8/100</f>
        <v>#NAME?</v>
      </c>
      <c r="BC8" s="528" t="e">
        <f aca="false">C8*AD8</f>
        <v>#NAME?</v>
      </c>
      <c r="BD8" s="528" t="e">
        <f aca="false">C8*AE8</f>
        <v>#NAME?</v>
      </c>
      <c r="BE8" s="528" t="e">
        <f aca="false">BD8+BC8*AC8</f>
        <v>#NAME?</v>
      </c>
      <c r="BF8" s="72" t="n">
        <v>20</v>
      </c>
      <c r="BG8" s="72" t="n">
        <v>20</v>
      </c>
      <c r="BH8" s="72" t="n">
        <v>8</v>
      </c>
      <c r="BI8" s="72" t="n">
        <v>2</v>
      </c>
      <c r="BJ8" s="72" t="n">
        <v>10</v>
      </c>
      <c r="BK8" s="72" t="n">
        <v>40</v>
      </c>
      <c r="BL8" s="75" t="n">
        <f aca="false">SUM(BF8:BI8)</f>
        <v>50</v>
      </c>
      <c r="BM8" s="75" t="n">
        <f aca="false">BJ8+BK8</f>
        <v>50</v>
      </c>
      <c r="BN8" s="75" t="n">
        <f aca="false">SUM(BF8:BK8)</f>
        <v>100</v>
      </c>
      <c r="BO8" s="0" t="e">
        <f aca="false">AV8+AW8+AX8+AY8+AZ8+BA8+C8*sureau_ini.txt!#ref!/1000</f>
        <v>#NAME?</v>
      </c>
      <c r="BP8" s="0" t="e">
        <f aca="false">AV8+AX8+AZ8 +C8*sureau_ini.txt!#ref!*sureau_ini.txt!#ref!/1000</f>
        <v>#NAME?</v>
      </c>
      <c r="BQ8" s="0" t="e">
        <f aca="false">BO8-BP8</f>
        <v>#NAME?</v>
      </c>
    </row>
    <row r="9" customFormat="false" ht="15.75" hidden="false" customHeight="false" outlineLevel="0" collapsed="false">
      <c r="A9" s="0" t="e">
        <f aca="false">sureau_ini.txt!#ref!</f>
        <v>#NAME?</v>
      </c>
      <c r="B9" s="525" t="n">
        <f aca="false">VPD_max</f>
        <v>1.26741256491017</v>
      </c>
      <c r="C9" s="525" t="e">
        <f aca="false">sureau_ini.txt!#ref!</f>
        <v>#NAME?</v>
      </c>
      <c r="D9" s="525" t="e">
        <f aca="false">(1/(1/sureau_ini.txt!#ref!+1/(1.5*(0.00662*(sureau_ini.txt!#ref!/sureau_ini.txt!#ref!*1000)^0.5)*1000*40)+1/sureau_ini.txt!#ref!)*B9/101.6)</f>
        <v>#NAME?</v>
      </c>
      <c r="E9" s="525" t="e">
        <f aca="false">sureau_ini.txt!#ref!/(1/sureau_ini.txt!#ref!+1/(1.5*(0.00662*(sureau_ini.txt!#ref!/sureau_ini.txt!#ref!*1000)^0.5)*1000*40)+1/sureau_ini.txt!#ref!)*B9/101.6 + sureau_ini.txt!#ref!/(1/sureau_ini.txt!#ref!+1/(1.5*(0.00662*(sureau_ini.txt!#ref!/sureau_ini.txt!#ref!*1000)^0.5)*1000*40)+1/sureau_ini.txt!#ref!)*B9/101.6 + sureau_ini.txt!#ref!/(1/sureau_ini.txt!#ref!+1/(1.5*(0.00662*(sureau_ini.txt!#ref!/sureau_ini.txt!#ref!*1000)^0.5)*1000*40)+1/sureau_ini.txt!#ref!)*B9/101.6</f>
        <v>#NAME?</v>
      </c>
      <c r="F9" s="75" t="e">
        <f aca="false">E9/1000*18/AK9/100000*3600*C9</f>
        <v>#NAME?</v>
      </c>
      <c r="G9" s="72" t="n">
        <v>-1.5</v>
      </c>
      <c r="H9" s="72" t="n">
        <v>0</v>
      </c>
      <c r="I9" s="75" t="e">
        <f aca="false">E9/(H9-G9)</f>
        <v>#NAME?</v>
      </c>
      <c r="J9" s="75" t="e">
        <f aca="false">I9*C9</f>
        <v>#NAME?</v>
      </c>
      <c r="K9" s="75" t="e">
        <f aca="false">1/I9</f>
        <v>#NAME?</v>
      </c>
      <c r="L9" s="75" t="e">
        <f aca="false">1/J9</f>
        <v>#NAME?</v>
      </c>
      <c r="M9" s="526" t="e">
        <f aca="false">1/(1/'Allometric tree'!I9*'Allometric tree'!BF9/100)</f>
        <v>#NAME?</v>
      </c>
      <c r="N9" s="526" t="e">
        <f aca="false">1/(1/'Allometric tree'!I9*'Allometric tree'!BG9/100)</f>
        <v>#NAME?</v>
      </c>
      <c r="O9" s="30" t="e">
        <f aca="false">1/(1/'Allometric tree'!I9*'Allometric tree'!BH9/100)</f>
        <v>#NAME?</v>
      </c>
      <c r="P9" s="30" t="e">
        <f aca="false">1/(1/'Allometric tree'!I9*'Allometric tree'!BI9/100)</f>
        <v>#NAME?</v>
      </c>
      <c r="Q9" s="30" t="e">
        <f aca="false">1/(1/'Allometric tree'!I9*'Allometric tree'!BJ9/100)</f>
        <v>#NAME?</v>
      </c>
      <c r="R9" s="526" t="e">
        <f aca="false">1/(1/'Allometric tree'!I9*'Allometric tree'!BK9/100)</f>
        <v>#NAME?</v>
      </c>
      <c r="S9" s="30" t="e">
        <f aca="false">M9*'Allometric tree'!C9</f>
        <v>#NAME?</v>
      </c>
      <c r="T9" s="30" t="e">
        <f aca="false">N9*'Allometric tree'!C9</f>
        <v>#NAME?</v>
      </c>
      <c r="U9" s="526" t="e">
        <f aca="false">O9*'Allometric tree'!C9</f>
        <v>#NAME?</v>
      </c>
      <c r="V9" s="526" t="e">
        <f aca="false">P9*'Allometric tree'!C9</f>
        <v>#NAME?</v>
      </c>
      <c r="W9" s="526" t="e">
        <f aca="false">Q9*'Allometric tree'!C9</f>
        <v>#NAME?</v>
      </c>
      <c r="X9" s="30" t="e">
        <f aca="false">R9*'Allometric tree'!C9</f>
        <v>#NAME?</v>
      </c>
      <c r="Y9" s="525" t="e">
        <f aca="false">sureau_ini.txt!#ref!</f>
        <v>#NAME?</v>
      </c>
      <c r="Z9" s="527" t="e">
        <f aca="false">AK9/C9</f>
        <v>#NAME?</v>
      </c>
      <c r="AA9" s="525" t="e">
        <f aca="false">sureau_ini.txt!#ref!</f>
        <v>#NAME?</v>
      </c>
      <c r="AB9" s="525" t="e">
        <f aca="false">sureau_ini.txt!#ref!</f>
        <v>#NAME?</v>
      </c>
      <c r="AC9" s="525" t="n">
        <v>1</v>
      </c>
      <c r="AD9" s="72" t="n">
        <v>0.1</v>
      </c>
      <c r="AE9" s="525" t="n">
        <f aca="false">'sureau_ini.txt'!$E$21</f>
        <v>1</v>
      </c>
      <c r="AF9" s="525" t="e">
        <f aca="false">sureau_ini.txt!#ref!+sureau_ini.txt!#ref!</f>
        <v>#NAME?</v>
      </c>
      <c r="AG9" s="525" t="e">
        <f aca="false">sureau_ini.txt!#ref!</f>
        <v>#NAME?</v>
      </c>
      <c r="AH9" s="525" t="e">
        <f aca="false">sureau_ini.txt!#ref!*100</f>
        <v>#NAME?</v>
      </c>
      <c r="AI9" s="75" t="e">
        <f aca="false">AH9/2*Y9</f>
        <v>#NAME?</v>
      </c>
      <c r="AJ9" s="75" t="e">
        <f aca="false">100*(AH9/100-SQRT(AH9/100*AH9/100-4*AW9/1000/AG9/3.1416))/2</f>
        <v>#NAME?</v>
      </c>
      <c r="AK9" s="75" t="e">
        <f aca="false">(3.1416/4*(AH9^2)-3.1416*(AH9/2-AI9)^2)/10000</f>
        <v>#NAME?</v>
      </c>
      <c r="AL9" s="75" t="e">
        <f aca="false">AK9*AF9</f>
        <v>#NAME?</v>
      </c>
      <c r="AM9" s="75" t="e">
        <f aca="false">AL9*AA9*1000</f>
        <v>#NAME?</v>
      </c>
      <c r="AN9" s="75" t="e">
        <f aca="false">AL9*1000*AB9</f>
        <v>#NAME?</v>
      </c>
      <c r="AO9" s="75" t="e">
        <f aca="false">AK9*AG9</f>
        <v>#NAME?</v>
      </c>
      <c r="AP9" s="75" t="e">
        <f aca="false">AH9*AH9*3.1416/4/C9</f>
        <v>#NAME?</v>
      </c>
      <c r="AQ9" s="75" t="e">
        <f aca="false">AK9*10000/C9</f>
        <v>#NAME?</v>
      </c>
      <c r="AR9" s="525" t="e">
        <f aca="false">(sureau_ini.txt!#ref!/2*sureau_ini.txt!#ref!/2*3.1416)</f>
        <v>#NAME?</v>
      </c>
      <c r="AS9" s="525" t="e">
        <f aca="false">C9/AR9</f>
        <v>#NAME?</v>
      </c>
      <c r="AT9" s="75" t="e">
        <f aca="false">10000/AR9</f>
        <v>#NAME?</v>
      </c>
      <c r="AU9" s="75" t="e">
        <f aca="false">AH9*AH9*3.1416/4/10000*AT9</f>
        <v>#NAME?</v>
      </c>
      <c r="AV9" s="528" t="e">
        <f aca="false">AO9*AA9*1000</f>
        <v>#NAME?</v>
      </c>
      <c r="AW9" s="528" t="e">
        <f aca="false">AO9*1000*AB9</f>
        <v>#NAME?</v>
      </c>
      <c r="AX9" s="528" t="e">
        <f aca="false">AM9-AV9</f>
        <v>#NAME?</v>
      </c>
      <c r="AY9" s="528" t="e">
        <f aca="false">AN9-AW9</f>
        <v>#NAME?</v>
      </c>
      <c r="AZ9" s="528" t="e">
        <f aca="false">AM9*AC9</f>
        <v>#NAME?</v>
      </c>
      <c r="BA9" s="528" t="e">
        <f aca="false">AN9*AC9</f>
        <v>#NAME?</v>
      </c>
      <c r="BB9" s="528" t="e">
        <f aca="false">3.1416*AH9*AG9/100</f>
        <v>#NAME?</v>
      </c>
      <c r="BC9" s="528" t="e">
        <f aca="false">C9*AD9</f>
        <v>#NAME?</v>
      </c>
      <c r="BD9" s="528" t="e">
        <f aca="false">C9*AE9</f>
        <v>#NAME?</v>
      </c>
      <c r="BE9" s="528" t="e">
        <f aca="false">BD9+BC9*AC9</f>
        <v>#NAME?</v>
      </c>
      <c r="BF9" s="72" t="n">
        <v>20</v>
      </c>
      <c r="BG9" s="72" t="n">
        <v>20</v>
      </c>
      <c r="BH9" s="72" t="n">
        <v>8</v>
      </c>
      <c r="BI9" s="72" t="n">
        <v>2</v>
      </c>
      <c r="BJ9" s="72" t="n">
        <v>10</v>
      </c>
      <c r="BK9" s="72" t="n">
        <v>40</v>
      </c>
      <c r="BL9" s="75" t="n">
        <f aca="false">SUM(BF9:BI9)</f>
        <v>50</v>
      </c>
      <c r="BM9" s="75" t="n">
        <f aca="false">BJ9+BK9</f>
        <v>50</v>
      </c>
      <c r="BN9" s="75" t="n">
        <f aca="false">SUM(BF9:BK9)</f>
        <v>100</v>
      </c>
      <c r="BO9" s="0" t="e">
        <f aca="false">AV9+AW9+AX9+AY9+AZ9+BA9+C9*sureau_ini.txt!#ref!/1000</f>
        <v>#NAME?</v>
      </c>
      <c r="BP9" s="0" t="e">
        <f aca="false">AV9+AX9+AZ9 +C9*sureau_ini.txt!#ref!*sureau_ini.txt!#ref!/1000</f>
        <v>#NAME?</v>
      </c>
      <c r="BQ9" s="0" t="e">
        <f aca="false">BO9-BP9</f>
        <v>#NAME?</v>
      </c>
    </row>
    <row r="10" customFormat="false" ht="15.75" hidden="false" customHeight="false" outlineLevel="0" collapsed="false">
      <c r="A10" s="0" t="e">
        <f aca="false">sureau_ini.txt!#ref!</f>
        <v>#NAME?</v>
      </c>
      <c r="B10" s="525" t="n">
        <f aca="false">VPD_max</f>
        <v>1.26741256491017</v>
      </c>
      <c r="C10" s="525" t="e">
        <f aca="false">sureau_ini.txt!#ref!</f>
        <v>#NAME?</v>
      </c>
      <c r="D10" s="525" t="e">
        <f aca="false">(1/(1/sureau_ini.txt!#ref!+1/(1.5*(0.00662*(sureau_ini.txt!#ref!/sureau_ini.txt!#ref!*1000)^0.5)*1000*40)+1/sureau_ini.txt!#ref!)*B10/101.6)</f>
        <v>#NAME?</v>
      </c>
      <c r="E10" s="525" t="e">
        <f aca="false">sureau_ini.txt!#ref!/(1/sureau_ini.txt!#ref!+1/(1.5*(0.00662*(sureau_ini.txt!#ref!/sureau_ini.txt!#ref!*1000)^0.5)*1000*40)+1/sureau_ini.txt!#ref!)*B10/101.6 + sureau_ini.txt!#ref!/(1/sureau_ini.txt!#ref!+1/(1.5*(0.00662*(sureau_ini.txt!#ref!/sureau_ini.txt!#ref!*1000)^0.5)*1000*40)+1/sureau_ini.txt!#ref!)*B10/101.6 + sureau_ini.txt!#ref!/(1/sureau_ini.txt!#ref!+1/(1.5*(0.00662*(sureau_ini.txt!#ref!/sureau_ini.txt!#ref!*1000)^0.5)*1000*40)+1/sureau_ini.txt!#ref!)*B10/101.6</f>
        <v>#NAME?</v>
      </c>
      <c r="F10" s="75" t="e">
        <f aca="false">E10/1000*18/AK10/100000*3600*C10</f>
        <v>#NAME?</v>
      </c>
      <c r="G10" s="72" t="n">
        <v>-1.5</v>
      </c>
      <c r="H10" s="72" t="n">
        <v>0</v>
      </c>
      <c r="I10" s="75" t="e">
        <f aca="false">E10/(H10-G10)</f>
        <v>#NAME?</v>
      </c>
      <c r="J10" s="75" t="e">
        <f aca="false">I10*C10</f>
        <v>#NAME?</v>
      </c>
      <c r="K10" s="75" t="e">
        <f aca="false">1/I10</f>
        <v>#NAME?</v>
      </c>
      <c r="L10" s="75" t="e">
        <f aca="false">1/J10</f>
        <v>#NAME?</v>
      </c>
      <c r="M10" s="526" t="e">
        <f aca="false">1/(1/'Allometric tree'!I10*'Allometric tree'!BF10/100)</f>
        <v>#NAME?</v>
      </c>
      <c r="N10" s="526" t="e">
        <f aca="false">1/(1/'Allometric tree'!I10*'Allometric tree'!BG10/100)</f>
        <v>#NAME?</v>
      </c>
      <c r="O10" s="30" t="e">
        <f aca="false">1/(1/'Allometric tree'!I10*'Allometric tree'!BH10/100)</f>
        <v>#NAME?</v>
      </c>
      <c r="P10" s="30" t="e">
        <f aca="false">1/(1/'Allometric tree'!I10*'Allometric tree'!BI10/100)</f>
        <v>#NAME?</v>
      </c>
      <c r="Q10" s="30" t="e">
        <f aca="false">1/(1/'Allometric tree'!I10*'Allometric tree'!BJ10/100)</f>
        <v>#NAME?</v>
      </c>
      <c r="R10" s="526" t="e">
        <f aca="false">1/(1/'Allometric tree'!I10*'Allometric tree'!BK10/100)</f>
        <v>#NAME?</v>
      </c>
      <c r="S10" s="30" t="e">
        <f aca="false">M10*'Allometric tree'!C10</f>
        <v>#NAME?</v>
      </c>
      <c r="T10" s="30" t="e">
        <f aca="false">N10*'Allometric tree'!C10</f>
        <v>#NAME?</v>
      </c>
      <c r="U10" s="526" t="e">
        <f aca="false">O10*'Allometric tree'!C10</f>
        <v>#NAME?</v>
      </c>
      <c r="V10" s="526" t="e">
        <f aca="false">P10*'Allometric tree'!C10</f>
        <v>#NAME?</v>
      </c>
      <c r="W10" s="526" t="e">
        <f aca="false">Q10*'Allometric tree'!C10</f>
        <v>#NAME?</v>
      </c>
      <c r="X10" s="30" t="e">
        <f aca="false">R10*'Allometric tree'!C10</f>
        <v>#NAME?</v>
      </c>
      <c r="Y10" s="525" t="e">
        <f aca="false">sureau_ini.txt!#ref!</f>
        <v>#NAME?</v>
      </c>
      <c r="Z10" s="527" t="e">
        <f aca="false">AK10/C10</f>
        <v>#NAME?</v>
      </c>
      <c r="AA10" s="525" t="e">
        <f aca="false">sureau_ini.txt!#ref!</f>
        <v>#NAME?</v>
      </c>
      <c r="AB10" s="525" t="e">
        <f aca="false">sureau_ini.txt!#ref!</f>
        <v>#NAME?</v>
      </c>
      <c r="AC10" s="525" t="n">
        <v>1</v>
      </c>
      <c r="AD10" s="72" t="n">
        <v>0.1</v>
      </c>
      <c r="AE10" s="525" t="n">
        <f aca="false">'sureau_ini.txt'!$E$21</f>
        <v>1</v>
      </c>
      <c r="AF10" s="525" t="e">
        <f aca="false">sureau_ini.txt!#ref!+sureau_ini.txt!#ref!</f>
        <v>#NAME?</v>
      </c>
      <c r="AG10" s="525" t="e">
        <f aca="false">sureau_ini.txt!#ref!</f>
        <v>#NAME?</v>
      </c>
      <c r="AH10" s="525" t="e">
        <f aca="false">sureau_ini.txt!#ref!*100</f>
        <v>#NAME?</v>
      </c>
      <c r="AI10" s="75" t="e">
        <f aca="false">AH10/2*Y10</f>
        <v>#NAME?</v>
      </c>
      <c r="AJ10" s="75" t="e">
        <f aca="false">100*(AH10/100-SQRT(AH10/100*AH10/100-4*AW10/1000/AG10/3.1416))/2</f>
        <v>#NAME?</v>
      </c>
      <c r="AK10" s="75" t="e">
        <f aca="false">(3.1416/4*(AH10^2)-3.1416*(AH10/2-AI10)^2)/10000</f>
        <v>#NAME?</v>
      </c>
      <c r="AL10" s="75" t="e">
        <f aca="false">AK10*AF10</f>
        <v>#NAME?</v>
      </c>
      <c r="AM10" s="75" t="e">
        <f aca="false">AL10*AA10*1000</f>
        <v>#NAME?</v>
      </c>
      <c r="AN10" s="75" t="e">
        <f aca="false">AL10*1000*AB10</f>
        <v>#NAME?</v>
      </c>
      <c r="AO10" s="75" t="e">
        <f aca="false">AK10*AG10</f>
        <v>#NAME?</v>
      </c>
      <c r="AP10" s="75" t="e">
        <f aca="false">AH10*AH10*3.1416/4/C10</f>
        <v>#NAME?</v>
      </c>
      <c r="AQ10" s="75" t="e">
        <f aca="false">AK10*10000/C10</f>
        <v>#NAME?</v>
      </c>
      <c r="AR10" s="525" t="e">
        <f aca="false">(sureau_ini.txt!#ref!/2*sureau_ini.txt!#ref!/2*3.1416)</f>
        <v>#NAME?</v>
      </c>
      <c r="AS10" s="525" t="e">
        <f aca="false">C10/AR10</f>
        <v>#NAME?</v>
      </c>
      <c r="AT10" s="75" t="e">
        <f aca="false">10000/AR10</f>
        <v>#NAME?</v>
      </c>
      <c r="AU10" s="75" t="e">
        <f aca="false">AH10*AH10*3.1416/4/10000*AT10</f>
        <v>#NAME?</v>
      </c>
      <c r="AV10" s="528" t="e">
        <f aca="false">AO10*AA10*1000</f>
        <v>#NAME?</v>
      </c>
      <c r="AW10" s="528" t="e">
        <f aca="false">AO10*1000*AB10</f>
        <v>#NAME?</v>
      </c>
      <c r="AX10" s="528" t="e">
        <f aca="false">AM10-AV10</f>
        <v>#NAME?</v>
      </c>
      <c r="AY10" s="528" t="e">
        <f aca="false">AN10-AW10</f>
        <v>#NAME?</v>
      </c>
      <c r="AZ10" s="528" t="e">
        <f aca="false">AM10*AC10</f>
        <v>#NAME?</v>
      </c>
      <c r="BA10" s="528" t="e">
        <f aca="false">AN10*AC10</f>
        <v>#NAME?</v>
      </c>
      <c r="BB10" s="528" t="e">
        <f aca="false">3.1416*AH10*AG10/100</f>
        <v>#NAME?</v>
      </c>
      <c r="BC10" s="528" t="e">
        <f aca="false">C10*AD10</f>
        <v>#NAME?</v>
      </c>
      <c r="BD10" s="528" t="e">
        <f aca="false">C10*AE10</f>
        <v>#NAME?</v>
      </c>
      <c r="BE10" s="528" t="e">
        <f aca="false">BD10+BC10*AC10</f>
        <v>#NAME?</v>
      </c>
      <c r="BF10" s="72" t="n">
        <v>20</v>
      </c>
      <c r="BG10" s="72" t="n">
        <v>20</v>
      </c>
      <c r="BH10" s="72" t="n">
        <v>8</v>
      </c>
      <c r="BI10" s="72" t="n">
        <v>2</v>
      </c>
      <c r="BJ10" s="72" t="n">
        <v>10</v>
      </c>
      <c r="BK10" s="72" t="n">
        <v>40</v>
      </c>
      <c r="BL10" s="75" t="n">
        <f aca="false">SUM(BF10:BI10)</f>
        <v>50</v>
      </c>
      <c r="BM10" s="75" t="n">
        <f aca="false">BJ10+BK10</f>
        <v>50</v>
      </c>
      <c r="BN10" s="75" t="n">
        <f aca="false">SUM(BF10:BK10)</f>
        <v>100</v>
      </c>
      <c r="BO10" s="0" t="e">
        <f aca="false">AV10+AW10+AX10+AY10+AZ10+BA10+C10*sureau_ini.txt!#ref!/1000</f>
        <v>#NAME?</v>
      </c>
      <c r="BP10" s="0" t="e">
        <f aca="false">AV10+AX10+AZ10 +C10*sureau_ini.txt!#ref!*sureau_ini.txt!#ref!/1000</f>
        <v>#NAME?</v>
      </c>
      <c r="BQ10" s="0" t="e">
        <f aca="false">BO10-BP10</f>
        <v>#NAME?</v>
      </c>
    </row>
    <row r="11" customFormat="false" ht="15.75" hidden="false" customHeight="false" outlineLevel="0" collapsed="false">
      <c r="A11" s="0" t="e">
        <f aca="false">sureau_ini.txt!#ref!</f>
        <v>#NAME?</v>
      </c>
      <c r="B11" s="525" t="n">
        <f aca="false">VPD_max</f>
        <v>1.26741256491017</v>
      </c>
      <c r="C11" s="525" t="e">
        <f aca="false">sureau_ini.txt!#ref!</f>
        <v>#NAME?</v>
      </c>
      <c r="D11" s="525" t="e">
        <f aca="false">(1/(1/sureau_ini.txt!#ref!+1/(1.5*(0.00662*(sureau_ini.txt!#ref!/sureau_ini.txt!#ref!*1000)^0.5)*1000*40)+1/sureau_ini.txt!#ref!)*B11/101.6)</f>
        <v>#NAME?</v>
      </c>
      <c r="E11" s="525" t="e">
        <f aca="false">sureau_ini.txt!#ref!/(1/sureau_ini.txt!#ref!+1/(1.5*(0.00662*(sureau_ini.txt!#ref!/sureau_ini.txt!#ref!*1000)^0.5)*1000*40)+1/sureau_ini.txt!#ref!)*B11/101.6 + sureau_ini.txt!#ref!/(1/sureau_ini.txt!#ref!+1/(1.5*(0.00662*(sureau_ini.txt!#ref!/sureau_ini.txt!#ref!*1000)^0.5)*1000*40)+1/sureau_ini.txt!#ref!)*B11/101.6 + sureau_ini.txt!#ref!/(1/sureau_ini.txt!#ref!+1/(1.5*(0.00662*(sureau_ini.txt!#ref!/sureau_ini.txt!#ref!*1000)^0.5)*1000*40)+1/sureau_ini.txt!#ref!)*B11/101.6</f>
        <v>#NAME?</v>
      </c>
      <c r="F11" s="75" t="e">
        <f aca="false">E11/1000*18/AK11/100000*3600*C11</f>
        <v>#NAME?</v>
      </c>
      <c r="G11" s="72" t="n">
        <v>-1.5</v>
      </c>
      <c r="H11" s="72" t="n">
        <v>0</v>
      </c>
      <c r="I11" s="75" t="e">
        <f aca="false">E11/(H11-G11)</f>
        <v>#NAME?</v>
      </c>
      <c r="J11" s="75" t="e">
        <f aca="false">I11*C11</f>
        <v>#NAME?</v>
      </c>
      <c r="K11" s="75" t="e">
        <f aca="false">1/I11</f>
        <v>#NAME?</v>
      </c>
      <c r="L11" s="75" t="e">
        <f aca="false">1/J11</f>
        <v>#NAME?</v>
      </c>
      <c r="M11" s="526" t="e">
        <f aca="false">1/(1/'Allometric tree'!I11*'Allometric tree'!BF11/100)</f>
        <v>#NAME?</v>
      </c>
      <c r="N11" s="526" t="e">
        <f aca="false">1/(1/'Allometric tree'!I11*'Allometric tree'!BG11/100)</f>
        <v>#NAME?</v>
      </c>
      <c r="O11" s="30" t="e">
        <f aca="false">1/(1/'Allometric tree'!I11*'Allometric tree'!BH11/100)</f>
        <v>#NAME?</v>
      </c>
      <c r="P11" s="30" t="e">
        <f aca="false">1/(1/'Allometric tree'!I11*'Allometric tree'!BI11/100)</f>
        <v>#NAME?</v>
      </c>
      <c r="Q11" s="30" t="e">
        <f aca="false">1/(1/'Allometric tree'!I11*'Allometric tree'!BJ11/100)</f>
        <v>#NAME?</v>
      </c>
      <c r="R11" s="526" t="e">
        <f aca="false">1/(1/'Allometric tree'!I11*'Allometric tree'!BK11/100)</f>
        <v>#NAME?</v>
      </c>
      <c r="S11" s="30" t="e">
        <f aca="false">M11*'Allometric tree'!C11</f>
        <v>#NAME?</v>
      </c>
      <c r="T11" s="30" t="e">
        <f aca="false">N11*'Allometric tree'!C11</f>
        <v>#NAME?</v>
      </c>
      <c r="U11" s="526" t="e">
        <f aca="false">O11*'Allometric tree'!C11</f>
        <v>#NAME?</v>
      </c>
      <c r="V11" s="526" t="e">
        <f aca="false">P11*'Allometric tree'!C11</f>
        <v>#NAME?</v>
      </c>
      <c r="W11" s="526" t="e">
        <f aca="false">Q11*'Allometric tree'!C11</f>
        <v>#NAME?</v>
      </c>
      <c r="X11" s="30" t="e">
        <f aca="false">R11*'Allometric tree'!C11</f>
        <v>#NAME?</v>
      </c>
      <c r="Y11" s="525" t="e">
        <f aca="false">sureau_ini.txt!#ref!</f>
        <v>#NAME?</v>
      </c>
      <c r="Z11" s="527" t="e">
        <f aca="false">AK11/C11</f>
        <v>#NAME?</v>
      </c>
      <c r="AA11" s="525" t="e">
        <f aca="false">sureau_ini.txt!#ref!</f>
        <v>#NAME?</v>
      </c>
      <c r="AB11" s="525" t="e">
        <f aca="false">sureau_ini.txt!#ref!</f>
        <v>#NAME?</v>
      </c>
      <c r="AC11" s="525" t="n">
        <v>1</v>
      </c>
      <c r="AD11" s="72" t="n">
        <v>0.1</v>
      </c>
      <c r="AE11" s="525" t="n">
        <f aca="false">'sureau_ini.txt'!$E$21</f>
        <v>1</v>
      </c>
      <c r="AF11" s="525" t="e">
        <f aca="false">sureau_ini.txt!#ref!+sureau_ini.txt!#ref!</f>
        <v>#NAME?</v>
      </c>
      <c r="AG11" s="525" t="e">
        <f aca="false">sureau_ini.txt!#ref!</f>
        <v>#NAME?</v>
      </c>
      <c r="AH11" s="525" t="e">
        <f aca="false">sureau_ini.txt!#ref!*100</f>
        <v>#NAME?</v>
      </c>
      <c r="AI11" s="75" t="e">
        <f aca="false">AH11/2*Y11</f>
        <v>#NAME?</v>
      </c>
      <c r="AJ11" s="75" t="e">
        <f aca="false">100*(AH11/100-SQRT(AH11/100*AH11/100-4*AW11/1000/AG11/3.1416))/2</f>
        <v>#NAME?</v>
      </c>
      <c r="AK11" s="75" t="e">
        <f aca="false">(3.1416/4*(AH11^2)-3.1416*(AH11/2-AI11)^2)/10000</f>
        <v>#NAME?</v>
      </c>
      <c r="AL11" s="75" t="e">
        <f aca="false">AK11*AF11</f>
        <v>#NAME?</v>
      </c>
      <c r="AM11" s="75" t="e">
        <f aca="false">AL11*AA11*1000</f>
        <v>#NAME?</v>
      </c>
      <c r="AN11" s="75" t="e">
        <f aca="false">AL11*1000*AB11</f>
        <v>#NAME?</v>
      </c>
      <c r="AO11" s="75" t="e">
        <f aca="false">AK11*AG11</f>
        <v>#NAME?</v>
      </c>
      <c r="AP11" s="75" t="e">
        <f aca="false">AH11*AH11*3.1416/4/C11</f>
        <v>#NAME?</v>
      </c>
      <c r="AQ11" s="75" t="e">
        <f aca="false">AK11*10000/C11</f>
        <v>#NAME?</v>
      </c>
      <c r="AR11" s="525" t="e">
        <f aca="false">(sureau_ini.txt!#ref!/2*sureau_ini.txt!#ref!/2*3.1416)</f>
        <v>#NAME?</v>
      </c>
      <c r="AS11" s="525" t="e">
        <f aca="false">C11/AR11</f>
        <v>#NAME?</v>
      </c>
      <c r="AT11" s="75" t="e">
        <f aca="false">10000/AR11</f>
        <v>#NAME?</v>
      </c>
      <c r="AU11" s="75" t="e">
        <f aca="false">AH11*AH11*3.1416/4/10000*AT11</f>
        <v>#NAME?</v>
      </c>
      <c r="AV11" s="528" t="e">
        <f aca="false">AO11*AA11*1000</f>
        <v>#NAME?</v>
      </c>
      <c r="AW11" s="528" t="e">
        <f aca="false">AO11*1000*AB11</f>
        <v>#NAME?</v>
      </c>
      <c r="AX11" s="528" t="e">
        <f aca="false">AM11-AV11</f>
        <v>#NAME?</v>
      </c>
      <c r="AY11" s="528" t="e">
        <f aca="false">AN11-AW11</f>
        <v>#NAME?</v>
      </c>
      <c r="AZ11" s="528" t="e">
        <f aca="false">AM11*AC11</f>
        <v>#NAME?</v>
      </c>
      <c r="BA11" s="528" t="e">
        <f aca="false">AN11*AC11</f>
        <v>#NAME?</v>
      </c>
      <c r="BB11" s="528" t="e">
        <f aca="false">3.1416*AH11*AG11/100</f>
        <v>#NAME?</v>
      </c>
      <c r="BC11" s="528" t="e">
        <f aca="false">C11*AD11</f>
        <v>#NAME?</v>
      </c>
      <c r="BD11" s="528" t="e">
        <f aca="false">C11*AE11</f>
        <v>#NAME?</v>
      </c>
      <c r="BE11" s="528" t="e">
        <f aca="false">BD11+BC11*AC11</f>
        <v>#NAME?</v>
      </c>
      <c r="BF11" s="72" t="n">
        <v>20</v>
      </c>
      <c r="BG11" s="72" t="n">
        <v>20</v>
      </c>
      <c r="BH11" s="72" t="n">
        <v>8</v>
      </c>
      <c r="BI11" s="72" t="n">
        <v>2</v>
      </c>
      <c r="BJ11" s="72" t="n">
        <v>10</v>
      </c>
      <c r="BK11" s="72" t="n">
        <v>40</v>
      </c>
      <c r="BL11" s="75" t="n">
        <f aca="false">SUM(BF11:BI11)</f>
        <v>50</v>
      </c>
      <c r="BM11" s="75" t="n">
        <f aca="false">BJ11+BK11</f>
        <v>50</v>
      </c>
      <c r="BN11" s="75" t="n">
        <f aca="false">SUM(BF11:BK11)</f>
        <v>100</v>
      </c>
      <c r="BO11" s="0" t="e">
        <f aca="false">AV11+AW11+AX11+AY11+AZ11+BA11+C11*sureau_ini.txt!#ref!/1000</f>
        <v>#NAME?</v>
      </c>
      <c r="BP11" s="0" t="e">
        <f aca="false">AV11+AX11+AZ11 +C11*sureau_ini.txt!#ref!*sureau_ini.txt!#ref!/1000</f>
        <v>#NAME?</v>
      </c>
      <c r="BQ11" s="0" t="e">
        <f aca="false">BO11-BP11</f>
        <v>#NAME?</v>
      </c>
    </row>
    <row r="12" customFormat="false" ht="15.75" hidden="false" customHeight="false" outlineLevel="0" collapsed="false">
      <c r="A12" s="0" t="e">
        <f aca="false">sureau_ini.txt!#ref!</f>
        <v>#NAME?</v>
      </c>
      <c r="B12" s="525" t="n">
        <f aca="false">VPD_max</f>
        <v>1.26741256491017</v>
      </c>
      <c r="C12" s="525" t="e">
        <f aca="false">sureau_ini.txt!#ref!</f>
        <v>#NAME?</v>
      </c>
      <c r="D12" s="525" t="e">
        <f aca="false">(1/(1/sureau_ini.txt!#ref!+1/(1.5*(0.00662*(sureau_ini.txt!#ref!/sureau_ini.txt!#ref!*1000)^0.5)*1000*40)+1/sureau_ini.txt!#ref!)*B12/101.6)</f>
        <v>#NAME?</v>
      </c>
      <c r="E12" s="525" t="e">
        <f aca="false">sureau_ini.txt!#ref!/(1/sureau_ini.txt!#ref!+1/(1.5*(0.00662*(sureau_ini.txt!#ref!/sureau_ini.txt!#ref!*1000)^0.5)*1000*40)+1/sureau_ini.txt!#ref!)*B12/101.6 + sureau_ini.txt!#ref!/(1/sureau_ini.txt!#ref!+1/(1.5*(0.00662*(sureau_ini.txt!#ref!/sureau_ini.txt!#ref!*1000)^0.5)*1000*40)+1/sureau_ini.txt!#ref!)*B12/101.6 + sureau_ini.txt!#ref!/(1/sureau_ini.txt!#ref!+1/(1.5*(0.00662*(sureau_ini.txt!#ref!/sureau_ini.txt!#ref!*1000)^0.5)*1000*40)+1/sureau_ini.txt!#ref!)*B12/101.6</f>
        <v>#NAME?</v>
      </c>
      <c r="F12" s="75" t="e">
        <f aca="false">E12/1000*18/AK12/100000*3600*C12</f>
        <v>#NAME?</v>
      </c>
      <c r="G12" s="72" t="n">
        <v>-1.5</v>
      </c>
      <c r="H12" s="72" t="n">
        <v>0</v>
      </c>
      <c r="I12" s="75" t="e">
        <f aca="false">E12/(H12-G12)</f>
        <v>#NAME?</v>
      </c>
      <c r="J12" s="75" t="e">
        <f aca="false">I12*C12</f>
        <v>#NAME?</v>
      </c>
      <c r="K12" s="75" t="e">
        <f aca="false">1/I12</f>
        <v>#NAME?</v>
      </c>
      <c r="L12" s="75" t="e">
        <f aca="false">1/J12</f>
        <v>#NAME?</v>
      </c>
      <c r="M12" s="526" t="e">
        <f aca="false">1/(1/'Allometric tree'!I12*'Allometric tree'!BF12/100)</f>
        <v>#NAME?</v>
      </c>
      <c r="N12" s="526" t="e">
        <f aca="false">1/(1/'Allometric tree'!I12*'Allometric tree'!BG12/100)</f>
        <v>#NAME?</v>
      </c>
      <c r="O12" s="30" t="e">
        <f aca="false">1/(1/'Allometric tree'!I12*'Allometric tree'!BH12/100)</f>
        <v>#NAME?</v>
      </c>
      <c r="P12" s="30" t="e">
        <f aca="false">1/(1/'Allometric tree'!I12*'Allometric tree'!BI12/100)</f>
        <v>#NAME?</v>
      </c>
      <c r="Q12" s="30" t="e">
        <f aca="false">1/(1/'Allometric tree'!I12*'Allometric tree'!BJ12/100)</f>
        <v>#NAME?</v>
      </c>
      <c r="R12" s="526" t="e">
        <f aca="false">1/(1/'Allometric tree'!I12*'Allometric tree'!BK12/100)</f>
        <v>#NAME?</v>
      </c>
      <c r="S12" s="30" t="e">
        <f aca="false">M12*'Allometric tree'!C12</f>
        <v>#NAME?</v>
      </c>
      <c r="T12" s="30" t="e">
        <f aca="false">N12*'Allometric tree'!C12</f>
        <v>#NAME?</v>
      </c>
      <c r="U12" s="526" t="e">
        <f aca="false">O12*'Allometric tree'!C12</f>
        <v>#NAME?</v>
      </c>
      <c r="V12" s="526" t="e">
        <f aca="false">P12*'Allometric tree'!C12</f>
        <v>#NAME?</v>
      </c>
      <c r="W12" s="526" t="e">
        <f aca="false">Q12*'Allometric tree'!C12</f>
        <v>#NAME?</v>
      </c>
      <c r="X12" s="30" t="e">
        <f aca="false">R12*'Allometric tree'!C12</f>
        <v>#NAME?</v>
      </c>
      <c r="Y12" s="525" t="e">
        <f aca="false">sureau_ini.txt!#ref!</f>
        <v>#NAME?</v>
      </c>
      <c r="Z12" s="527" t="e">
        <f aca="false">AK12/C12</f>
        <v>#NAME?</v>
      </c>
      <c r="AA12" s="525" t="e">
        <f aca="false">sureau_ini.txt!#ref!</f>
        <v>#NAME?</v>
      </c>
      <c r="AB12" s="525" t="e">
        <f aca="false">sureau_ini.txt!#ref!</f>
        <v>#NAME?</v>
      </c>
      <c r="AC12" s="525" t="n">
        <v>1</v>
      </c>
      <c r="AD12" s="72" t="n">
        <v>0.1</v>
      </c>
      <c r="AE12" s="525" t="n">
        <f aca="false">'sureau_ini.txt'!$E$21</f>
        <v>1</v>
      </c>
      <c r="AF12" s="525" t="e">
        <f aca="false">sureau_ini.txt!#ref!+sureau_ini.txt!#ref!</f>
        <v>#NAME?</v>
      </c>
      <c r="AG12" s="525" t="e">
        <f aca="false">sureau_ini.txt!#ref!</f>
        <v>#NAME?</v>
      </c>
      <c r="AH12" s="525" t="e">
        <f aca="false">sureau_ini.txt!#ref!*100</f>
        <v>#NAME?</v>
      </c>
      <c r="AI12" s="75" t="e">
        <f aca="false">AH12/2*Y12</f>
        <v>#NAME?</v>
      </c>
      <c r="AJ12" s="75" t="e">
        <f aca="false">100*(AH12/100-SQRT(AH12/100*AH12/100-4*AW12/1000/AG12/3.1416))/2</f>
        <v>#NAME?</v>
      </c>
      <c r="AK12" s="75" t="e">
        <f aca="false">(3.1416/4*(AH12^2)-3.1416*(AH12/2-AI12)^2)/10000</f>
        <v>#NAME?</v>
      </c>
      <c r="AL12" s="75" t="e">
        <f aca="false">AK12*AF12</f>
        <v>#NAME?</v>
      </c>
      <c r="AM12" s="75" t="e">
        <f aca="false">AL12*AA12*1000</f>
        <v>#NAME?</v>
      </c>
      <c r="AN12" s="75" t="e">
        <f aca="false">AL12*1000*AB12</f>
        <v>#NAME?</v>
      </c>
      <c r="AO12" s="75" t="e">
        <f aca="false">AK12*AG12</f>
        <v>#NAME?</v>
      </c>
      <c r="AP12" s="75" t="e">
        <f aca="false">AH12*AH12*3.1416/4/C12</f>
        <v>#NAME?</v>
      </c>
      <c r="AQ12" s="75" t="e">
        <f aca="false">AK12*10000/C12</f>
        <v>#NAME?</v>
      </c>
      <c r="AR12" s="525" t="e">
        <f aca="false">(sureau_ini.txt!#ref!/2*sureau_ini.txt!#ref!/2*3.1416)</f>
        <v>#NAME?</v>
      </c>
      <c r="AS12" s="525" t="e">
        <f aca="false">C12/AR12</f>
        <v>#NAME?</v>
      </c>
      <c r="AT12" s="75" t="e">
        <f aca="false">10000/AR12</f>
        <v>#NAME?</v>
      </c>
      <c r="AU12" s="75" t="e">
        <f aca="false">AH12*AH12*3.1416/4/10000*AT12</f>
        <v>#NAME?</v>
      </c>
      <c r="AV12" s="528" t="e">
        <f aca="false">AO12*AA12*1000</f>
        <v>#NAME?</v>
      </c>
      <c r="AW12" s="528" t="e">
        <f aca="false">AO12*1000*AB12</f>
        <v>#NAME?</v>
      </c>
      <c r="AX12" s="528" t="e">
        <f aca="false">AM12-AV12</f>
        <v>#NAME?</v>
      </c>
      <c r="AY12" s="528" t="e">
        <f aca="false">AN12-AW12</f>
        <v>#NAME?</v>
      </c>
      <c r="AZ12" s="528" t="e">
        <f aca="false">AM12*AC12</f>
        <v>#NAME?</v>
      </c>
      <c r="BA12" s="528" t="e">
        <f aca="false">AN12*AC12</f>
        <v>#NAME?</v>
      </c>
      <c r="BB12" s="528" t="e">
        <f aca="false">3.1416*AH12*AG12/100</f>
        <v>#NAME?</v>
      </c>
      <c r="BC12" s="528" t="e">
        <f aca="false">C12*AD12</f>
        <v>#NAME?</v>
      </c>
      <c r="BD12" s="528" t="e">
        <f aca="false">C12*AE12</f>
        <v>#NAME?</v>
      </c>
      <c r="BE12" s="528" t="e">
        <f aca="false">BD12+BC12*AC12</f>
        <v>#NAME?</v>
      </c>
      <c r="BF12" s="72" t="n">
        <v>20</v>
      </c>
      <c r="BG12" s="72" t="n">
        <v>20</v>
      </c>
      <c r="BH12" s="72" t="n">
        <v>8</v>
      </c>
      <c r="BI12" s="72" t="n">
        <v>2</v>
      </c>
      <c r="BJ12" s="72" t="n">
        <v>10</v>
      </c>
      <c r="BK12" s="72" t="n">
        <v>40</v>
      </c>
      <c r="BL12" s="75" t="n">
        <f aca="false">SUM(BF12:BI12)</f>
        <v>50</v>
      </c>
      <c r="BM12" s="75" t="n">
        <f aca="false">BJ12+BK12</f>
        <v>50</v>
      </c>
      <c r="BN12" s="75" t="n">
        <f aca="false">SUM(BF12:BK12)</f>
        <v>100</v>
      </c>
      <c r="BO12" s="0" t="e">
        <f aca="false">AV12+AW12+AX12+AY12+AZ12+BA12+C12*sureau_ini.txt!#ref!/1000</f>
        <v>#NAME?</v>
      </c>
      <c r="BP12" s="0" t="e">
        <f aca="false">AV12+AX12+AZ12 +C12*sureau_ini.txt!#ref!*sureau_ini.txt!#ref!/1000</f>
        <v>#NAME?</v>
      </c>
      <c r="BQ12" s="0" t="e">
        <f aca="false">BO12-BP12</f>
        <v>#NAME?</v>
      </c>
    </row>
    <row r="13" customFormat="false" ht="15.75" hidden="false" customHeight="false" outlineLevel="0" collapsed="false">
      <c r="A13" s="0" t="e">
        <f aca="false">sureau_ini.txt!#ref!</f>
        <v>#NAME?</v>
      </c>
      <c r="B13" s="525" t="n">
        <f aca="false">VPD_max</f>
        <v>1.26741256491017</v>
      </c>
      <c r="C13" s="525" t="e">
        <f aca="false">sureau_ini.txt!#ref!</f>
        <v>#NAME?</v>
      </c>
      <c r="D13" s="525" t="e">
        <f aca="false">(1/(1/sureau_ini.txt!#ref!+1/(1.5*(0.00662*(sureau_ini.txt!#ref!/sureau_ini.txt!#ref!*1000)^0.5)*1000*40)+1/sureau_ini.txt!#ref!)*B13/101.6)</f>
        <v>#NAME?</v>
      </c>
      <c r="E13" s="525" t="e">
        <f aca="false">sureau_ini.txt!#ref!/(1/sureau_ini.txt!#ref!+1/(1.5*(0.00662*(sureau_ini.txt!#ref!/sureau_ini.txt!#ref!*1000)^0.5)*1000*40)+1/sureau_ini.txt!#ref!)*B13/101.6 + sureau_ini.txt!#ref!/(1/sureau_ini.txt!#ref!+1/(1.5*(0.00662*(sureau_ini.txt!#ref!/sureau_ini.txt!#ref!*1000)^0.5)*1000*40)+1/sureau_ini.txt!#ref!)*B13/101.6 + sureau_ini.txt!#ref!/(1/sureau_ini.txt!#ref!+1/(1.5*(0.00662*(sureau_ini.txt!#ref!/sureau_ini.txt!#ref!*1000)^0.5)*1000*40)+1/sureau_ini.txt!#ref!)*B13/101.6</f>
        <v>#NAME?</v>
      </c>
      <c r="F13" s="75" t="e">
        <f aca="false">E13/1000*18/AK13/100000*3600*C13</f>
        <v>#NAME?</v>
      </c>
      <c r="G13" s="72" t="n">
        <v>-1.5</v>
      </c>
      <c r="H13" s="72" t="n">
        <v>0</v>
      </c>
      <c r="I13" s="75" t="e">
        <f aca="false">E13/(H13-G13)</f>
        <v>#NAME?</v>
      </c>
      <c r="J13" s="75" t="e">
        <f aca="false">I13*C13</f>
        <v>#NAME?</v>
      </c>
      <c r="K13" s="75" t="e">
        <f aca="false">1/I13</f>
        <v>#NAME?</v>
      </c>
      <c r="L13" s="75" t="e">
        <f aca="false">1/J13</f>
        <v>#NAME?</v>
      </c>
      <c r="M13" s="526" t="e">
        <f aca="false">1/(1/'Allometric tree'!I13*'Allometric tree'!BF13/100)</f>
        <v>#NAME?</v>
      </c>
      <c r="N13" s="526" t="e">
        <f aca="false">1/(1/'Allometric tree'!I13*'Allometric tree'!BG13/100)</f>
        <v>#NAME?</v>
      </c>
      <c r="O13" s="30" t="e">
        <f aca="false">1/(1/'Allometric tree'!I13*'Allometric tree'!BH13/100)</f>
        <v>#NAME?</v>
      </c>
      <c r="P13" s="30" t="e">
        <f aca="false">1/(1/'Allometric tree'!I13*'Allometric tree'!BI13/100)</f>
        <v>#NAME?</v>
      </c>
      <c r="Q13" s="30" t="e">
        <f aca="false">1/(1/'Allometric tree'!I13*'Allometric tree'!BJ13/100)</f>
        <v>#NAME?</v>
      </c>
      <c r="R13" s="526" t="e">
        <f aca="false">1/(1/'Allometric tree'!I13*'Allometric tree'!BK13/100)</f>
        <v>#NAME?</v>
      </c>
      <c r="S13" s="30" t="e">
        <f aca="false">M13*'Allometric tree'!C13</f>
        <v>#NAME?</v>
      </c>
      <c r="T13" s="30" t="e">
        <f aca="false">N13*'Allometric tree'!C13</f>
        <v>#NAME?</v>
      </c>
      <c r="U13" s="526" t="e">
        <f aca="false">O13*'Allometric tree'!C13</f>
        <v>#NAME?</v>
      </c>
      <c r="V13" s="526" t="e">
        <f aca="false">P13*'Allometric tree'!C13</f>
        <v>#NAME?</v>
      </c>
      <c r="W13" s="526" t="e">
        <f aca="false">Q13*'Allometric tree'!C13</f>
        <v>#NAME?</v>
      </c>
      <c r="X13" s="30" t="e">
        <f aca="false">R13*'Allometric tree'!C13</f>
        <v>#NAME?</v>
      </c>
      <c r="Y13" s="525" t="e">
        <f aca="false">sureau_ini.txt!#ref!</f>
        <v>#NAME?</v>
      </c>
      <c r="Z13" s="527" t="e">
        <f aca="false">AK13/C13</f>
        <v>#NAME?</v>
      </c>
      <c r="AA13" s="525" t="e">
        <f aca="false">sureau_ini.txt!#ref!</f>
        <v>#NAME?</v>
      </c>
      <c r="AB13" s="525" t="e">
        <f aca="false">sureau_ini.txt!#ref!</f>
        <v>#NAME?</v>
      </c>
      <c r="AC13" s="525" t="n">
        <v>1</v>
      </c>
      <c r="AD13" s="72" t="n">
        <v>0.1</v>
      </c>
      <c r="AE13" s="525" t="n">
        <f aca="false">'sureau_ini.txt'!$E$21</f>
        <v>1</v>
      </c>
      <c r="AF13" s="525" t="e">
        <f aca="false">sureau_ini.txt!#ref!+sureau_ini.txt!#ref!</f>
        <v>#NAME?</v>
      </c>
      <c r="AG13" s="525" t="e">
        <f aca="false">sureau_ini.txt!#ref!</f>
        <v>#NAME?</v>
      </c>
      <c r="AH13" s="525" t="e">
        <f aca="false">sureau_ini.txt!#ref!*100</f>
        <v>#NAME?</v>
      </c>
      <c r="AI13" s="75" t="e">
        <f aca="false">AH13/2*Y13</f>
        <v>#NAME?</v>
      </c>
      <c r="AJ13" s="75" t="e">
        <f aca="false">100*(AH13/100-SQRT(AH13/100*AH13/100-4*AW13/1000/AG13/3.1416))/2</f>
        <v>#NAME?</v>
      </c>
      <c r="AK13" s="75" t="e">
        <f aca="false">(3.1416/4*(AH13^2)-3.1416*(AH13/2-AI13)^2)/10000</f>
        <v>#NAME?</v>
      </c>
      <c r="AL13" s="75" t="e">
        <f aca="false">AK13*AF13</f>
        <v>#NAME?</v>
      </c>
      <c r="AM13" s="75" t="e">
        <f aca="false">AL13*AA13*1000</f>
        <v>#NAME?</v>
      </c>
      <c r="AN13" s="75" t="e">
        <f aca="false">AL13*1000*AB13</f>
        <v>#NAME?</v>
      </c>
      <c r="AO13" s="75" t="e">
        <f aca="false">AK13*AG13</f>
        <v>#NAME?</v>
      </c>
      <c r="AP13" s="75" t="e">
        <f aca="false">AH13*AH13*3.1416/4/C13</f>
        <v>#NAME?</v>
      </c>
      <c r="AQ13" s="75" t="e">
        <f aca="false">AK13*10000/C13</f>
        <v>#NAME?</v>
      </c>
      <c r="AR13" s="525" t="e">
        <f aca="false">(sureau_ini.txt!#ref!/2*sureau_ini.txt!#ref!/2*3.1416)</f>
        <v>#NAME?</v>
      </c>
      <c r="AS13" s="525" t="e">
        <f aca="false">C13/AR13</f>
        <v>#NAME?</v>
      </c>
      <c r="AT13" s="75" t="e">
        <f aca="false">10000/AR13</f>
        <v>#NAME?</v>
      </c>
      <c r="AU13" s="75" t="e">
        <f aca="false">AH13*AH13*3.1416/4/10000*AT13</f>
        <v>#NAME?</v>
      </c>
      <c r="AV13" s="528" t="e">
        <f aca="false">AO13*AA13*1000</f>
        <v>#NAME?</v>
      </c>
      <c r="AW13" s="528" t="e">
        <f aca="false">AO13*1000*AB13</f>
        <v>#NAME?</v>
      </c>
      <c r="AX13" s="528" t="e">
        <f aca="false">AM13-AV13</f>
        <v>#NAME?</v>
      </c>
      <c r="AY13" s="528" t="e">
        <f aca="false">AN13-AW13</f>
        <v>#NAME?</v>
      </c>
      <c r="AZ13" s="528" t="e">
        <f aca="false">AM13*AC13</f>
        <v>#NAME?</v>
      </c>
      <c r="BA13" s="528" t="e">
        <f aca="false">AN13*AC13</f>
        <v>#NAME?</v>
      </c>
      <c r="BB13" s="528" t="e">
        <f aca="false">3.1416*AH13*AG13/100</f>
        <v>#NAME?</v>
      </c>
      <c r="BC13" s="528" t="e">
        <f aca="false">C13*AD13</f>
        <v>#NAME?</v>
      </c>
      <c r="BD13" s="528" t="e">
        <f aca="false">C13*AE13</f>
        <v>#NAME?</v>
      </c>
      <c r="BE13" s="528" t="e">
        <f aca="false">BD13+BC13*AC13</f>
        <v>#NAME?</v>
      </c>
      <c r="BF13" s="72" t="n">
        <v>20</v>
      </c>
      <c r="BG13" s="72" t="n">
        <v>20</v>
      </c>
      <c r="BH13" s="72" t="n">
        <v>8</v>
      </c>
      <c r="BI13" s="72" t="n">
        <v>2</v>
      </c>
      <c r="BJ13" s="72" t="n">
        <v>10</v>
      </c>
      <c r="BK13" s="72" t="n">
        <v>40</v>
      </c>
      <c r="BL13" s="75" t="n">
        <f aca="false">SUM(BF13:BI13)</f>
        <v>50</v>
      </c>
      <c r="BM13" s="75" t="n">
        <f aca="false">BJ13+BK13</f>
        <v>50</v>
      </c>
      <c r="BN13" s="75" t="n">
        <f aca="false">SUM(BF13:BK13)</f>
        <v>100</v>
      </c>
      <c r="BO13" s="0" t="e">
        <f aca="false">AV13+AW13+AX13+AY13+AZ13+BA13+C13*sureau_ini.txt!#ref!/1000</f>
        <v>#NAME?</v>
      </c>
      <c r="BP13" s="0" t="e">
        <f aca="false">AV13+AX13+AZ13 +C13*sureau_ini.txt!#ref!*sureau_ini.txt!#ref!/1000</f>
        <v>#NAME?</v>
      </c>
      <c r="BQ13" s="0" t="e">
        <f aca="false">BO13-BP13</f>
        <v>#NAME?</v>
      </c>
    </row>
    <row r="14" customFormat="false" ht="15.75" hidden="false" customHeight="false" outlineLevel="0" collapsed="false">
      <c r="A14" s="0" t="e">
        <f aca="false">sureau_ini.txt!#ref!</f>
        <v>#NAME?</v>
      </c>
      <c r="B14" s="525" t="n">
        <f aca="false">VPD_max</f>
        <v>1.26741256491017</v>
      </c>
      <c r="C14" s="525" t="e">
        <f aca="false">sureau_ini.txt!#ref!</f>
        <v>#NAME?</v>
      </c>
      <c r="D14" s="525" t="e">
        <f aca="false">(1/(1/sureau_ini.txt!#ref!+1/(1.5*(0.00662*(sureau_ini.txt!#ref!/sureau_ini.txt!#ref!*1000)^0.5)*1000*40)+1/sureau_ini.txt!#ref!)*B14/101.6)</f>
        <v>#NAME?</v>
      </c>
      <c r="E14" s="525" t="e">
        <f aca="false">sureau_ini.txt!#ref!/(1/sureau_ini.txt!#ref!+1/(1.5*(0.00662*(sureau_ini.txt!#ref!/sureau_ini.txt!#ref!*1000)^0.5)*1000*40)+1/sureau_ini.txt!#ref!)*B14/101.6 + sureau_ini.txt!#ref!/(1/sureau_ini.txt!#ref!+1/(1.5*(0.00662*(sureau_ini.txt!#ref!/sureau_ini.txt!#ref!*1000)^0.5)*1000*40)+1/sureau_ini.txt!#ref!)*B14/101.6 + sureau_ini.txt!#ref!/(1/sureau_ini.txt!#ref!+1/(1.5*(0.00662*(sureau_ini.txt!#ref!/sureau_ini.txt!#ref!*1000)^0.5)*1000*40)+1/sureau_ini.txt!#ref!)*B14/101.6</f>
        <v>#NAME?</v>
      </c>
      <c r="F14" s="75" t="e">
        <f aca="false">E14/1000*18/AK14/100000*3600*C14</f>
        <v>#NAME?</v>
      </c>
      <c r="G14" s="72" t="n">
        <v>-1.5</v>
      </c>
      <c r="H14" s="72" t="n">
        <v>0</v>
      </c>
      <c r="I14" s="75" t="e">
        <f aca="false">E14/(H14-G14)</f>
        <v>#NAME?</v>
      </c>
      <c r="J14" s="75" t="e">
        <f aca="false">I14*C14</f>
        <v>#NAME?</v>
      </c>
      <c r="K14" s="75" t="e">
        <f aca="false">1/I14</f>
        <v>#NAME?</v>
      </c>
      <c r="L14" s="75" t="e">
        <f aca="false">1/J14</f>
        <v>#NAME?</v>
      </c>
      <c r="M14" s="526" t="e">
        <f aca="false">1/(1/'Allometric tree'!I14*'Allometric tree'!BF14/100)</f>
        <v>#NAME?</v>
      </c>
      <c r="N14" s="526" t="e">
        <f aca="false">1/(1/'Allometric tree'!I14*'Allometric tree'!BG14/100)</f>
        <v>#NAME?</v>
      </c>
      <c r="O14" s="30" t="e">
        <f aca="false">1/(1/'Allometric tree'!I14*'Allometric tree'!BH14/100)</f>
        <v>#NAME?</v>
      </c>
      <c r="P14" s="30" t="e">
        <f aca="false">1/(1/'Allometric tree'!I14*'Allometric tree'!BI14/100)</f>
        <v>#NAME?</v>
      </c>
      <c r="Q14" s="30" t="e">
        <f aca="false">1/(1/'Allometric tree'!I14*'Allometric tree'!BJ14/100)</f>
        <v>#NAME?</v>
      </c>
      <c r="R14" s="526" t="e">
        <f aca="false">1/(1/'Allometric tree'!I14*'Allometric tree'!BK14/100)</f>
        <v>#NAME?</v>
      </c>
      <c r="S14" s="30" t="e">
        <f aca="false">M14*'Allometric tree'!C14</f>
        <v>#NAME?</v>
      </c>
      <c r="T14" s="30" t="e">
        <f aca="false">N14*'Allometric tree'!C14</f>
        <v>#NAME?</v>
      </c>
      <c r="U14" s="526" t="e">
        <f aca="false">O14*'Allometric tree'!C14</f>
        <v>#NAME?</v>
      </c>
      <c r="V14" s="526" t="e">
        <f aca="false">P14*'Allometric tree'!C14</f>
        <v>#NAME?</v>
      </c>
      <c r="W14" s="526" t="e">
        <f aca="false">Q14*'Allometric tree'!C14</f>
        <v>#NAME?</v>
      </c>
      <c r="X14" s="30" t="e">
        <f aca="false">R14*'Allometric tree'!C14</f>
        <v>#NAME?</v>
      </c>
      <c r="Y14" s="525" t="e">
        <f aca="false">sureau_ini.txt!#ref!</f>
        <v>#NAME?</v>
      </c>
      <c r="Z14" s="527" t="e">
        <f aca="false">AK14/C14</f>
        <v>#NAME?</v>
      </c>
      <c r="AA14" s="525" t="e">
        <f aca="false">sureau_ini.txt!#ref!</f>
        <v>#NAME?</v>
      </c>
      <c r="AB14" s="525" t="e">
        <f aca="false">sureau_ini.txt!#ref!</f>
        <v>#NAME?</v>
      </c>
      <c r="AC14" s="525" t="n">
        <v>1</v>
      </c>
      <c r="AD14" s="72" t="n">
        <v>0.1</v>
      </c>
      <c r="AE14" s="525" t="n">
        <f aca="false">'sureau_ini.txt'!$E$21</f>
        <v>1</v>
      </c>
      <c r="AF14" s="525" t="e">
        <f aca="false">sureau_ini.txt!#ref!+sureau_ini.txt!#ref!</f>
        <v>#NAME?</v>
      </c>
      <c r="AG14" s="525" t="e">
        <f aca="false">sureau_ini.txt!#ref!</f>
        <v>#NAME?</v>
      </c>
      <c r="AH14" s="525" t="e">
        <f aca="false">sureau_ini.txt!#ref!*100</f>
        <v>#NAME?</v>
      </c>
      <c r="AI14" s="75" t="e">
        <f aca="false">AH14/2*Y14</f>
        <v>#NAME?</v>
      </c>
      <c r="AJ14" s="75" t="e">
        <f aca="false">100*(AH14/100-SQRT(AH14/100*AH14/100-4*AW14/1000/AG14/3.1416))/2</f>
        <v>#NAME?</v>
      </c>
      <c r="AK14" s="75" t="e">
        <f aca="false">(3.1416/4*(AH14^2)-3.1416*(AH14/2-AI14)^2)/10000</f>
        <v>#NAME?</v>
      </c>
      <c r="AL14" s="75" t="e">
        <f aca="false">AK14*AF14</f>
        <v>#NAME?</v>
      </c>
      <c r="AM14" s="75" t="e">
        <f aca="false">AL14*AA14*1000</f>
        <v>#NAME?</v>
      </c>
      <c r="AN14" s="75" t="e">
        <f aca="false">AL14*1000*AB14</f>
        <v>#NAME?</v>
      </c>
      <c r="AO14" s="75" t="e">
        <f aca="false">AK14*AG14</f>
        <v>#NAME?</v>
      </c>
      <c r="AP14" s="75" t="e">
        <f aca="false">AH14*AH14*3.1416/4/C14</f>
        <v>#NAME?</v>
      </c>
      <c r="AQ14" s="75" t="e">
        <f aca="false">AK14*10000/C14</f>
        <v>#NAME?</v>
      </c>
      <c r="AR14" s="525" t="e">
        <f aca="false">(sureau_ini.txt!#ref!/2*sureau_ini.txt!#ref!/2*3.1416)</f>
        <v>#NAME?</v>
      </c>
      <c r="AS14" s="525" t="e">
        <f aca="false">C14/AR14</f>
        <v>#NAME?</v>
      </c>
      <c r="AT14" s="75" t="e">
        <f aca="false">10000/AR14</f>
        <v>#NAME?</v>
      </c>
      <c r="AU14" s="75" t="e">
        <f aca="false">AH14*AH14*3.1416/4/10000*AT14</f>
        <v>#NAME?</v>
      </c>
      <c r="AV14" s="528" t="e">
        <f aca="false">AO14*AA14*1000</f>
        <v>#NAME?</v>
      </c>
      <c r="AW14" s="528" t="e">
        <f aca="false">AO14*1000*AB14</f>
        <v>#NAME?</v>
      </c>
      <c r="AX14" s="528" t="e">
        <f aca="false">AM14-AV14</f>
        <v>#NAME?</v>
      </c>
      <c r="AY14" s="528" t="e">
        <f aca="false">AN14-AW14</f>
        <v>#NAME?</v>
      </c>
      <c r="AZ14" s="528" t="e">
        <f aca="false">AM14*AC14</f>
        <v>#NAME?</v>
      </c>
      <c r="BA14" s="528" t="e">
        <f aca="false">AN14*AC14</f>
        <v>#NAME?</v>
      </c>
      <c r="BB14" s="528" t="e">
        <f aca="false">3.1416*AH14*AG14/100</f>
        <v>#NAME?</v>
      </c>
      <c r="BC14" s="528" t="e">
        <f aca="false">C14*AD14</f>
        <v>#NAME?</v>
      </c>
      <c r="BD14" s="528" t="e">
        <f aca="false">C14*AE14</f>
        <v>#NAME?</v>
      </c>
      <c r="BE14" s="528" t="e">
        <f aca="false">BD14+BC14*AC14</f>
        <v>#NAME?</v>
      </c>
      <c r="BF14" s="72" t="n">
        <v>20</v>
      </c>
      <c r="BG14" s="72" t="n">
        <v>20</v>
      </c>
      <c r="BH14" s="72" t="n">
        <v>8</v>
      </c>
      <c r="BI14" s="72" t="n">
        <v>2</v>
      </c>
      <c r="BJ14" s="72" t="n">
        <v>10</v>
      </c>
      <c r="BK14" s="72" t="n">
        <v>40</v>
      </c>
      <c r="BL14" s="75" t="n">
        <f aca="false">SUM(BF14:BI14)</f>
        <v>50</v>
      </c>
      <c r="BM14" s="75" t="n">
        <f aca="false">BJ14+BK14</f>
        <v>50</v>
      </c>
      <c r="BN14" s="75" t="n">
        <f aca="false">SUM(BF14:BK14)</f>
        <v>100</v>
      </c>
      <c r="BO14" s="0" t="e">
        <f aca="false">AV14+AW14+AX14+AY14+AZ14+BA14+C14*sureau_ini.txt!#ref!/1000</f>
        <v>#NAME?</v>
      </c>
      <c r="BP14" s="0" t="e">
        <f aca="false">AV14+AX14+AZ14 +C14*sureau_ini.txt!#ref!*sureau_ini.txt!#ref!/1000</f>
        <v>#NAME?</v>
      </c>
      <c r="BQ14" s="0" t="e">
        <f aca="false">BO14-BP14</f>
        <v>#NAME?</v>
      </c>
    </row>
    <row r="15" customFormat="false" ht="15.75" hidden="false" customHeight="false" outlineLevel="0" collapsed="false">
      <c r="A15" s="0" t="e">
        <f aca="false">sureau_ini.txt!#ref!</f>
        <v>#NAME?</v>
      </c>
      <c r="B15" s="525" t="n">
        <f aca="false">VPD_max</f>
        <v>1.26741256491017</v>
      </c>
      <c r="C15" s="525" t="e">
        <f aca="false">sureau_ini.txt!#ref!</f>
        <v>#NAME?</v>
      </c>
      <c r="D15" s="525" t="e">
        <f aca="false">(1/(1/sureau_ini.txt!#ref!+1/(1.5*(0.00662*(sureau_ini.txt!#ref!/sureau_ini.txt!#ref!*1000)^0.5)*1000*40)+1/sureau_ini.txt!#ref!)*B15/101.6)</f>
        <v>#NAME?</v>
      </c>
      <c r="E15" s="525" t="e">
        <f aca="false">sureau_ini.txt!#ref!/(1/sureau_ini.txt!#ref!+1/(1.5*(0.00662*(sureau_ini.txt!#ref!/sureau_ini.txt!#ref!*1000)^0.5)*1000*40)+1/sureau_ini.txt!#ref!)*B15/101.6 + sureau_ini.txt!#ref!/(1/sureau_ini.txt!#ref!+1/(1.5*(0.00662*(sureau_ini.txt!#ref!/sureau_ini.txt!#ref!*1000)^0.5)*1000*40)+1/sureau_ini.txt!#ref!)*B15/101.6 + sureau_ini.txt!#ref!/(1/sureau_ini.txt!#ref!+1/(1.5*(0.00662*(sureau_ini.txt!#ref!/sureau_ini.txt!#ref!*1000)^0.5)*1000*40)+1/sureau_ini.txt!#ref!)*B15/101.6</f>
        <v>#NAME?</v>
      </c>
      <c r="F15" s="75" t="e">
        <f aca="false">E15/1000*18/AK15/100000*3600*C15</f>
        <v>#NAME?</v>
      </c>
      <c r="G15" s="72" t="n">
        <v>-1.5</v>
      </c>
      <c r="H15" s="72" t="n">
        <v>0</v>
      </c>
      <c r="I15" s="75" t="e">
        <f aca="false">E15/(H15-G15)</f>
        <v>#NAME?</v>
      </c>
      <c r="J15" s="75" t="e">
        <f aca="false">I15*C15</f>
        <v>#NAME?</v>
      </c>
      <c r="K15" s="75" t="e">
        <f aca="false">1/I15</f>
        <v>#NAME?</v>
      </c>
      <c r="L15" s="75" t="e">
        <f aca="false">1/J15</f>
        <v>#NAME?</v>
      </c>
      <c r="M15" s="526" t="e">
        <f aca="false">1/(1/'Allometric tree'!I15*'Allometric tree'!BF15/100)</f>
        <v>#NAME?</v>
      </c>
      <c r="N15" s="526" t="e">
        <f aca="false">1/(1/'Allometric tree'!I15*'Allometric tree'!BG15/100)</f>
        <v>#NAME?</v>
      </c>
      <c r="O15" s="30" t="e">
        <f aca="false">1/(1/'Allometric tree'!I15*'Allometric tree'!BH15/100)</f>
        <v>#NAME?</v>
      </c>
      <c r="P15" s="30" t="e">
        <f aca="false">1/(1/'Allometric tree'!I15*'Allometric tree'!BI15/100)</f>
        <v>#NAME?</v>
      </c>
      <c r="Q15" s="30" t="e">
        <f aca="false">1/(1/'Allometric tree'!I15*'Allometric tree'!BJ15/100)</f>
        <v>#NAME?</v>
      </c>
      <c r="R15" s="526" t="e">
        <f aca="false">1/(1/'Allometric tree'!I15*'Allometric tree'!BK15/100)</f>
        <v>#NAME?</v>
      </c>
      <c r="S15" s="30" t="e">
        <f aca="false">M15*'Allometric tree'!C15</f>
        <v>#NAME?</v>
      </c>
      <c r="T15" s="30" t="e">
        <f aca="false">N15*'Allometric tree'!C15</f>
        <v>#NAME?</v>
      </c>
      <c r="U15" s="526" t="e">
        <f aca="false">O15*'Allometric tree'!C15</f>
        <v>#NAME?</v>
      </c>
      <c r="V15" s="526" t="e">
        <f aca="false">P15*'Allometric tree'!C15</f>
        <v>#NAME?</v>
      </c>
      <c r="W15" s="526" t="e">
        <f aca="false">Q15*'Allometric tree'!C15</f>
        <v>#NAME?</v>
      </c>
      <c r="X15" s="30" t="e">
        <f aca="false">R15*'Allometric tree'!C15</f>
        <v>#NAME?</v>
      </c>
      <c r="Y15" s="525" t="e">
        <f aca="false">sureau_ini.txt!#ref!</f>
        <v>#NAME?</v>
      </c>
      <c r="Z15" s="527" t="e">
        <f aca="false">AK15/C15</f>
        <v>#NAME?</v>
      </c>
      <c r="AA15" s="525" t="e">
        <f aca="false">sureau_ini.txt!#ref!</f>
        <v>#NAME?</v>
      </c>
      <c r="AB15" s="525" t="e">
        <f aca="false">sureau_ini.txt!#ref!</f>
        <v>#NAME?</v>
      </c>
      <c r="AC15" s="525" t="n">
        <v>1</v>
      </c>
      <c r="AD15" s="72" t="n">
        <v>0.1</v>
      </c>
      <c r="AE15" s="525" t="n">
        <f aca="false">'sureau_ini.txt'!$E$21</f>
        <v>1</v>
      </c>
      <c r="AF15" s="525" t="e">
        <f aca="false">sureau_ini.txt!#ref!+sureau_ini.txt!#ref!</f>
        <v>#NAME?</v>
      </c>
      <c r="AG15" s="525" t="e">
        <f aca="false">sureau_ini.txt!#ref!</f>
        <v>#NAME?</v>
      </c>
      <c r="AH15" s="525" t="e">
        <f aca="false">sureau_ini.txt!#ref!*100</f>
        <v>#NAME?</v>
      </c>
      <c r="AI15" s="75" t="e">
        <f aca="false">AH15/2*Y15</f>
        <v>#NAME?</v>
      </c>
      <c r="AJ15" s="75" t="e">
        <f aca="false">100*(AH15/100-SQRT(AH15/100*AH15/100-4*AW15/1000/AG15/3.1416))/2</f>
        <v>#NAME?</v>
      </c>
      <c r="AK15" s="75" t="e">
        <f aca="false">(3.1416/4*(AH15^2)-3.1416*(AH15/2-AI15)^2)/10000</f>
        <v>#NAME?</v>
      </c>
      <c r="AL15" s="75" t="e">
        <f aca="false">AK15*AF15</f>
        <v>#NAME?</v>
      </c>
      <c r="AM15" s="75" t="e">
        <f aca="false">AL15*AA15*1000</f>
        <v>#NAME?</v>
      </c>
      <c r="AN15" s="75" t="e">
        <f aca="false">AL15*1000*AB15</f>
        <v>#NAME?</v>
      </c>
      <c r="AO15" s="75" t="e">
        <f aca="false">AK15*AG15</f>
        <v>#NAME?</v>
      </c>
      <c r="AP15" s="75" t="e">
        <f aca="false">AH15*AH15*3.1416/4/C15</f>
        <v>#NAME?</v>
      </c>
      <c r="AQ15" s="75" t="e">
        <f aca="false">AK15*10000/C15</f>
        <v>#NAME?</v>
      </c>
      <c r="AR15" s="525" t="e">
        <f aca="false">(sureau_ini.txt!#ref!/2*sureau_ini.txt!#ref!/2*3.1416)</f>
        <v>#NAME?</v>
      </c>
      <c r="AS15" s="525" t="e">
        <f aca="false">C15/AR15</f>
        <v>#NAME?</v>
      </c>
      <c r="AT15" s="75" t="e">
        <f aca="false">10000/AR15</f>
        <v>#NAME?</v>
      </c>
      <c r="AU15" s="75" t="e">
        <f aca="false">AH15*AH15*3.1416/4/10000*AT15</f>
        <v>#NAME?</v>
      </c>
      <c r="AV15" s="528" t="e">
        <f aca="false">AO15*AA15*1000</f>
        <v>#NAME?</v>
      </c>
      <c r="AW15" s="528" t="e">
        <f aca="false">AO15*1000*AB15</f>
        <v>#NAME?</v>
      </c>
      <c r="AX15" s="528" t="e">
        <f aca="false">AM15-AV15</f>
        <v>#NAME?</v>
      </c>
      <c r="AY15" s="528" t="e">
        <f aca="false">AN15-AW15</f>
        <v>#NAME?</v>
      </c>
      <c r="AZ15" s="528" t="e">
        <f aca="false">AM15*AC15</f>
        <v>#NAME?</v>
      </c>
      <c r="BA15" s="528" t="e">
        <f aca="false">AN15*AC15</f>
        <v>#NAME?</v>
      </c>
      <c r="BB15" s="528" t="e">
        <f aca="false">3.1416*AH15*AG15/100</f>
        <v>#NAME?</v>
      </c>
      <c r="BC15" s="528" t="e">
        <f aca="false">C15*AD15</f>
        <v>#NAME?</v>
      </c>
      <c r="BD15" s="528" t="e">
        <f aca="false">C15*AE15</f>
        <v>#NAME?</v>
      </c>
      <c r="BE15" s="528" t="e">
        <f aca="false">BD15+BC15*AC15</f>
        <v>#NAME?</v>
      </c>
      <c r="BF15" s="72" t="n">
        <v>20</v>
      </c>
      <c r="BG15" s="72" t="n">
        <v>20</v>
      </c>
      <c r="BH15" s="72" t="n">
        <v>8</v>
      </c>
      <c r="BI15" s="72" t="n">
        <v>2</v>
      </c>
      <c r="BJ15" s="72" t="n">
        <v>10</v>
      </c>
      <c r="BK15" s="72" t="n">
        <v>40</v>
      </c>
      <c r="BL15" s="75" t="n">
        <f aca="false">SUM(BF15:BI15)</f>
        <v>50</v>
      </c>
      <c r="BM15" s="75" t="n">
        <f aca="false">BJ15+BK15</f>
        <v>50</v>
      </c>
      <c r="BN15" s="75" t="n">
        <f aca="false">SUM(BF15:BK15)</f>
        <v>100</v>
      </c>
      <c r="BO15" s="0" t="e">
        <f aca="false">AV15+AW15+AX15+AY15+AZ15+BA15+C15*sureau_ini.txt!#ref!/1000</f>
        <v>#NAME?</v>
      </c>
      <c r="BP15" s="0" t="e">
        <f aca="false">AV15+AX15+AZ15 +C15*sureau_ini.txt!#ref!*sureau_ini.txt!#ref!/1000</f>
        <v>#NAME?</v>
      </c>
      <c r="BQ15" s="0" t="e">
        <f aca="false">BO15-BP15</f>
        <v>#NAME?</v>
      </c>
    </row>
    <row r="16" customFormat="false" ht="15.75" hidden="false" customHeight="false" outlineLevel="0" collapsed="false">
      <c r="A16" s="0" t="e">
        <f aca="false">sureau_ini.txt!#ref!</f>
        <v>#NAME?</v>
      </c>
      <c r="B16" s="525" t="n">
        <f aca="false">VPD_max</f>
        <v>1.26741256491017</v>
      </c>
      <c r="C16" s="525" t="e">
        <f aca="false">sureau_ini.txt!#ref!</f>
        <v>#NAME?</v>
      </c>
      <c r="D16" s="525" t="e">
        <f aca="false">(1/(1/sureau_ini.txt!#ref!+1/(1.5*(0.00662*(sureau_ini.txt!#ref!/sureau_ini.txt!#ref!*1000)^0.5)*1000*40)+1/sureau_ini.txt!#ref!)*B16/101.6)</f>
        <v>#NAME?</v>
      </c>
      <c r="E16" s="525" t="e">
        <f aca="false">sureau_ini.txt!#ref!/(1/sureau_ini.txt!#ref!+1/(1.5*(0.00662*(sureau_ini.txt!#ref!/sureau_ini.txt!#ref!*1000)^0.5)*1000*40)+1/sureau_ini.txt!#ref!)*B16/101.6 + sureau_ini.txt!#ref!/(1/sureau_ini.txt!#ref!+1/(1.5*(0.00662*(sureau_ini.txt!#ref!/sureau_ini.txt!#ref!*1000)^0.5)*1000*40)+1/sureau_ini.txt!#ref!)*B16/101.6 + sureau_ini.txt!#ref!/(1/sureau_ini.txt!#ref!+1/(1.5*(0.00662*(sureau_ini.txt!#ref!/sureau_ini.txt!#ref!*1000)^0.5)*1000*40)+1/sureau_ini.txt!#ref!)*B16/101.6</f>
        <v>#NAME?</v>
      </c>
      <c r="F16" s="75" t="e">
        <f aca="false">E16/1000*18/AK16/100000*3600*C16</f>
        <v>#NAME?</v>
      </c>
      <c r="G16" s="72" t="n">
        <v>-1.5</v>
      </c>
      <c r="H16" s="72" t="n">
        <v>0</v>
      </c>
      <c r="I16" s="75" t="e">
        <f aca="false">E16/(H16-G16)</f>
        <v>#NAME?</v>
      </c>
      <c r="J16" s="75" t="e">
        <f aca="false">I16*C16</f>
        <v>#NAME?</v>
      </c>
      <c r="K16" s="75" t="e">
        <f aca="false">1/I16</f>
        <v>#NAME?</v>
      </c>
      <c r="L16" s="75" t="e">
        <f aca="false">1/J16</f>
        <v>#NAME?</v>
      </c>
      <c r="M16" s="526" t="e">
        <f aca="false">1/(1/'Allometric tree'!I16*'Allometric tree'!BF16/100)</f>
        <v>#NAME?</v>
      </c>
      <c r="N16" s="526" t="e">
        <f aca="false">1/(1/'Allometric tree'!I16*'Allometric tree'!BG16/100)</f>
        <v>#NAME?</v>
      </c>
      <c r="O16" s="30" t="e">
        <f aca="false">1/(1/'Allometric tree'!I16*'Allometric tree'!BH16/100)</f>
        <v>#NAME?</v>
      </c>
      <c r="P16" s="30" t="e">
        <f aca="false">1/(1/'Allometric tree'!I16*'Allometric tree'!BI16/100)</f>
        <v>#NAME?</v>
      </c>
      <c r="Q16" s="30" t="e">
        <f aca="false">1/(1/'Allometric tree'!I16*'Allometric tree'!BJ16/100)</f>
        <v>#NAME?</v>
      </c>
      <c r="R16" s="526" t="e">
        <f aca="false">1/(1/'Allometric tree'!I16*'Allometric tree'!BK16/100)</f>
        <v>#NAME?</v>
      </c>
      <c r="S16" s="30" t="e">
        <f aca="false">M16*'Allometric tree'!C16</f>
        <v>#NAME?</v>
      </c>
      <c r="T16" s="30" t="e">
        <f aca="false">N16*'Allometric tree'!C16</f>
        <v>#NAME?</v>
      </c>
      <c r="U16" s="526" t="e">
        <f aca="false">O16*'Allometric tree'!C16</f>
        <v>#NAME?</v>
      </c>
      <c r="V16" s="526" t="e">
        <f aca="false">P16*'Allometric tree'!C16</f>
        <v>#NAME?</v>
      </c>
      <c r="W16" s="526" t="e">
        <f aca="false">Q16*'Allometric tree'!C16</f>
        <v>#NAME?</v>
      </c>
      <c r="X16" s="30" t="e">
        <f aca="false">R16*'Allometric tree'!C16</f>
        <v>#NAME?</v>
      </c>
      <c r="Y16" s="525" t="e">
        <f aca="false">sureau_ini.txt!#ref!</f>
        <v>#NAME?</v>
      </c>
      <c r="Z16" s="527" t="e">
        <f aca="false">AK16/C16</f>
        <v>#NAME?</v>
      </c>
      <c r="AA16" s="525" t="e">
        <f aca="false">sureau_ini.txt!#ref!</f>
        <v>#NAME?</v>
      </c>
      <c r="AB16" s="525" t="e">
        <f aca="false">sureau_ini.txt!#ref!</f>
        <v>#NAME?</v>
      </c>
      <c r="AC16" s="525" t="n">
        <v>1</v>
      </c>
      <c r="AD16" s="72" t="n">
        <v>0.1</v>
      </c>
      <c r="AE16" s="525" t="n">
        <f aca="false">'sureau_ini.txt'!$E$21</f>
        <v>1</v>
      </c>
      <c r="AF16" s="525" t="e">
        <f aca="false">sureau_ini.txt!#ref!+sureau_ini.txt!#ref!</f>
        <v>#NAME?</v>
      </c>
      <c r="AG16" s="525" t="e">
        <f aca="false">sureau_ini.txt!#ref!</f>
        <v>#NAME?</v>
      </c>
      <c r="AH16" s="525" t="e">
        <f aca="false">sureau_ini.txt!#ref!*100</f>
        <v>#NAME?</v>
      </c>
      <c r="AI16" s="75" t="e">
        <f aca="false">AH16/2*Y16</f>
        <v>#NAME?</v>
      </c>
      <c r="AJ16" s="75" t="e">
        <f aca="false">100*(AH16/100-SQRT(AH16/100*AH16/100-4*AW16/1000/AG16/3.1416))/2</f>
        <v>#NAME?</v>
      </c>
      <c r="AK16" s="75" t="e">
        <f aca="false">(3.1416/4*(AH16^2)-3.1416*(AH16/2-AI16)^2)/10000</f>
        <v>#NAME?</v>
      </c>
      <c r="AL16" s="75" t="e">
        <f aca="false">AK16*AF16</f>
        <v>#NAME?</v>
      </c>
      <c r="AM16" s="75" t="e">
        <f aca="false">AL16*AA16*1000</f>
        <v>#NAME?</v>
      </c>
      <c r="AN16" s="75" t="e">
        <f aca="false">AL16*1000*AB16</f>
        <v>#NAME?</v>
      </c>
      <c r="AO16" s="75" t="e">
        <f aca="false">AK16*AG16</f>
        <v>#NAME?</v>
      </c>
      <c r="AP16" s="75" t="e">
        <f aca="false">AH16*AH16*3.1416/4/C16</f>
        <v>#NAME?</v>
      </c>
      <c r="AQ16" s="75" t="e">
        <f aca="false">AK16*10000/C16</f>
        <v>#NAME?</v>
      </c>
      <c r="AR16" s="525" t="e">
        <f aca="false">(sureau_ini.txt!#ref!/2*sureau_ini.txt!#ref!/2*3.1416)</f>
        <v>#NAME?</v>
      </c>
      <c r="AS16" s="525" t="e">
        <f aca="false">C16/AR16</f>
        <v>#NAME?</v>
      </c>
      <c r="AT16" s="75" t="e">
        <f aca="false">10000/AR16</f>
        <v>#NAME?</v>
      </c>
      <c r="AU16" s="75" t="e">
        <f aca="false">AH16*AH16*3.1416/4/10000*AT16</f>
        <v>#NAME?</v>
      </c>
      <c r="AV16" s="528" t="e">
        <f aca="false">AO16*AA16*1000</f>
        <v>#NAME?</v>
      </c>
      <c r="AW16" s="528" t="e">
        <f aca="false">AO16*1000*AB16</f>
        <v>#NAME?</v>
      </c>
      <c r="AX16" s="528" t="e">
        <f aca="false">AM16-AV16</f>
        <v>#NAME?</v>
      </c>
      <c r="AY16" s="528" t="e">
        <f aca="false">AN16-AW16</f>
        <v>#NAME?</v>
      </c>
      <c r="AZ16" s="528" t="e">
        <f aca="false">AM16*AC16</f>
        <v>#NAME?</v>
      </c>
      <c r="BA16" s="528" t="e">
        <f aca="false">AN16*AC16</f>
        <v>#NAME?</v>
      </c>
      <c r="BB16" s="528" t="e">
        <f aca="false">3.1416*AH16*AG16/100</f>
        <v>#NAME?</v>
      </c>
      <c r="BC16" s="528" t="e">
        <f aca="false">C16*AD16</f>
        <v>#NAME?</v>
      </c>
      <c r="BD16" s="528" t="e">
        <f aca="false">C16*AE16</f>
        <v>#NAME?</v>
      </c>
      <c r="BE16" s="528" t="e">
        <f aca="false">BD16+BC16*AC16</f>
        <v>#NAME?</v>
      </c>
      <c r="BF16" s="72" t="n">
        <v>20</v>
      </c>
      <c r="BG16" s="72" t="n">
        <v>20</v>
      </c>
      <c r="BH16" s="72" t="n">
        <v>8</v>
      </c>
      <c r="BI16" s="72" t="n">
        <v>2</v>
      </c>
      <c r="BJ16" s="72" t="n">
        <v>10</v>
      </c>
      <c r="BK16" s="72" t="n">
        <v>40</v>
      </c>
      <c r="BL16" s="75" t="n">
        <f aca="false">SUM(BF16:BI16)</f>
        <v>50</v>
      </c>
      <c r="BM16" s="75" t="n">
        <f aca="false">BJ16+BK16</f>
        <v>50</v>
      </c>
      <c r="BN16" s="75" t="n">
        <f aca="false">SUM(BF16:BK16)</f>
        <v>100</v>
      </c>
      <c r="BO16" s="0" t="e">
        <f aca="false">AV16+AW16+AX16+AY16+AZ16+BA16+C16*sureau_ini.txt!#ref!/1000</f>
        <v>#NAME?</v>
      </c>
      <c r="BP16" s="0" t="e">
        <f aca="false">AV16+AX16+AZ16 +C16*sureau_ini.txt!#ref!*sureau_ini.txt!#ref!/1000</f>
        <v>#NAME?</v>
      </c>
      <c r="BQ16" s="0" t="e">
        <f aca="false">BO16-BP16</f>
        <v>#NAME?</v>
      </c>
    </row>
    <row r="17" customFormat="false" ht="15.75" hidden="false" customHeight="false" outlineLevel="0" collapsed="false">
      <c r="A17" s="0" t="e">
        <f aca="false">sureau_ini.txt!#ref!</f>
        <v>#NAME?</v>
      </c>
      <c r="B17" s="525" t="n">
        <f aca="false">VPD_max</f>
        <v>1.26741256491017</v>
      </c>
      <c r="C17" s="525" t="e">
        <f aca="false">sureau_ini.txt!#ref!</f>
        <v>#NAME?</v>
      </c>
      <c r="D17" s="525" t="e">
        <f aca="false">(1/(1/sureau_ini.txt!#ref!+1/(1.5*(0.00662*(sureau_ini.txt!#ref!/sureau_ini.txt!#ref!*1000)^0.5)*1000*40)+1/sureau_ini.txt!#ref!)*B17/101.6)</f>
        <v>#NAME?</v>
      </c>
      <c r="E17" s="525" t="e">
        <f aca="false">sureau_ini.txt!#ref!/(1/sureau_ini.txt!#ref!+1/(1.5*(0.00662*(sureau_ini.txt!#ref!/sureau_ini.txt!#ref!*1000)^0.5)*1000*40)+1/sureau_ini.txt!#ref!)*B17/101.6 + sureau_ini.txt!#ref!/(1/sureau_ini.txt!#ref!+1/(1.5*(0.00662*(sureau_ini.txt!#ref!/sureau_ini.txt!#ref!*1000)^0.5)*1000*40)+1/sureau_ini.txt!#ref!)*B17/101.6 + sureau_ini.txt!#ref!/(1/sureau_ini.txt!#ref!+1/(1.5*(0.00662*(sureau_ini.txt!#ref!/sureau_ini.txt!#ref!*1000)^0.5)*1000*40)+1/sureau_ini.txt!#ref!)*B17/101.6</f>
        <v>#NAME?</v>
      </c>
      <c r="F17" s="75" t="e">
        <f aca="false">E17/1000*18/AK17/100000*3600*C17</f>
        <v>#NAME?</v>
      </c>
      <c r="G17" s="72" t="n">
        <v>-1.5</v>
      </c>
      <c r="H17" s="72" t="n">
        <v>0</v>
      </c>
      <c r="I17" s="75" t="e">
        <f aca="false">E17/(H17-G17)</f>
        <v>#NAME?</v>
      </c>
      <c r="J17" s="75" t="e">
        <f aca="false">I17*C17</f>
        <v>#NAME?</v>
      </c>
      <c r="K17" s="75" t="e">
        <f aca="false">1/I17</f>
        <v>#NAME?</v>
      </c>
      <c r="L17" s="75" t="e">
        <f aca="false">1/J17</f>
        <v>#NAME?</v>
      </c>
      <c r="M17" s="526" t="e">
        <f aca="false">1/(1/'Allometric tree'!I17*'Allometric tree'!BF17/100)</f>
        <v>#NAME?</v>
      </c>
      <c r="N17" s="526" t="e">
        <f aca="false">1/(1/'Allometric tree'!I17*'Allometric tree'!BG17/100)</f>
        <v>#NAME?</v>
      </c>
      <c r="O17" s="30" t="e">
        <f aca="false">1/(1/'Allometric tree'!I17*'Allometric tree'!BH17/100)</f>
        <v>#NAME?</v>
      </c>
      <c r="P17" s="30" t="e">
        <f aca="false">1/(1/'Allometric tree'!I17*'Allometric tree'!BI17/100)</f>
        <v>#NAME?</v>
      </c>
      <c r="Q17" s="30" t="e">
        <f aca="false">1/(1/'Allometric tree'!I17*'Allometric tree'!BJ17/100)</f>
        <v>#NAME?</v>
      </c>
      <c r="R17" s="526" t="e">
        <f aca="false">1/(1/'Allometric tree'!I17*'Allometric tree'!BK17/100)</f>
        <v>#NAME?</v>
      </c>
      <c r="S17" s="30" t="e">
        <f aca="false">M17*'Allometric tree'!C17</f>
        <v>#NAME?</v>
      </c>
      <c r="T17" s="30" t="e">
        <f aca="false">N17*'Allometric tree'!C17</f>
        <v>#NAME?</v>
      </c>
      <c r="U17" s="526" t="e">
        <f aca="false">O17*'Allometric tree'!C17</f>
        <v>#NAME?</v>
      </c>
      <c r="V17" s="526" t="e">
        <f aca="false">P17*'Allometric tree'!C17</f>
        <v>#NAME?</v>
      </c>
      <c r="W17" s="526" t="e">
        <f aca="false">Q17*'Allometric tree'!C17</f>
        <v>#NAME?</v>
      </c>
      <c r="X17" s="30" t="e">
        <f aca="false">R17*'Allometric tree'!C17</f>
        <v>#NAME?</v>
      </c>
      <c r="Y17" s="525" t="e">
        <f aca="false">sureau_ini.txt!#ref!</f>
        <v>#NAME?</v>
      </c>
      <c r="Z17" s="527" t="e">
        <f aca="false">AK17/C17</f>
        <v>#NAME?</v>
      </c>
      <c r="AA17" s="525" t="e">
        <f aca="false">sureau_ini.txt!#ref!</f>
        <v>#NAME?</v>
      </c>
      <c r="AB17" s="525" t="e">
        <f aca="false">sureau_ini.txt!#ref!</f>
        <v>#NAME?</v>
      </c>
      <c r="AC17" s="525" t="n">
        <v>1</v>
      </c>
      <c r="AD17" s="72" t="n">
        <v>0.1</v>
      </c>
      <c r="AE17" s="525" t="n">
        <f aca="false">'sureau_ini.txt'!$E$21</f>
        <v>1</v>
      </c>
      <c r="AF17" s="525" t="e">
        <f aca="false">sureau_ini.txt!#ref!+sureau_ini.txt!#ref!</f>
        <v>#NAME?</v>
      </c>
      <c r="AG17" s="525" t="e">
        <f aca="false">sureau_ini.txt!#ref!</f>
        <v>#NAME?</v>
      </c>
      <c r="AH17" s="525" t="e">
        <f aca="false">sureau_ini.txt!#ref!*100</f>
        <v>#NAME?</v>
      </c>
      <c r="AI17" s="75" t="e">
        <f aca="false">AH17/2*Y17</f>
        <v>#NAME?</v>
      </c>
      <c r="AJ17" s="75" t="e">
        <f aca="false">100*(AH17/100-SQRT(AH17/100*AH17/100-4*AW17/1000/AG17/3.1416))/2</f>
        <v>#NAME?</v>
      </c>
      <c r="AK17" s="75" t="e">
        <f aca="false">(3.1416/4*(AH17^2)-3.1416*(AH17/2-AI17)^2)/10000</f>
        <v>#NAME?</v>
      </c>
      <c r="AL17" s="75" t="e">
        <f aca="false">AK17*AF17</f>
        <v>#NAME?</v>
      </c>
      <c r="AM17" s="75" t="e">
        <f aca="false">AL17*AA17*1000</f>
        <v>#NAME?</v>
      </c>
      <c r="AN17" s="75" t="e">
        <f aca="false">AL17*1000*AB17</f>
        <v>#NAME?</v>
      </c>
      <c r="AO17" s="75" t="e">
        <f aca="false">AK17*AG17</f>
        <v>#NAME?</v>
      </c>
      <c r="AP17" s="75" t="e">
        <f aca="false">AH17*AH17*3.1416/4/C17</f>
        <v>#NAME?</v>
      </c>
      <c r="AQ17" s="75" t="e">
        <f aca="false">AK17*10000/C17</f>
        <v>#NAME?</v>
      </c>
      <c r="AR17" s="525" t="e">
        <f aca="false">(sureau_ini.txt!#ref!/2*sureau_ini.txt!#ref!/2*3.1416)</f>
        <v>#NAME?</v>
      </c>
      <c r="AS17" s="525" t="e">
        <f aca="false">C17/AR17</f>
        <v>#NAME?</v>
      </c>
      <c r="AT17" s="75" t="e">
        <f aca="false">10000/AR17</f>
        <v>#NAME?</v>
      </c>
      <c r="AU17" s="75" t="e">
        <f aca="false">AH17*AH17*3.1416/4/10000*AT17</f>
        <v>#NAME?</v>
      </c>
      <c r="AV17" s="528" t="e">
        <f aca="false">AO17*AA17*1000</f>
        <v>#NAME?</v>
      </c>
      <c r="AW17" s="528" t="e">
        <f aca="false">AO17*1000*AB17</f>
        <v>#NAME?</v>
      </c>
      <c r="AX17" s="528" t="e">
        <f aca="false">AM17-AV17</f>
        <v>#NAME?</v>
      </c>
      <c r="AY17" s="528" t="e">
        <f aca="false">AN17-AW17</f>
        <v>#NAME?</v>
      </c>
      <c r="AZ17" s="528" t="e">
        <f aca="false">AM17*AC17</f>
        <v>#NAME?</v>
      </c>
      <c r="BA17" s="528" t="e">
        <f aca="false">AN17*AC17</f>
        <v>#NAME?</v>
      </c>
      <c r="BB17" s="528" t="e">
        <f aca="false">3.1416*AH17*AG17/100</f>
        <v>#NAME?</v>
      </c>
      <c r="BC17" s="528" t="e">
        <f aca="false">C17*AD17</f>
        <v>#NAME?</v>
      </c>
      <c r="BD17" s="528" t="e">
        <f aca="false">C17*AE17</f>
        <v>#NAME?</v>
      </c>
      <c r="BE17" s="528" t="e">
        <f aca="false">BD17+BC17*AC17</f>
        <v>#NAME?</v>
      </c>
      <c r="BF17" s="72" t="n">
        <v>20</v>
      </c>
      <c r="BG17" s="72" t="n">
        <v>20</v>
      </c>
      <c r="BH17" s="72" t="n">
        <v>8</v>
      </c>
      <c r="BI17" s="72" t="n">
        <v>2</v>
      </c>
      <c r="BJ17" s="72" t="n">
        <v>10</v>
      </c>
      <c r="BK17" s="72" t="n">
        <v>40</v>
      </c>
      <c r="BL17" s="75" t="n">
        <f aca="false">SUM(BF17:BI17)</f>
        <v>50</v>
      </c>
      <c r="BM17" s="75" t="n">
        <f aca="false">BJ17+BK17</f>
        <v>50</v>
      </c>
      <c r="BN17" s="75" t="n">
        <f aca="false">SUM(BF17:BK17)</f>
        <v>100</v>
      </c>
      <c r="BO17" s="0" t="e">
        <f aca="false">AV17+AW17+AX17+AY17+AZ17+BA17+C17*sureau_ini.txt!#ref!/1000</f>
        <v>#NAME?</v>
      </c>
      <c r="BP17" s="0" t="e">
        <f aca="false">AV17+AX17+AZ17 +C17*sureau_ini.txt!#ref!*sureau_ini.txt!#ref!/1000</f>
        <v>#NAME?</v>
      </c>
      <c r="BQ17" s="0" t="e">
        <f aca="false">BO17-BP17</f>
        <v>#NAME?</v>
      </c>
    </row>
    <row r="18" customFormat="false" ht="15.75" hidden="false" customHeight="false" outlineLevel="0" collapsed="false">
      <c r="A18" s="0" t="e">
        <f aca="false">sureau_ini.txt!#ref!</f>
        <v>#NAME?</v>
      </c>
      <c r="B18" s="525" t="n">
        <f aca="false">VPD_max</f>
        <v>1.26741256491017</v>
      </c>
      <c r="C18" s="525" t="e">
        <f aca="false">sureau_ini.txt!#ref!</f>
        <v>#NAME?</v>
      </c>
      <c r="D18" s="525" t="e">
        <f aca="false">(1/(1/sureau_ini.txt!#ref!+1/(1.5*(0.00662*(sureau_ini.txt!#ref!/sureau_ini.txt!#ref!*1000)^0.5)*1000*40)+1/sureau_ini.txt!#ref!)*B18/101.6)</f>
        <v>#NAME?</v>
      </c>
      <c r="E18" s="525" t="e">
        <f aca="false">sureau_ini.txt!#ref!/(1/sureau_ini.txt!#ref!+1/(1.5*(0.00662*(sureau_ini.txt!#ref!/sureau_ini.txt!#ref!*1000)^0.5)*1000*40)+1/sureau_ini.txt!#ref!)*B18/101.6 + sureau_ini.txt!#ref!/(1/sureau_ini.txt!#ref!+1/(1.5*(0.00662*(sureau_ini.txt!#ref!/sureau_ini.txt!#ref!*1000)^0.5)*1000*40)+1/sureau_ini.txt!#ref!)*B18/101.6 + sureau_ini.txt!#ref!/(1/sureau_ini.txt!#ref!+1/(1.5*(0.00662*(sureau_ini.txt!#ref!/sureau_ini.txt!#ref!*1000)^0.5)*1000*40)+1/sureau_ini.txt!#ref!)*B18/101.6</f>
        <v>#NAME?</v>
      </c>
      <c r="F18" s="75" t="e">
        <f aca="false">E18/1000*18/AK18/100000*3600*C18</f>
        <v>#NAME?</v>
      </c>
      <c r="G18" s="72" t="n">
        <v>-1.5</v>
      </c>
      <c r="H18" s="72" t="n">
        <v>0</v>
      </c>
      <c r="I18" s="75" t="e">
        <f aca="false">E18/(H18-G18)</f>
        <v>#NAME?</v>
      </c>
      <c r="J18" s="75" t="e">
        <f aca="false">I18*C18</f>
        <v>#NAME?</v>
      </c>
      <c r="K18" s="75" t="e">
        <f aca="false">1/I18</f>
        <v>#NAME?</v>
      </c>
      <c r="L18" s="75" t="e">
        <f aca="false">1/J18</f>
        <v>#NAME?</v>
      </c>
      <c r="M18" s="526" t="e">
        <f aca="false">1/(1/'Allometric tree'!I18*'Allometric tree'!BF18/100)</f>
        <v>#NAME?</v>
      </c>
      <c r="N18" s="526" t="e">
        <f aca="false">1/(1/'Allometric tree'!I18*'Allometric tree'!BG18/100)</f>
        <v>#NAME?</v>
      </c>
      <c r="O18" s="30" t="e">
        <f aca="false">1/(1/'Allometric tree'!I18*'Allometric tree'!BH18/100)</f>
        <v>#NAME?</v>
      </c>
      <c r="P18" s="30" t="e">
        <f aca="false">1/(1/'Allometric tree'!I18*'Allometric tree'!BI18/100)</f>
        <v>#NAME?</v>
      </c>
      <c r="Q18" s="30" t="e">
        <f aca="false">1/(1/'Allometric tree'!I18*'Allometric tree'!BJ18/100)</f>
        <v>#NAME?</v>
      </c>
      <c r="R18" s="526" t="e">
        <f aca="false">1/(1/'Allometric tree'!I18*'Allometric tree'!BK18/100)</f>
        <v>#NAME?</v>
      </c>
      <c r="S18" s="30" t="e">
        <f aca="false">M18*'Allometric tree'!C18</f>
        <v>#NAME?</v>
      </c>
      <c r="T18" s="30" t="e">
        <f aca="false">N18*'Allometric tree'!C18</f>
        <v>#NAME?</v>
      </c>
      <c r="U18" s="526" t="e">
        <f aca="false">O18*'Allometric tree'!C18</f>
        <v>#NAME?</v>
      </c>
      <c r="V18" s="526" t="e">
        <f aca="false">P18*'Allometric tree'!C18</f>
        <v>#NAME?</v>
      </c>
      <c r="W18" s="526" t="e">
        <f aca="false">Q18*'Allometric tree'!C18</f>
        <v>#NAME?</v>
      </c>
      <c r="X18" s="30" t="e">
        <f aca="false">R18*'Allometric tree'!C18</f>
        <v>#NAME?</v>
      </c>
      <c r="Y18" s="525" t="e">
        <f aca="false">sureau_ini.txt!#ref!</f>
        <v>#NAME?</v>
      </c>
      <c r="Z18" s="527" t="e">
        <f aca="false">AK18/C18</f>
        <v>#NAME?</v>
      </c>
      <c r="AA18" s="525" t="e">
        <f aca="false">sureau_ini.txt!#ref!</f>
        <v>#NAME?</v>
      </c>
      <c r="AB18" s="525" t="e">
        <f aca="false">sureau_ini.txt!#ref!</f>
        <v>#NAME?</v>
      </c>
      <c r="AC18" s="525" t="n">
        <v>1</v>
      </c>
      <c r="AD18" s="72" t="n">
        <v>0.1</v>
      </c>
      <c r="AE18" s="525" t="n">
        <f aca="false">'sureau_ini.txt'!$E$21</f>
        <v>1</v>
      </c>
      <c r="AF18" s="525" t="e">
        <f aca="false">sureau_ini.txt!#ref!+sureau_ini.txt!#ref!</f>
        <v>#NAME?</v>
      </c>
      <c r="AG18" s="525" t="e">
        <f aca="false">sureau_ini.txt!#ref!</f>
        <v>#NAME?</v>
      </c>
      <c r="AH18" s="525" t="e">
        <f aca="false">sureau_ini.txt!#ref!*100</f>
        <v>#NAME?</v>
      </c>
      <c r="AI18" s="75" t="e">
        <f aca="false">AH18/2*Y18</f>
        <v>#NAME?</v>
      </c>
      <c r="AJ18" s="75" t="e">
        <f aca="false">100*(AH18/100-SQRT(AH18/100*AH18/100-4*AW18/1000/AG18/3.1416))/2</f>
        <v>#NAME?</v>
      </c>
      <c r="AK18" s="75" t="e">
        <f aca="false">(3.1416/4*(AH18^2)-3.1416*(AH18/2-AI18)^2)/10000</f>
        <v>#NAME?</v>
      </c>
      <c r="AL18" s="75" t="e">
        <f aca="false">AK18*AF18</f>
        <v>#NAME?</v>
      </c>
      <c r="AM18" s="75" t="e">
        <f aca="false">AL18*AA18*1000</f>
        <v>#NAME?</v>
      </c>
      <c r="AN18" s="75" t="e">
        <f aca="false">AL18*1000*AB18</f>
        <v>#NAME?</v>
      </c>
      <c r="AO18" s="75" t="e">
        <f aca="false">AK18*AG18</f>
        <v>#NAME?</v>
      </c>
      <c r="AP18" s="75" t="e">
        <f aca="false">AH18*AH18*3.1416/4/C18</f>
        <v>#NAME?</v>
      </c>
      <c r="AQ18" s="75" t="e">
        <f aca="false">AK18*10000/C18</f>
        <v>#NAME?</v>
      </c>
      <c r="AR18" s="525" t="e">
        <f aca="false">(sureau_ini.txt!#ref!/2*sureau_ini.txt!#ref!/2*3.1416)</f>
        <v>#NAME?</v>
      </c>
      <c r="AS18" s="525" t="e">
        <f aca="false">C18/AR18</f>
        <v>#NAME?</v>
      </c>
      <c r="AT18" s="75" t="e">
        <f aca="false">10000/AR18</f>
        <v>#NAME?</v>
      </c>
      <c r="AU18" s="75" t="e">
        <f aca="false">AH18*AH18*3.1416/4/10000*AT18</f>
        <v>#NAME?</v>
      </c>
      <c r="AV18" s="528" t="e">
        <f aca="false">AO18*AA18*1000</f>
        <v>#NAME?</v>
      </c>
      <c r="AW18" s="528" t="e">
        <f aca="false">AO18*1000*AB18</f>
        <v>#NAME?</v>
      </c>
      <c r="AX18" s="528" t="e">
        <f aca="false">AM18-AV18</f>
        <v>#NAME?</v>
      </c>
      <c r="AY18" s="528" t="e">
        <f aca="false">AN18-AW18</f>
        <v>#NAME?</v>
      </c>
      <c r="AZ18" s="528" t="e">
        <f aca="false">AM18*AC18</f>
        <v>#NAME?</v>
      </c>
      <c r="BA18" s="528" t="e">
        <f aca="false">AN18*AC18</f>
        <v>#NAME?</v>
      </c>
      <c r="BB18" s="528" t="e">
        <f aca="false">3.1416*AH18*AG18/100</f>
        <v>#NAME?</v>
      </c>
      <c r="BC18" s="528" t="e">
        <f aca="false">C18*AD18</f>
        <v>#NAME?</v>
      </c>
      <c r="BD18" s="528" t="e">
        <f aca="false">C18*AE18</f>
        <v>#NAME?</v>
      </c>
      <c r="BE18" s="528" t="e">
        <f aca="false">BD18+BC18*AC18</f>
        <v>#NAME?</v>
      </c>
      <c r="BF18" s="72" t="n">
        <v>20</v>
      </c>
      <c r="BG18" s="72" t="n">
        <v>20</v>
      </c>
      <c r="BH18" s="72" t="n">
        <v>8</v>
      </c>
      <c r="BI18" s="72" t="n">
        <v>2</v>
      </c>
      <c r="BJ18" s="72" t="n">
        <v>10</v>
      </c>
      <c r="BK18" s="72" t="n">
        <v>40</v>
      </c>
      <c r="BL18" s="75" t="n">
        <f aca="false">SUM(BF18:BI18)</f>
        <v>50</v>
      </c>
      <c r="BM18" s="75" t="n">
        <f aca="false">BJ18+BK18</f>
        <v>50</v>
      </c>
      <c r="BN18" s="75" t="n">
        <f aca="false">SUM(BF18:BK18)</f>
        <v>100</v>
      </c>
      <c r="BO18" s="0" t="e">
        <f aca="false">AV18+AW18+AX18+AY18+AZ18+BA18+C18*sureau_ini.txt!#ref!/1000</f>
        <v>#NAME?</v>
      </c>
      <c r="BP18" s="0" t="e">
        <f aca="false">AV18+AX18+AZ18 +C18*sureau_ini.txt!#ref!*sureau_ini.txt!#ref!/1000</f>
        <v>#NAME?</v>
      </c>
      <c r="BQ18" s="0" t="e">
        <f aca="false">BO18-BP18</f>
        <v>#NAME?</v>
      </c>
    </row>
    <row r="19" customFormat="false" ht="15.75" hidden="false" customHeight="false" outlineLevel="0" collapsed="false">
      <c r="A19" s="0" t="e">
        <f aca="false">sureau_ini.txt!#ref!</f>
        <v>#NAME?</v>
      </c>
      <c r="B19" s="525" t="n">
        <f aca="false">VPD_max</f>
        <v>1.26741256491017</v>
      </c>
      <c r="C19" s="525" t="e">
        <f aca="false">sureau_ini.txt!#ref!</f>
        <v>#NAME?</v>
      </c>
      <c r="D19" s="525" t="e">
        <f aca="false">(1/(1/sureau_ini.txt!#ref!+1/(1.5*(0.00662*(sureau_ini.txt!#ref!/sureau_ini.txt!#ref!*1000)^0.5)*1000*40)+1/sureau_ini.txt!#ref!)*B19/101.6)</f>
        <v>#NAME?</v>
      </c>
      <c r="E19" s="525" t="e">
        <f aca="false">sureau_ini.txt!#ref!/(1/sureau_ini.txt!#ref!+1/(1.5*(0.00662*(sureau_ini.txt!#ref!/sureau_ini.txt!#ref!*1000)^0.5)*1000*40)+1/sureau_ini.txt!#ref!)*B19/101.6 + sureau_ini.txt!#ref!/(1/sureau_ini.txt!#ref!+1/(1.5*(0.00662*(sureau_ini.txt!#ref!/sureau_ini.txt!#ref!*1000)^0.5)*1000*40)+1/sureau_ini.txt!#ref!)*B19/101.6 + sureau_ini.txt!#ref!/(1/sureau_ini.txt!#ref!+1/(1.5*(0.00662*(sureau_ini.txt!#ref!/sureau_ini.txt!#ref!*1000)^0.5)*1000*40)+1/sureau_ini.txt!#ref!)*B19/101.6</f>
        <v>#NAME?</v>
      </c>
      <c r="F19" s="75" t="e">
        <f aca="false">E19/1000*18/AK19/100000*3600*C19</f>
        <v>#NAME?</v>
      </c>
      <c r="G19" s="72" t="n">
        <v>-1.5</v>
      </c>
      <c r="H19" s="72" t="n">
        <v>0</v>
      </c>
      <c r="I19" s="75" t="e">
        <f aca="false">E19/(H19-G19)</f>
        <v>#NAME?</v>
      </c>
      <c r="J19" s="75" t="e">
        <f aca="false">I19*C19</f>
        <v>#NAME?</v>
      </c>
      <c r="K19" s="75" t="e">
        <f aca="false">1/I19</f>
        <v>#NAME?</v>
      </c>
      <c r="L19" s="75" t="e">
        <f aca="false">1/J19</f>
        <v>#NAME?</v>
      </c>
      <c r="M19" s="526" t="e">
        <f aca="false">1/(1/'Allometric tree'!I19*'Allometric tree'!BF19/100)</f>
        <v>#NAME?</v>
      </c>
      <c r="N19" s="526" t="e">
        <f aca="false">1/(1/'Allometric tree'!I19*'Allometric tree'!BG19/100)</f>
        <v>#NAME?</v>
      </c>
      <c r="O19" s="30" t="e">
        <f aca="false">1/(1/'Allometric tree'!I19*'Allometric tree'!BH19/100)</f>
        <v>#NAME?</v>
      </c>
      <c r="P19" s="30" t="e">
        <f aca="false">1/(1/'Allometric tree'!I19*'Allometric tree'!BI19/100)</f>
        <v>#NAME?</v>
      </c>
      <c r="Q19" s="30" t="e">
        <f aca="false">1/(1/'Allometric tree'!I19*'Allometric tree'!BJ19/100)</f>
        <v>#NAME?</v>
      </c>
      <c r="R19" s="526" t="e">
        <f aca="false">1/(1/'Allometric tree'!I19*'Allometric tree'!BK19/100)</f>
        <v>#NAME?</v>
      </c>
      <c r="S19" s="30" t="e">
        <f aca="false">M19*'Allometric tree'!C19</f>
        <v>#NAME?</v>
      </c>
      <c r="T19" s="30" t="e">
        <f aca="false">N19*'Allometric tree'!C19</f>
        <v>#NAME?</v>
      </c>
      <c r="U19" s="526" t="e">
        <f aca="false">O19*'Allometric tree'!C19</f>
        <v>#NAME?</v>
      </c>
      <c r="V19" s="526" t="e">
        <f aca="false">P19*'Allometric tree'!C19</f>
        <v>#NAME?</v>
      </c>
      <c r="W19" s="526" t="e">
        <f aca="false">Q19*'Allometric tree'!C19</f>
        <v>#NAME?</v>
      </c>
      <c r="X19" s="30" t="e">
        <f aca="false">R19*'Allometric tree'!C19</f>
        <v>#NAME?</v>
      </c>
      <c r="Y19" s="525" t="e">
        <f aca="false">sureau_ini.txt!#ref!</f>
        <v>#NAME?</v>
      </c>
      <c r="Z19" s="527" t="e">
        <f aca="false">AK19/C19</f>
        <v>#NAME?</v>
      </c>
      <c r="AA19" s="525" t="e">
        <f aca="false">sureau_ini.txt!#ref!</f>
        <v>#NAME?</v>
      </c>
      <c r="AB19" s="525" t="e">
        <f aca="false">sureau_ini.txt!#ref!</f>
        <v>#NAME?</v>
      </c>
      <c r="AC19" s="525" t="n">
        <v>1</v>
      </c>
      <c r="AD19" s="72" t="n">
        <v>0.1</v>
      </c>
      <c r="AE19" s="525" t="n">
        <f aca="false">'sureau_ini.txt'!$E$21</f>
        <v>1</v>
      </c>
      <c r="AF19" s="525" t="e">
        <f aca="false">sureau_ini.txt!#ref!+sureau_ini.txt!#ref!</f>
        <v>#NAME?</v>
      </c>
      <c r="AG19" s="525" t="e">
        <f aca="false">sureau_ini.txt!#ref!</f>
        <v>#NAME?</v>
      </c>
      <c r="AH19" s="525" t="e">
        <f aca="false">sureau_ini.txt!#ref!*100</f>
        <v>#NAME?</v>
      </c>
      <c r="AI19" s="75" t="e">
        <f aca="false">AH19/2*Y19</f>
        <v>#NAME?</v>
      </c>
      <c r="AJ19" s="75" t="e">
        <f aca="false">100*(AH19/100-SQRT(AH19/100*AH19/100-4*AW19/1000/AG19/3.1416))/2</f>
        <v>#NAME?</v>
      </c>
      <c r="AK19" s="75" t="e">
        <f aca="false">(3.1416/4*(AH19^2)-3.1416*(AH19/2-AI19)^2)/10000</f>
        <v>#NAME?</v>
      </c>
      <c r="AL19" s="75" t="e">
        <f aca="false">AK19*AF19</f>
        <v>#NAME?</v>
      </c>
      <c r="AM19" s="75" t="e">
        <f aca="false">AL19*AA19*1000</f>
        <v>#NAME?</v>
      </c>
      <c r="AN19" s="75" t="e">
        <f aca="false">AL19*1000*AB19</f>
        <v>#NAME?</v>
      </c>
      <c r="AO19" s="75" t="e">
        <f aca="false">AK19*AG19</f>
        <v>#NAME?</v>
      </c>
      <c r="AP19" s="75" t="e">
        <f aca="false">AH19*AH19*3.1416/4/C19</f>
        <v>#NAME?</v>
      </c>
      <c r="AQ19" s="75" t="e">
        <f aca="false">AK19*10000/C19</f>
        <v>#NAME?</v>
      </c>
      <c r="AR19" s="525" t="e">
        <f aca="false">(sureau_ini.txt!#ref!/2*sureau_ini.txt!#ref!/2*3.1416)</f>
        <v>#NAME?</v>
      </c>
      <c r="AS19" s="525" t="e">
        <f aca="false">C19/AR19</f>
        <v>#NAME?</v>
      </c>
      <c r="AT19" s="75" t="e">
        <f aca="false">10000/AR19</f>
        <v>#NAME?</v>
      </c>
      <c r="AU19" s="75" t="e">
        <f aca="false">AH19*AH19*3.1416/4/10000*AT19</f>
        <v>#NAME?</v>
      </c>
      <c r="AV19" s="528" t="e">
        <f aca="false">AO19*AA19*1000</f>
        <v>#NAME?</v>
      </c>
      <c r="AW19" s="528" t="e">
        <f aca="false">AO19*1000*AB19</f>
        <v>#NAME?</v>
      </c>
      <c r="AX19" s="528" t="e">
        <f aca="false">AM19-AV19</f>
        <v>#NAME?</v>
      </c>
      <c r="AY19" s="528" t="e">
        <f aca="false">AN19-AW19</f>
        <v>#NAME?</v>
      </c>
      <c r="AZ19" s="528" t="e">
        <f aca="false">AM19*AC19</f>
        <v>#NAME?</v>
      </c>
      <c r="BA19" s="528" t="e">
        <f aca="false">AN19*AC19</f>
        <v>#NAME?</v>
      </c>
      <c r="BB19" s="528" t="e">
        <f aca="false">3.1416*AH19*AG19/100</f>
        <v>#NAME?</v>
      </c>
      <c r="BC19" s="528" t="e">
        <f aca="false">C19*AD19</f>
        <v>#NAME?</v>
      </c>
      <c r="BD19" s="528" t="e">
        <f aca="false">C19*AE19</f>
        <v>#NAME?</v>
      </c>
      <c r="BE19" s="528" t="e">
        <f aca="false">BD19+BC19*AC19</f>
        <v>#NAME?</v>
      </c>
      <c r="BF19" s="72" t="n">
        <v>20</v>
      </c>
      <c r="BG19" s="72" t="n">
        <v>20</v>
      </c>
      <c r="BH19" s="72" t="n">
        <v>8</v>
      </c>
      <c r="BI19" s="72" t="n">
        <v>2</v>
      </c>
      <c r="BJ19" s="72" t="n">
        <v>10</v>
      </c>
      <c r="BK19" s="72" t="n">
        <v>40</v>
      </c>
      <c r="BL19" s="75" t="n">
        <f aca="false">SUM(BF19:BI19)</f>
        <v>50</v>
      </c>
      <c r="BM19" s="75" t="n">
        <f aca="false">BJ19+BK19</f>
        <v>50</v>
      </c>
      <c r="BN19" s="75" t="n">
        <f aca="false">SUM(BF19:BK19)</f>
        <v>100</v>
      </c>
      <c r="BO19" s="0" t="e">
        <f aca="false">AV19+AW19+AX19+AY19+AZ19+BA19+C19*sureau_ini.txt!#ref!/1000</f>
        <v>#NAME?</v>
      </c>
      <c r="BP19" s="0" t="e">
        <f aca="false">AV19+AX19+AZ19 +C19*sureau_ini.txt!#ref!*sureau_ini.txt!#ref!/1000</f>
        <v>#NAME?</v>
      </c>
      <c r="BQ19" s="0" t="e">
        <f aca="false">BO19-BP19</f>
        <v>#NAME?</v>
      </c>
    </row>
    <row r="20" customFormat="false" ht="15.75" hidden="false" customHeight="false" outlineLevel="0" collapsed="false">
      <c r="A20" s="0" t="e">
        <f aca="false">sureau_ini.txt!#ref!</f>
        <v>#NAME?</v>
      </c>
      <c r="B20" s="525" t="n">
        <f aca="false">VPD_max</f>
        <v>1.26741256491017</v>
      </c>
      <c r="C20" s="525" t="e">
        <f aca="false">sureau_ini.txt!#ref!</f>
        <v>#NAME?</v>
      </c>
      <c r="D20" s="525" t="e">
        <f aca="false">(1/(1/sureau_ini.txt!#ref!+1/(1.5*(0.00662*(sureau_ini.txt!#ref!/sureau_ini.txt!#ref!*1000)^0.5)*1000*40)+1/sureau_ini.txt!#ref!)*B20/101.6)</f>
        <v>#NAME?</v>
      </c>
      <c r="E20" s="525" t="e">
        <f aca="false">sureau_ini.txt!#ref!/(1/sureau_ini.txt!#ref!+1/(1.5*(0.00662*(sureau_ini.txt!#ref!/sureau_ini.txt!#ref!*1000)^0.5)*1000*40)+1/sureau_ini.txt!#ref!)*B20/101.6 + sureau_ini.txt!#ref!/(1/sureau_ini.txt!#ref!+1/(1.5*(0.00662*(sureau_ini.txt!#ref!/sureau_ini.txt!#ref!*1000)^0.5)*1000*40)+1/sureau_ini.txt!#ref!)*B20/101.6 + sureau_ini.txt!#ref!/(1/sureau_ini.txt!#ref!+1/(1.5*(0.00662*(sureau_ini.txt!#ref!/sureau_ini.txt!#ref!*1000)^0.5)*1000*40)+1/sureau_ini.txt!#ref!)*B20/101.6</f>
        <v>#NAME?</v>
      </c>
      <c r="F20" s="75" t="e">
        <f aca="false">E20/1000*18/AK20/100000*3600*C20</f>
        <v>#NAME?</v>
      </c>
      <c r="G20" s="72" t="n">
        <v>-1.5</v>
      </c>
      <c r="H20" s="72" t="n">
        <v>0</v>
      </c>
      <c r="I20" s="75" t="e">
        <f aca="false">E20/(H20-G20)</f>
        <v>#NAME?</v>
      </c>
      <c r="J20" s="75" t="e">
        <f aca="false">I20*C20</f>
        <v>#NAME?</v>
      </c>
      <c r="K20" s="75" t="e">
        <f aca="false">1/I20</f>
        <v>#NAME?</v>
      </c>
      <c r="L20" s="75" t="e">
        <f aca="false">1/J20</f>
        <v>#NAME?</v>
      </c>
      <c r="M20" s="526" t="e">
        <f aca="false">1/(1/'Allometric tree'!I20*'Allometric tree'!BF20/100)</f>
        <v>#NAME?</v>
      </c>
      <c r="N20" s="526" t="e">
        <f aca="false">1/(1/'Allometric tree'!I20*'Allometric tree'!BG20/100)</f>
        <v>#NAME?</v>
      </c>
      <c r="O20" s="30" t="e">
        <f aca="false">1/(1/'Allometric tree'!I20*'Allometric tree'!BH20/100)</f>
        <v>#NAME?</v>
      </c>
      <c r="P20" s="30" t="e">
        <f aca="false">1/(1/'Allometric tree'!I20*'Allometric tree'!BI20/100)</f>
        <v>#NAME?</v>
      </c>
      <c r="Q20" s="30" t="e">
        <f aca="false">1/(1/'Allometric tree'!I20*'Allometric tree'!BJ20/100)</f>
        <v>#NAME?</v>
      </c>
      <c r="R20" s="526" t="e">
        <f aca="false">1/(1/'Allometric tree'!I20*'Allometric tree'!BK20/100)</f>
        <v>#NAME?</v>
      </c>
      <c r="S20" s="30" t="e">
        <f aca="false">M20*'Allometric tree'!C20</f>
        <v>#NAME?</v>
      </c>
      <c r="T20" s="30" t="e">
        <f aca="false">N20*'Allometric tree'!C20</f>
        <v>#NAME?</v>
      </c>
      <c r="U20" s="526" t="e">
        <f aca="false">O20*'Allometric tree'!C20</f>
        <v>#NAME?</v>
      </c>
      <c r="V20" s="526" t="e">
        <f aca="false">P20*'Allometric tree'!C20</f>
        <v>#NAME?</v>
      </c>
      <c r="W20" s="526" t="e">
        <f aca="false">Q20*'Allometric tree'!C20</f>
        <v>#NAME?</v>
      </c>
      <c r="X20" s="30" t="e">
        <f aca="false">R20*'Allometric tree'!C20</f>
        <v>#NAME?</v>
      </c>
      <c r="Y20" s="525" t="e">
        <f aca="false">sureau_ini.txt!#ref!</f>
        <v>#NAME?</v>
      </c>
      <c r="Z20" s="527" t="e">
        <f aca="false">AK20/C20</f>
        <v>#NAME?</v>
      </c>
      <c r="AA20" s="525" t="e">
        <f aca="false">sureau_ini.txt!#ref!</f>
        <v>#NAME?</v>
      </c>
      <c r="AB20" s="525" t="e">
        <f aca="false">sureau_ini.txt!#ref!</f>
        <v>#NAME?</v>
      </c>
      <c r="AC20" s="525" t="n">
        <v>1</v>
      </c>
      <c r="AD20" s="72" t="n">
        <v>0.1</v>
      </c>
      <c r="AE20" s="525" t="n">
        <f aca="false">'sureau_ini.txt'!$E$21</f>
        <v>1</v>
      </c>
      <c r="AF20" s="525" t="e">
        <f aca="false">sureau_ini.txt!#ref!+sureau_ini.txt!#ref!</f>
        <v>#NAME?</v>
      </c>
      <c r="AG20" s="525" t="e">
        <f aca="false">sureau_ini.txt!#ref!</f>
        <v>#NAME?</v>
      </c>
      <c r="AH20" s="525" t="e">
        <f aca="false">sureau_ini.txt!#ref!*100</f>
        <v>#NAME?</v>
      </c>
      <c r="AI20" s="75" t="e">
        <f aca="false">AH20/2*Y20</f>
        <v>#NAME?</v>
      </c>
      <c r="AJ20" s="75" t="e">
        <f aca="false">100*(AH20/100-SQRT(AH20/100*AH20/100-4*AW20/1000/AG20/3.1416))/2</f>
        <v>#NAME?</v>
      </c>
      <c r="AK20" s="75" t="e">
        <f aca="false">(3.1416/4*(AH20^2)-3.1416*(AH20/2-AI20)^2)/10000</f>
        <v>#NAME?</v>
      </c>
      <c r="AL20" s="75" t="e">
        <f aca="false">AK20*AF20</f>
        <v>#NAME?</v>
      </c>
      <c r="AM20" s="75" t="e">
        <f aca="false">AL20*AA20*1000</f>
        <v>#NAME?</v>
      </c>
      <c r="AN20" s="75" t="e">
        <f aca="false">AL20*1000*AB20</f>
        <v>#NAME?</v>
      </c>
      <c r="AO20" s="75" t="e">
        <f aca="false">AK20*AG20</f>
        <v>#NAME?</v>
      </c>
      <c r="AP20" s="75" t="e">
        <f aca="false">AH20*AH20*3.1416/4/C20</f>
        <v>#NAME?</v>
      </c>
      <c r="AQ20" s="75" t="e">
        <f aca="false">AK20*10000/C20</f>
        <v>#NAME?</v>
      </c>
      <c r="AR20" s="525" t="e">
        <f aca="false">(sureau_ini.txt!#ref!/2*sureau_ini.txt!#ref!/2*3.1416)</f>
        <v>#NAME?</v>
      </c>
      <c r="AS20" s="525" t="e">
        <f aca="false">C20/AR20</f>
        <v>#NAME?</v>
      </c>
      <c r="AT20" s="75" t="e">
        <f aca="false">10000/AR20</f>
        <v>#NAME?</v>
      </c>
      <c r="AU20" s="75" t="e">
        <f aca="false">AH20*AH20*3.1416/4/10000*AT20</f>
        <v>#NAME?</v>
      </c>
      <c r="AV20" s="528" t="e">
        <f aca="false">AO20*AA20*1000</f>
        <v>#NAME?</v>
      </c>
      <c r="AW20" s="528" t="e">
        <f aca="false">AO20*1000*AB20</f>
        <v>#NAME?</v>
      </c>
      <c r="AX20" s="528" t="e">
        <f aca="false">AM20-AV20</f>
        <v>#NAME?</v>
      </c>
      <c r="AY20" s="528" t="e">
        <f aca="false">AN20-AW20</f>
        <v>#NAME?</v>
      </c>
      <c r="AZ20" s="528" t="e">
        <f aca="false">AM20*AC20</f>
        <v>#NAME?</v>
      </c>
      <c r="BA20" s="528" t="e">
        <f aca="false">AN20*AC20</f>
        <v>#NAME?</v>
      </c>
      <c r="BB20" s="528" t="e">
        <f aca="false">3.1416*AH20*AG20/100</f>
        <v>#NAME?</v>
      </c>
      <c r="BC20" s="528" t="e">
        <f aca="false">C20*AD20</f>
        <v>#NAME?</v>
      </c>
      <c r="BD20" s="528" t="e">
        <f aca="false">C20*AE20</f>
        <v>#NAME?</v>
      </c>
      <c r="BE20" s="528" t="e">
        <f aca="false">BD20+BC20*AC20</f>
        <v>#NAME?</v>
      </c>
      <c r="BF20" s="72" t="n">
        <v>20</v>
      </c>
      <c r="BG20" s="72" t="n">
        <v>20</v>
      </c>
      <c r="BH20" s="72" t="n">
        <v>8</v>
      </c>
      <c r="BI20" s="72" t="n">
        <v>2</v>
      </c>
      <c r="BJ20" s="72" t="n">
        <v>10</v>
      </c>
      <c r="BK20" s="72" t="n">
        <v>40</v>
      </c>
      <c r="BL20" s="75" t="n">
        <f aca="false">SUM(BF20:BI20)</f>
        <v>50</v>
      </c>
      <c r="BM20" s="75" t="n">
        <f aca="false">BJ20+BK20</f>
        <v>50</v>
      </c>
      <c r="BN20" s="75" t="n">
        <f aca="false">SUM(BF20:BK20)</f>
        <v>100</v>
      </c>
      <c r="BO20" s="0" t="e">
        <f aca="false">AV20+AW20+AX20+AY20+AZ20+BA20+C20*sureau_ini.txt!#ref!/1000</f>
        <v>#NAME?</v>
      </c>
      <c r="BP20" s="0" t="e">
        <f aca="false">AV20+AX20+AZ20 +C20*sureau_ini.txt!#ref!*sureau_ini.txt!#ref!/1000</f>
        <v>#NAME?</v>
      </c>
      <c r="BQ20" s="0" t="e">
        <f aca="false">BO20-BP20</f>
        <v>#NAME?</v>
      </c>
    </row>
    <row r="21" customFormat="false" ht="15.75" hidden="false" customHeight="false" outlineLevel="0" collapsed="false">
      <c r="A21" s="0" t="e">
        <f aca="false">sureau_ini.txt!#ref!</f>
        <v>#NAME?</v>
      </c>
      <c r="B21" s="525" t="n">
        <f aca="false">VPD_max</f>
        <v>1.26741256491017</v>
      </c>
      <c r="C21" s="525" t="e">
        <f aca="false">sureau_ini.txt!#ref!</f>
        <v>#NAME?</v>
      </c>
      <c r="D21" s="525" t="e">
        <f aca="false">(1/(1/sureau_ini.txt!#ref!+1/(1.5*(0.00662*(sureau_ini.txt!#ref!/sureau_ini.txt!#ref!*1000)^0.5)*1000*40)+1/sureau_ini.txt!#ref!)*B21/101.6)</f>
        <v>#NAME?</v>
      </c>
      <c r="E21" s="525" t="e">
        <f aca="false">sureau_ini.txt!#ref!/(1/sureau_ini.txt!#ref!+1/(1.5*(0.00662*(sureau_ini.txt!#ref!/sureau_ini.txt!#ref!*1000)^0.5)*1000*40)+1/sureau_ini.txt!#ref!)*B21/101.6 + sureau_ini.txt!#ref!/(1/sureau_ini.txt!#ref!+1/(1.5*(0.00662*(sureau_ini.txt!#ref!/sureau_ini.txt!#ref!*1000)^0.5)*1000*40)+1/sureau_ini.txt!#ref!)*B21/101.6 + sureau_ini.txt!#ref!/(1/sureau_ini.txt!#ref!+1/(1.5*(0.00662*(sureau_ini.txt!#ref!/sureau_ini.txt!#ref!*1000)^0.5)*1000*40)+1/sureau_ini.txt!#ref!)*B21/101.6</f>
        <v>#NAME?</v>
      </c>
      <c r="F21" s="75" t="e">
        <f aca="false">E21/1000*18/AK21/100000*3600*C21</f>
        <v>#NAME?</v>
      </c>
      <c r="G21" s="72" t="n">
        <v>-1.5</v>
      </c>
      <c r="H21" s="72" t="n">
        <v>0</v>
      </c>
      <c r="I21" s="75" t="e">
        <f aca="false">E21/(H21-G21)</f>
        <v>#NAME?</v>
      </c>
      <c r="J21" s="75" t="e">
        <f aca="false">I21*C21</f>
        <v>#NAME?</v>
      </c>
      <c r="K21" s="75" t="e">
        <f aca="false">1/I21</f>
        <v>#NAME?</v>
      </c>
      <c r="L21" s="75" t="e">
        <f aca="false">1/J21</f>
        <v>#NAME?</v>
      </c>
      <c r="M21" s="526" t="e">
        <f aca="false">1/(1/'Allometric tree'!I21*'Allometric tree'!BF21/100)</f>
        <v>#NAME?</v>
      </c>
      <c r="N21" s="526" t="e">
        <f aca="false">1/(1/'Allometric tree'!I21*'Allometric tree'!BG21/100)</f>
        <v>#NAME?</v>
      </c>
      <c r="O21" s="30" t="e">
        <f aca="false">1/(1/'Allometric tree'!I21*'Allometric tree'!BH21/100)</f>
        <v>#NAME?</v>
      </c>
      <c r="P21" s="30" t="e">
        <f aca="false">1/(1/'Allometric tree'!I21*'Allometric tree'!BI21/100)</f>
        <v>#NAME?</v>
      </c>
      <c r="Q21" s="30" t="e">
        <f aca="false">1/(1/'Allometric tree'!I21*'Allometric tree'!BJ21/100)</f>
        <v>#NAME?</v>
      </c>
      <c r="R21" s="526" t="e">
        <f aca="false">1/(1/'Allometric tree'!I21*'Allometric tree'!BK21/100)</f>
        <v>#NAME?</v>
      </c>
      <c r="S21" s="30" t="e">
        <f aca="false">M21*'Allometric tree'!C21</f>
        <v>#NAME?</v>
      </c>
      <c r="T21" s="30" t="e">
        <f aca="false">N21*'Allometric tree'!C21</f>
        <v>#NAME?</v>
      </c>
      <c r="U21" s="526" t="e">
        <f aca="false">O21*'Allometric tree'!C21</f>
        <v>#NAME?</v>
      </c>
      <c r="V21" s="526" t="e">
        <f aca="false">P21*'Allometric tree'!C21</f>
        <v>#NAME?</v>
      </c>
      <c r="W21" s="526" t="e">
        <f aca="false">Q21*'Allometric tree'!C21</f>
        <v>#NAME?</v>
      </c>
      <c r="X21" s="30" t="e">
        <f aca="false">R21*'Allometric tree'!C21</f>
        <v>#NAME?</v>
      </c>
      <c r="Y21" s="525" t="e">
        <f aca="false">sureau_ini.txt!#ref!</f>
        <v>#NAME?</v>
      </c>
      <c r="Z21" s="527" t="e">
        <f aca="false">AK21/C21</f>
        <v>#NAME?</v>
      </c>
      <c r="AA21" s="525" t="e">
        <f aca="false">sureau_ini.txt!#ref!</f>
        <v>#NAME?</v>
      </c>
      <c r="AB21" s="525" t="e">
        <f aca="false">sureau_ini.txt!#ref!</f>
        <v>#NAME?</v>
      </c>
      <c r="AC21" s="525" t="n">
        <v>1</v>
      </c>
      <c r="AD21" s="72" t="n">
        <v>0.1</v>
      </c>
      <c r="AE21" s="525" t="n">
        <f aca="false">'sureau_ini.txt'!$E$21</f>
        <v>1</v>
      </c>
      <c r="AF21" s="525" t="e">
        <f aca="false">sureau_ini.txt!#ref!+sureau_ini.txt!#ref!</f>
        <v>#NAME?</v>
      </c>
      <c r="AG21" s="525" t="e">
        <f aca="false">sureau_ini.txt!#ref!</f>
        <v>#NAME?</v>
      </c>
      <c r="AH21" s="525" t="e">
        <f aca="false">sureau_ini.txt!#ref!*100</f>
        <v>#NAME?</v>
      </c>
      <c r="AI21" s="75" t="e">
        <f aca="false">AH21/2*Y21</f>
        <v>#NAME?</v>
      </c>
      <c r="AJ21" s="75" t="e">
        <f aca="false">100*(AH21/100-SQRT(AH21/100*AH21/100-4*AW21/1000/AG21/3.1416))/2</f>
        <v>#NAME?</v>
      </c>
      <c r="AK21" s="75" t="e">
        <f aca="false">(3.1416/4*(AH21^2)-3.1416*(AH21/2-AI21)^2)/10000</f>
        <v>#NAME?</v>
      </c>
      <c r="AL21" s="75" t="e">
        <f aca="false">AK21*AF21</f>
        <v>#NAME?</v>
      </c>
      <c r="AM21" s="75" t="e">
        <f aca="false">AL21*AA21*1000</f>
        <v>#NAME?</v>
      </c>
      <c r="AN21" s="75" t="e">
        <f aca="false">AL21*1000*AB21</f>
        <v>#NAME?</v>
      </c>
      <c r="AO21" s="75" t="e">
        <f aca="false">AK21*AG21</f>
        <v>#NAME?</v>
      </c>
      <c r="AP21" s="75" t="e">
        <f aca="false">AH21*AH21*3.1416/4/C21</f>
        <v>#NAME?</v>
      </c>
      <c r="AQ21" s="75" t="e">
        <f aca="false">AK21*10000/C21</f>
        <v>#NAME?</v>
      </c>
      <c r="AR21" s="525" t="e">
        <f aca="false">(sureau_ini.txt!#ref!/2*sureau_ini.txt!#ref!/2*3.1416)</f>
        <v>#NAME?</v>
      </c>
      <c r="AS21" s="525" t="e">
        <f aca="false">C21/AR21</f>
        <v>#NAME?</v>
      </c>
      <c r="AT21" s="75" t="e">
        <f aca="false">10000/AR21</f>
        <v>#NAME?</v>
      </c>
      <c r="AU21" s="75" t="e">
        <f aca="false">AH21*AH21*3.1416/4/10000*AT21</f>
        <v>#NAME?</v>
      </c>
      <c r="AV21" s="528" t="e">
        <f aca="false">AO21*AA21*1000</f>
        <v>#NAME?</v>
      </c>
      <c r="AW21" s="528" t="e">
        <f aca="false">AO21*1000*AB21</f>
        <v>#NAME?</v>
      </c>
      <c r="AX21" s="528" t="e">
        <f aca="false">AM21-AV21</f>
        <v>#NAME?</v>
      </c>
      <c r="AY21" s="528" t="e">
        <f aca="false">AN21-AW21</f>
        <v>#NAME?</v>
      </c>
      <c r="AZ21" s="528" t="e">
        <f aca="false">AM21*AC21</f>
        <v>#NAME?</v>
      </c>
      <c r="BA21" s="528" t="e">
        <f aca="false">AN21*AC21</f>
        <v>#NAME?</v>
      </c>
      <c r="BB21" s="528" t="e">
        <f aca="false">3.1416*AH21*AG21/100</f>
        <v>#NAME?</v>
      </c>
      <c r="BC21" s="528" t="e">
        <f aca="false">C21*AD21</f>
        <v>#NAME?</v>
      </c>
      <c r="BD21" s="528" t="e">
        <f aca="false">C21*AE21</f>
        <v>#NAME?</v>
      </c>
      <c r="BE21" s="528" t="e">
        <f aca="false">BD21+BC21*AC21</f>
        <v>#NAME?</v>
      </c>
      <c r="BF21" s="72" t="n">
        <v>20</v>
      </c>
      <c r="BG21" s="72" t="n">
        <v>20</v>
      </c>
      <c r="BH21" s="72" t="n">
        <v>8</v>
      </c>
      <c r="BI21" s="72" t="n">
        <v>2</v>
      </c>
      <c r="BJ21" s="72" t="n">
        <v>10</v>
      </c>
      <c r="BK21" s="72" t="n">
        <v>40</v>
      </c>
      <c r="BL21" s="75" t="n">
        <f aca="false">SUM(BF21:BI21)</f>
        <v>50</v>
      </c>
      <c r="BM21" s="75" t="n">
        <f aca="false">BJ21+BK21</f>
        <v>50</v>
      </c>
      <c r="BN21" s="75" t="n">
        <f aca="false">SUM(BF21:BK21)</f>
        <v>100</v>
      </c>
      <c r="BO21" s="0" t="e">
        <f aca="false">AV21+AW21+AX21+AY21+AZ21+BA21+C21*sureau_ini.txt!#ref!/1000</f>
        <v>#NAME?</v>
      </c>
      <c r="BP21" s="0" t="e">
        <f aca="false">AV21+AX21+AZ21 +C21*sureau_ini.txt!#ref!*sureau_ini.txt!#ref!/1000</f>
        <v>#NAME?</v>
      </c>
      <c r="BQ21" s="0" t="e">
        <f aca="false">BO21-BP21</f>
        <v>#NAME?</v>
      </c>
    </row>
    <row r="22" customFormat="false" ht="15.75" hidden="false" customHeight="false" outlineLevel="0" collapsed="false">
      <c r="A22" s="0" t="e">
        <f aca="false">sureau_ini.txt!#ref!</f>
        <v>#NAME?</v>
      </c>
      <c r="B22" s="525" t="n">
        <f aca="false">VPD_max</f>
        <v>1.26741256491017</v>
      </c>
      <c r="C22" s="525" t="e">
        <f aca="false">sureau_ini.txt!#ref!</f>
        <v>#NAME?</v>
      </c>
      <c r="D22" s="525" t="e">
        <f aca="false">(1/(1/sureau_ini.txt!#ref!+1/(1.5*(0.00662*(sureau_ini.txt!#ref!/sureau_ini.txt!#ref!*1000)^0.5)*1000*40)+1/sureau_ini.txt!#ref!)*B22/101.6)</f>
        <v>#NAME?</v>
      </c>
      <c r="E22" s="525" t="e">
        <f aca="false">sureau_ini.txt!#ref!/(1/sureau_ini.txt!#ref!+1/(1.5*(0.00662*(sureau_ini.txt!#ref!/sureau_ini.txt!#ref!*1000)^0.5)*1000*40)+1/sureau_ini.txt!#ref!)*B22/101.6 + sureau_ini.txt!#ref!/(1/sureau_ini.txt!#ref!+1/(1.5*(0.00662*(sureau_ini.txt!#ref!/sureau_ini.txt!#ref!*1000)^0.5)*1000*40)+1/sureau_ini.txt!#ref!)*B22/101.6 + sureau_ini.txt!#ref!/(1/sureau_ini.txt!#ref!+1/(1.5*(0.00662*(sureau_ini.txt!#ref!/sureau_ini.txt!#ref!*1000)^0.5)*1000*40)+1/sureau_ini.txt!#ref!)*B22/101.6</f>
        <v>#NAME?</v>
      </c>
      <c r="F22" s="75" t="e">
        <f aca="false">E22/1000*18/AK22/100000*3600*C22</f>
        <v>#NAME?</v>
      </c>
      <c r="G22" s="72" t="n">
        <v>-1.5</v>
      </c>
      <c r="H22" s="72" t="n">
        <v>0</v>
      </c>
      <c r="I22" s="75" t="e">
        <f aca="false">E22/(H22-G22)</f>
        <v>#NAME?</v>
      </c>
      <c r="J22" s="75" t="e">
        <f aca="false">I22*C22</f>
        <v>#NAME?</v>
      </c>
      <c r="K22" s="75" t="e">
        <f aca="false">1/I22</f>
        <v>#NAME?</v>
      </c>
      <c r="L22" s="75" t="e">
        <f aca="false">1/J22</f>
        <v>#NAME?</v>
      </c>
      <c r="M22" s="526" t="e">
        <f aca="false">1/(1/'Allometric tree'!I22*'Allometric tree'!BF22/100)</f>
        <v>#NAME?</v>
      </c>
      <c r="N22" s="526" t="e">
        <f aca="false">1/(1/'Allometric tree'!I22*'Allometric tree'!BG22/100)</f>
        <v>#NAME?</v>
      </c>
      <c r="O22" s="30" t="e">
        <f aca="false">1/(1/'Allometric tree'!I22*'Allometric tree'!BH22/100)</f>
        <v>#NAME?</v>
      </c>
      <c r="P22" s="30" t="e">
        <f aca="false">1/(1/'Allometric tree'!I22*'Allometric tree'!BI22/100)</f>
        <v>#NAME?</v>
      </c>
      <c r="Q22" s="30" t="e">
        <f aca="false">1/(1/'Allometric tree'!I22*'Allometric tree'!BJ22/100)</f>
        <v>#NAME?</v>
      </c>
      <c r="R22" s="526" t="e">
        <f aca="false">1/(1/'Allometric tree'!I22*'Allometric tree'!BK22/100)</f>
        <v>#NAME?</v>
      </c>
      <c r="S22" s="30" t="e">
        <f aca="false">M22*'Allometric tree'!C22</f>
        <v>#NAME?</v>
      </c>
      <c r="T22" s="30" t="e">
        <f aca="false">N22*'Allometric tree'!C22</f>
        <v>#NAME?</v>
      </c>
      <c r="U22" s="526" t="e">
        <f aca="false">O22*'Allometric tree'!C22</f>
        <v>#NAME?</v>
      </c>
      <c r="V22" s="526" t="e">
        <f aca="false">P22*'Allometric tree'!C22</f>
        <v>#NAME?</v>
      </c>
      <c r="W22" s="526" t="e">
        <f aca="false">Q22*'Allometric tree'!C22</f>
        <v>#NAME?</v>
      </c>
      <c r="X22" s="30" t="e">
        <f aca="false">R22*'Allometric tree'!C22</f>
        <v>#NAME?</v>
      </c>
      <c r="Y22" s="525" t="e">
        <f aca="false">sureau_ini.txt!#ref!</f>
        <v>#NAME?</v>
      </c>
      <c r="Z22" s="527" t="e">
        <f aca="false">AK22/C22</f>
        <v>#NAME?</v>
      </c>
      <c r="AA22" s="525" t="e">
        <f aca="false">sureau_ini.txt!#ref!</f>
        <v>#NAME?</v>
      </c>
      <c r="AB22" s="525" t="e">
        <f aca="false">sureau_ini.txt!#ref!</f>
        <v>#NAME?</v>
      </c>
      <c r="AC22" s="525" t="n">
        <v>1</v>
      </c>
      <c r="AD22" s="72" t="n">
        <v>0.1</v>
      </c>
      <c r="AE22" s="525" t="n">
        <f aca="false">'sureau_ini.txt'!$E$21</f>
        <v>1</v>
      </c>
      <c r="AF22" s="525" t="e">
        <f aca="false">sureau_ini.txt!#ref!+sureau_ini.txt!#ref!</f>
        <v>#NAME?</v>
      </c>
      <c r="AG22" s="525" t="e">
        <f aca="false">sureau_ini.txt!#ref!</f>
        <v>#NAME?</v>
      </c>
      <c r="AH22" s="525" t="e">
        <f aca="false">sureau_ini.txt!#ref!*100</f>
        <v>#NAME?</v>
      </c>
      <c r="AI22" s="75" t="e">
        <f aca="false">AH22/2*Y22</f>
        <v>#NAME?</v>
      </c>
      <c r="AJ22" s="75" t="e">
        <f aca="false">100*(AH22/100-SQRT(AH22/100*AH22/100-4*AW22/1000/AG22/3.1416))/2</f>
        <v>#NAME?</v>
      </c>
      <c r="AK22" s="75" t="e">
        <f aca="false">(3.1416/4*(AH22^2)-3.1416*(AH22/2-AI22)^2)/10000</f>
        <v>#NAME?</v>
      </c>
      <c r="AL22" s="75" t="e">
        <f aca="false">AK22*AF22</f>
        <v>#NAME?</v>
      </c>
      <c r="AM22" s="75" t="e">
        <f aca="false">AL22*AA22*1000</f>
        <v>#NAME?</v>
      </c>
      <c r="AN22" s="75" t="e">
        <f aca="false">AL22*1000*AB22</f>
        <v>#NAME?</v>
      </c>
      <c r="AO22" s="75" t="e">
        <f aca="false">AK22*AG22</f>
        <v>#NAME?</v>
      </c>
      <c r="AP22" s="75" t="e">
        <f aca="false">AH22*AH22*3.1416/4/C22</f>
        <v>#NAME?</v>
      </c>
      <c r="AQ22" s="75" t="e">
        <f aca="false">AK22*10000/C22</f>
        <v>#NAME?</v>
      </c>
      <c r="AR22" s="525" t="e">
        <f aca="false">(sureau_ini.txt!#ref!/2*sureau_ini.txt!#ref!/2*3.1416)</f>
        <v>#NAME?</v>
      </c>
      <c r="AS22" s="525" t="e">
        <f aca="false">C22/AR22</f>
        <v>#NAME?</v>
      </c>
      <c r="AT22" s="75" t="e">
        <f aca="false">10000/AR22</f>
        <v>#NAME?</v>
      </c>
      <c r="AU22" s="75" t="e">
        <f aca="false">AH22*AH22*3.1416/4/10000*AT22</f>
        <v>#NAME?</v>
      </c>
      <c r="AV22" s="528" t="e">
        <f aca="false">AO22*AA22*1000</f>
        <v>#NAME?</v>
      </c>
      <c r="AW22" s="528" t="e">
        <f aca="false">AO22*1000*AB22</f>
        <v>#NAME?</v>
      </c>
      <c r="AX22" s="528" t="e">
        <f aca="false">AM22-AV22</f>
        <v>#NAME?</v>
      </c>
      <c r="AY22" s="528" t="e">
        <f aca="false">AN22-AW22</f>
        <v>#NAME?</v>
      </c>
      <c r="AZ22" s="528" t="e">
        <f aca="false">AM22*AC22</f>
        <v>#NAME?</v>
      </c>
      <c r="BA22" s="528" t="e">
        <f aca="false">AN22*AC22</f>
        <v>#NAME?</v>
      </c>
      <c r="BB22" s="528" t="e">
        <f aca="false">3.1416*AH22*AG22/100</f>
        <v>#NAME?</v>
      </c>
      <c r="BC22" s="528" t="e">
        <f aca="false">C22*AD22</f>
        <v>#NAME?</v>
      </c>
      <c r="BD22" s="528" t="e">
        <f aca="false">C22*AE22</f>
        <v>#NAME?</v>
      </c>
      <c r="BE22" s="528" t="e">
        <f aca="false">BD22+BC22*AC22</f>
        <v>#NAME?</v>
      </c>
      <c r="BF22" s="72" t="n">
        <v>20</v>
      </c>
      <c r="BG22" s="72" t="n">
        <v>20</v>
      </c>
      <c r="BH22" s="72" t="n">
        <v>8</v>
      </c>
      <c r="BI22" s="72" t="n">
        <v>2</v>
      </c>
      <c r="BJ22" s="72" t="n">
        <v>10</v>
      </c>
      <c r="BK22" s="72" t="n">
        <v>40</v>
      </c>
      <c r="BL22" s="75" t="n">
        <f aca="false">SUM(BF22:BI22)</f>
        <v>50</v>
      </c>
      <c r="BM22" s="75" t="n">
        <f aca="false">BJ22+BK22</f>
        <v>50</v>
      </c>
      <c r="BN22" s="75" t="n">
        <f aca="false">SUM(BF22:BK22)</f>
        <v>100</v>
      </c>
      <c r="BO22" s="0" t="e">
        <f aca="false">AV22+AW22+AX22+AY22+AZ22+BA22+C22*sureau_ini.txt!#ref!/1000</f>
        <v>#NAME?</v>
      </c>
      <c r="BP22" s="0" t="e">
        <f aca="false">AV22+AX22+AZ22 +C22*sureau_ini.txt!#ref!*sureau_ini.txt!#ref!/1000</f>
        <v>#NAME?</v>
      </c>
      <c r="BQ22" s="0" t="e">
        <f aca="false">BO22-BP22</f>
        <v>#NAME?</v>
      </c>
    </row>
    <row r="23" customFormat="false" ht="15.75" hidden="false" customHeight="false" outlineLevel="0" collapsed="false">
      <c r="A23" s="0" t="e">
        <f aca="false">sureau_ini.txt!#ref!</f>
        <v>#NAME?</v>
      </c>
      <c r="B23" s="525" t="n">
        <f aca="false">VPD_max</f>
        <v>1.26741256491017</v>
      </c>
      <c r="C23" s="525" t="e">
        <f aca="false">sureau_ini.txt!#ref!</f>
        <v>#NAME?</v>
      </c>
      <c r="D23" s="525" t="e">
        <f aca="false">(1/(1/sureau_ini.txt!#ref!+1/(1.5*(0.00662*(sureau_ini.txt!#ref!/sureau_ini.txt!#ref!*1000)^0.5)*1000*40)+1/sureau_ini.txt!#ref!)*B23/101.6)</f>
        <v>#NAME?</v>
      </c>
      <c r="E23" s="525" t="e">
        <f aca="false">sureau_ini.txt!#ref!/(1/sureau_ini.txt!#ref!+1/(1.5*(0.00662*(sureau_ini.txt!#ref!/sureau_ini.txt!#ref!*1000)^0.5)*1000*40)+1/sureau_ini.txt!#ref!)*B23/101.6 + sureau_ini.txt!#ref!/(1/sureau_ini.txt!#ref!+1/(1.5*(0.00662*(sureau_ini.txt!#ref!/sureau_ini.txt!#ref!*1000)^0.5)*1000*40)+1/sureau_ini.txt!#ref!)*B23/101.6 + sureau_ini.txt!#ref!/(1/sureau_ini.txt!#ref!+1/(1.5*(0.00662*(sureau_ini.txt!#ref!/sureau_ini.txt!#ref!*1000)^0.5)*1000*40)+1/sureau_ini.txt!#ref!)*B23/101.6</f>
        <v>#NAME?</v>
      </c>
      <c r="F23" s="75" t="e">
        <f aca="false">E23/1000*18/AK23/100000*3600*C23</f>
        <v>#NAME?</v>
      </c>
      <c r="G23" s="72" t="n">
        <v>-1.5</v>
      </c>
      <c r="H23" s="72" t="n">
        <v>0</v>
      </c>
      <c r="I23" s="75" t="e">
        <f aca="false">E23/(H23-G23)</f>
        <v>#NAME?</v>
      </c>
      <c r="J23" s="75" t="e">
        <f aca="false">I23*C23</f>
        <v>#NAME?</v>
      </c>
      <c r="K23" s="75" t="e">
        <f aca="false">1/I23</f>
        <v>#NAME?</v>
      </c>
      <c r="L23" s="75" t="e">
        <f aca="false">1/J23</f>
        <v>#NAME?</v>
      </c>
      <c r="M23" s="526" t="e">
        <f aca="false">1/(1/'Allometric tree'!I23*'Allometric tree'!BF23/100)</f>
        <v>#NAME?</v>
      </c>
      <c r="N23" s="526" t="e">
        <f aca="false">1/(1/'Allometric tree'!I23*'Allometric tree'!BG23/100)</f>
        <v>#NAME?</v>
      </c>
      <c r="O23" s="30" t="e">
        <f aca="false">1/(1/'Allometric tree'!I23*'Allometric tree'!BH23/100)</f>
        <v>#NAME?</v>
      </c>
      <c r="P23" s="30" t="e">
        <f aca="false">1/(1/'Allometric tree'!I23*'Allometric tree'!BI23/100)</f>
        <v>#NAME?</v>
      </c>
      <c r="Q23" s="30" t="e">
        <f aca="false">1/(1/'Allometric tree'!I23*'Allometric tree'!BJ23/100)</f>
        <v>#NAME?</v>
      </c>
      <c r="R23" s="526" t="e">
        <f aca="false">1/(1/'Allometric tree'!I23*'Allometric tree'!BK23/100)</f>
        <v>#NAME?</v>
      </c>
      <c r="S23" s="30" t="e">
        <f aca="false">M23*'Allometric tree'!C23</f>
        <v>#NAME?</v>
      </c>
      <c r="T23" s="30" t="e">
        <f aca="false">N23*'Allometric tree'!C23</f>
        <v>#NAME?</v>
      </c>
      <c r="U23" s="526" t="e">
        <f aca="false">O23*'Allometric tree'!C23</f>
        <v>#NAME?</v>
      </c>
      <c r="V23" s="526" t="e">
        <f aca="false">P23*'Allometric tree'!C23</f>
        <v>#NAME?</v>
      </c>
      <c r="W23" s="526" t="e">
        <f aca="false">Q23*'Allometric tree'!C23</f>
        <v>#NAME?</v>
      </c>
      <c r="X23" s="30" t="e">
        <f aca="false">R23*'Allometric tree'!C23</f>
        <v>#NAME?</v>
      </c>
      <c r="Y23" s="525" t="e">
        <f aca="false">sureau_ini.txt!#ref!</f>
        <v>#NAME?</v>
      </c>
      <c r="Z23" s="527" t="e">
        <f aca="false">AK23/C23</f>
        <v>#NAME?</v>
      </c>
      <c r="AA23" s="525" t="e">
        <f aca="false">sureau_ini.txt!#ref!</f>
        <v>#NAME?</v>
      </c>
      <c r="AB23" s="525" t="e">
        <f aca="false">sureau_ini.txt!#ref!</f>
        <v>#NAME?</v>
      </c>
      <c r="AC23" s="525" t="n">
        <v>1</v>
      </c>
      <c r="AD23" s="72" t="n">
        <v>0.1</v>
      </c>
      <c r="AE23" s="525" t="n">
        <f aca="false">'sureau_ini.txt'!$E$21</f>
        <v>1</v>
      </c>
      <c r="AF23" s="525" t="e">
        <f aca="false">sureau_ini.txt!#ref!+sureau_ini.txt!#ref!</f>
        <v>#NAME?</v>
      </c>
      <c r="AG23" s="525" t="e">
        <f aca="false">sureau_ini.txt!#ref!</f>
        <v>#NAME?</v>
      </c>
      <c r="AH23" s="525" t="e">
        <f aca="false">sureau_ini.txt!#ref!*100</f>
        <v>#NAME?</v>
      </c>
      <c r="AI23" s="75" t="e">
        <f aca="false">AH23/2*Y23</f>
        <v>#NAME?</v>
      </c>
      <c r="AJ23" s="75" t="e">
        <f aca="false">100*(AH23/100-SQRT(AH23/100*AH23/100-4*AW23/1000/AG23/3.1416))/2</f>
        <v>#NAME?</v>
      </c>
      <c r="AK23" s="75" t="e">
        <f aca="false">(3.1416/4*(AH23^2)-3.1416*(AH23/2-AI23)^2)/10000</f>
        <v>#NAME?</v>
      </c>
      <c r="AL23" s="75" t="e">
        <f aca="false">AK23*AF23</f>
        <v>#NAME?</v>
      </c>
      <c r="AM23" s="75" t="e">
        <f aca="false">AL23*AA23*1000</f>
        <v>#NAME?</v>
      </c>
      <c r="AN23" s="75" t="e">
        <f aca="false">AL23*1000*AB23</f>
        <v>#NAME?</v>
      </c>
      <c r="AO23" s="75" t="e">
        <f aca="false">AK23*AG23</f>
        <v>#NAME?</v>
      </c>
      <c r="AP23" s="75" t="e">
        <f aca="false">AH23*AH23*3.1416/4/C23</f>
        <v>#NAME?</v>
      </c>
      <c r="AQ23" s="75" t="e">
        <f aca="false">AK23*10000/C23</f>
        <v>#NAME?</v>
      </c>
      <c r="AR23" s="525" t="e">
        <f aca="false">(sureau_ini.txt!#ref!/2*sureau_ini.txt!#ref!/2*3.1416)</f>
        <v>#NAME?</v>
      </c>
      <c r="AS23" s="525" t="e">
        <f aca="false">C23/AR23</f>
        <v>#NAME?</v>
      </c>
      <c r="AT23" s="75" t="e">
        <f aca="false">10000/AR23</f>
        <v>#NAME?</v>
      </c>
      <c r="AU23" s="75" t="e">
        <f aca="false">AH23*AH23*3.1416/4/10000*AT23</f>
        <v>#NAME?</v>
      </c>
      <c r="AV23" s="528" t="e">
        <f aca="false">AO23*AA23*1000</f>
        <v>#NAME?</v>
      </c>
      <c r="AW23" s="528" t="e">
        <f aca="false">AO23*1000*AB23</f>
        <v>#NAME?</v>
      </c>
      <c r="AX23" s="528" t="e">
        <f aca="false">AM23-AV23</f>
        <v>#NAME?</v>
      </c>
      <c r="AY23" s="528" t="e">
        <f aca="false">AN23-AW23</f>
        <v>#NAME?</v>
      </c>
      <c r="AZ23" s="528" t="e">
        <f aca="false">AM23*AC23</f>
        <v>#NAME?</v>
      </c>
      <c r="BA23" s="528" t="e">
        <f aca="false">AN23*AC23</f>
        <v>#NAME?</v>
      </c>
      <c r="BB23" s="528" t="e">
        <f aca="false">3.1416*AH23*AG23/100</f>
        <v>#NAME?</v>
      </c>
      <c r="BC23" s="528" t="e">
        <f aca="false">C23*AD23</f>
        <v>#NAME?</v>
      </c>
      <c r="BD23" s="528" t="e">
        <f aca="false">C23*AE23</f>
        <v>#NAME?</v>
      </c>
      <c r="BE23" s="528" t="e">
        <f aca="false">BD23+BC23*AC23</f>
        <v>#NAME?</v>
      </c>
      <c r="BF23" s="72" t="n">
        <v>20</v>
      </c>
      <c r="BG23" s="72" t="n">
        <v>20</v>
      </c>
      <c r="BH23" s="72" t="n">
        <v>8</v>
      </c>
      <c r="BI23" s="72" t="n">
        <v>2</v>
      </c>
      <c r="BJ23" s="72" t="n">
        <v>10</v>
      </c>
      <c r="BK23" s="72" t="n">
        <v>40</v>
      </c>
      <c r="BL23" s="75" t="n">
        <f aca="false">SUM(BF23:BI23)</f>
        <v>50</v>
      </c>
      <c r="BM23" s="75" t="n">
        <f aca="false">BJ23+BK23</f>
        <v>50</v>
      </c>
      <c r="BN23" s="75" t="n">
        <f aca="false">SUM(BF23:BK23)</f>
        <v>100</v>
      </c>
      <c r="BO23" s="0" t="e">
        <f aca="false">AV23+AW23+AX23+AY23+AZ23+BA23+C23*sureau_ini.txt!#ref!/1000</f>
        <v>#NAME?</v>
      </c>
      <c r="BP23" s="0" t="e">
        <f aca="false">AV23+AX23+AZ23 +C23*sureau_ini.txt!#ref!*sureau_ini.txt!#ref!/1000</f>
        <v>#NAME?</v>
      </c>
      <c r="BQ23" s="0" t="e">
        <f aca="false">BO23-BP23</f>
        <v>#NAME?</v>
      </c>
    </row>
    <row r="24" customFormat="false" ht="15.75" hidden="false" customHeight="false" outlineLevel="0" collapsed="false">
      <c r="A24" s="0" t="e">
        <f aca="false">sureau_ini.txt!#ref!</f>
        <v>#NAME?</v>
      </c>
      <c r="B24" s="525" t="n">
        <f aca="false">VPD_max</f>
        <v>1.26741256491017</v>
      </c>
      <c r="C24" s="525" t="e">
        <f aca="false">sureau_ini.txt!#ref!</f>
        <v>#NAME?</v>
      </c>
      <c r="D24" s="525" t="e">
        <f aca="false">(1/(1/sureau_ini.txt!#ref!+1/(1.5*(0.00662*(sureau_ini.txt!#ref!/sureau_ini.txt!#ref!*1000)^0.5)*1000*40)+1/sureau_ini.txt!#ref!)*B24/101.6)</f>
        <v>#NAME?</v>
      </c>
      <c r="E24" s="525" t="e">
        <f aca="false">sureau_ini.txt!#ref!/(1/sureau_ini.txt!#ref!+1/(1.5*(0.00662*(sureau_ini.txt!#ref!/sureau_ini.txt!#ref!*1000)^0.5)*1000*40)+1/sureau_ini.txt!#ref!)*B24/101.6 + sureau_ini.txt!#ref!/(1/sureau_ini.txt!#ref!+1/(1.5*(0.00662*(sureau_ini.txt!#ref!/sureau_ini.txt!#ref!*1000)^0.5)*1000*40)+1/sureau_ini.txt!#ref!)*B24/101.6 + sureau_ini.txt!#ref!/(1/sureau_ini.txt!#ref!+1/(1.5*(0.00662*(sureau_ini.txt!#ref!/sureau_ini.txt!#ref!*1000)^0.5)*1000*40)+1/sureau_ini.txt!#ref!)*B24/101.6</f>
        <v>#NAME?</v>
      </c>
      <c r="F24" s="75" t="e">
        <f aca="false">E24/1000*18/AK24/100000*3600*C24</f>
        <v>#NAME?</v>
      </c>
      <c r="G24" s="72" t="n">
        <v>-1.5</v>
      </c>
      <c r="H24" s="72" t="n">
        <v>0</v>
      </c>
      <c r="I24" s="75" t="e">
        <f aca="false">E24/(H24-G24)</f>
        <v>#NAME?</v>
      </c>
      <c r="J24" s="75" t="e">
        <f aca="false">I24*C24</f>
        <v>#NAME?</v>
      </c>
      <c r="K24" s="75" t="e">
        <f aca="false">1/I24</f>
        <v>#NAME?</v>
      </c>
      <c r="L24" s="75" t="e">
        <f aca="false">1/J24</f>
        <v>#NAME?</v>
      </c>
      <c r="M24" s="526" t="e">
        <f aca="false">1/(1/'Allometric tree'!I24*'Allometric tree'!BF24/100)</f>
        <v>#NAME?</v>
      </c>
      <c r="N24" s="526" t="e">
        <f aca="false">1/(1/'Allometric tree'!I24*'Allometric tree'!BG24/100)</f>
        <v>#NAME?</v>
      </c>
      <c r="O24" s="30" t="e">
        <f aca="false">1/(1/'Allometric tree'!I24*'Allometric tree'!BH24/100)</f>
        <v>#NAME?</v>
      </c>
      <c r="P24" s="30" t="e">
        <f aca="false">1/(1/'Allometric tree'!I24*'Allometric tree'!BI24/100)</f>
        <v>#NAME?</v>
      </c>
      <c r="Q24" s="30" t="e">
        <f aca="false">1/(1/'Allometric tree'!I24*'Allometric tree'!BJ24/100)</f>
        <v>#NAME?</v>
      </c>
      <c r="R24" s="526" t="e">
        <f aca="false">1/(1/'Allometric tree'!I24*'Allometric tree'!BK24/100)</f>
        <v>#NAME?</v>
      </c>
      <c r="S24" s="30" t="e">
        <f aca="false">M24*'Allometric tree'!C24</f>
        <v>#NAME?</v>
      </c>
      <c r="T24" s="30" t="e">
        <f aca="false">N24*'Allometric tree'!C24</f>
        <v>#NAME?</v>
      </c>
      <c r="U24" s="526" t="e">
        <f aca="false">O24*'Allometric tree'!C24</f>
        <v>#NAME?</v>
      </c>
      <c r="V24" s="526" t="e">
        <f aca="false">P24*'Allometric tree'!C24</f>
        <v>#NAME?</v>
      </c>
      <c r="W24" s="526" t="e">
        <f aca="false">Q24*'Allometric tree'!C24</f>
        <v>#NAME?</v>
      </c>
      <c r="X24" s="30" t="e">
        <f aca="false">R24*'Allometric tree'!C24</f>
        <v>#NAME?</v>
      </c>
      <c r="Y24" s="525" t="e">
        <f aca="false">sureau_ini.txt!#ref!</f>
        <v>#NAME?</v>
      </c>
      <c r="Z24" s="527" t="e">
        <f aca="false">AK24/C24</f>
        <v>#NAME?</v>
      </c>
      <c r="AA24" s="525" t="e">
        <f aca="false">sureau_ini.txt!#ref!</f>
        <v>#NAME?</v>
      </c>
      <c r="AB24" s="525" t="e">
        <f aca="false">sureau_ini.txt!#ref!</f>
        <v>#NAME?</v>
      </c>
      <c r="AC24" s="525" t="n">
        <v>1</v>
      </c>
      <c r="AD24" s="72" t="n">
        <v>0.1</v>
      </c>
      <c r="AE24" s="525" t="n">
        <f aca="false">'sureau_ini.txt'!$E$21</f>
        <v>1</v>
      </c>
      <c r="AF24" s="525" t="e">
        <f aca="false">sureau_ini.txt!#ref!+sureau_ini.txt!#ref!</f>
        <v>#NAME?</v>
      </c>
      <c r="AG24" s="525" t="e">
        <f aca="false">sureau_ini.txt!#ref!</f>
        <v>#NAME?</v>
      </c>
      <c r="AH24" s="525" t="e">
        <f aca="false">sureau_ini.txt!#ref!*100</f>
        <v>#NAME?</v>
      </c>
      <c r="AI24" s="75" t="e">
        <f aca="false">AH24/2*Y24</f>
        <v>#NAME?</v>
      </c>
      <c r="AJ24" s="75" t="e">
        <f aca="false">100*(AH24/100-SQRT(AH24/100*AH24/100-4*AW24/1000/AG24/3.1416))/2</f>
        <v>#NAME?</v>
      </c>
      <c r="AK24" s="75" t="e">
        <f aca="false">(3.1416/4*(AH24^2)-3.1416*(AH24/2-AI24)^2)/10000</f>
        <v>#NAME?</v>
      </c>
      <c r="AL24" s="75" t="e">
        <f aca="false">AK24*AF24</f>
        <v>#NAME?</v>
      </c>
      <c r="AM24" s="75" t="e">
        <f aca="false">AL24*AA24*1000</f>
        <v>#NAME?</v>
      </c>
      <c r="AN24" s="75" t="e">
        <f aca="false">AL24*1000*AB24</f>
        <v>#NAME?</v>
      </c>
      <c r="AO24" s="75" t="e">
        <f aca="false">AK24*AG24</f>
        <v>#NAME?</v>
      </c>
      <c r="AP24" s="75" t="e">
        <f aca="false">AH24*AH24*3.1416/4/C24</f>
        <v>#NAME?</v>
      </c>
      <c r="AQ24" s="75" t="e">
        <f aca="false">AK24*10000/C24</f>
        <v>#NAME?</v>
      </c>
      <c r="AR24" s="525" t="e">
        <f aca="false">(sureau_ini.txt!#ref!/2*sureau_ini.txt!#ref!/2*3.1416)</f>
        <v>#NAME?</v>
      </c>
      <c r="AS24" s="525" t="e">
        <f aca="false">C24/AR24</f>
        <v>#NAME?</v>
      </c>
      <c r="AT24" s="75" t="e">
        <f aca="false">10000/AR24</f>
        <v>#NAME?</v>
      </c>
      <c r="AU24" s="75" t="e">
        <f aca="false">AH24*AH24*3.1416/4/10000*AT24</f>
        <v>#NAME?</v>
      </c>
      <c r="AV24" s="528" t="e">
        <f aca="false">AO24*AA24*1000</f>
        <v>#NAME?</v>
      </c>
      <c r="AW24" s="528" t="e">
        <f aca="false">AO24*1000*AB24</f>
        <v>#NAME?</v>
      </c>
      <c r="AX24" s="528" t="e">
        <f aca="false">AM24-AV24</f>
        <v>#NAME?</v>
      </c>
      <c r="AY24" s="528" t="e">
        <f aca="false">AN24-AW24</f>
        <v>#NAME?</v>
      </c>
      <c r="AZ24" s="528" t="e">
        <f aca="false">AM24*AC24</f>
        <v>#NAME?</v>
      </c>
      <c r="BA24" s="528" t="e">
        <f aca="false">AN24*AC24</f>
        <v>#NAME?</v>
      </c>
      <c r="BB24" s="528" t="e">
        <f aca="false">3.1416*AH24*AG24/100</f>
        <v>#NAME?</v>
      </c>
      <c r="BC24" s="528" t="e">
        <f aca="false">C24*AD24</f>
        <v>#NAME?</v>
      </c>
      <c r="BD24" s="528" t="e">
        <f aca="false">C24*AE24</f>
        <v>#NAME?</v>
      </c>
      <c r="BE24" s="528" t="e">
        <f aca="false">BD24+BC24*AC24</f>
        <v>#NAME?</v>
      </c>
      <c r="BF24" s="72" t="n">
        <v>20</v>
      </c>
      <c r="BG24" s="72" t="n">
        <v>20</v>
      </c>
      <c r="BH24" s="72" t="n">
        <v>8</v>
      </c>
      <c r="BI24" s="72" t="n">
        <v>2</v>
      </c>
      <c r="BJ24" s="72" t="n">
        <v>10</v>
      </c>
      <c r="BK24" s="72" t="n">
        <v>40</v>
      </c>
      <c r="BL24" s="75" t="n">
        <f aca="false">SUM(BF24:BI24)</f>
        <v>50</v>
      </c>
      <c r="BM24" s="75" t="n">
        <f aca="false">BJ24+BK24</f>
        <v>50</v>
      </c>
      <c r="BN24" s="75" t="n">
        <f aca="false">SUM(BF24:BK24)</f>
        <v>100</v>
      </c>
      <c r="BO24" s="0" t="e">
        <f aca="false">AV24+AW24+AX24+AY24+AZ24+BA24+C24*sureau_ini.txt!#ref!/1000</f>
        <v>#NAME?</v>
      </c>
      <c r="BP24" s="0" t="e">
        <f aca="false">AV24+AX24+AZ24 +C24*sureau_ini.txt!#ref!*sureau_ini.txt!#ref!/1000</f>
        <v>#NAME?</v>
      </c>
      <c r="BQ24" s="0" t="e">
        <f aca="false">BO24-BP24</f>
        <v>#NAME?</v>
      </c>
    </row>
    <row r="25" customFormat="false" ht="15.75" hidden="false" customHeight="false" outlineLevel="0" collapsed="false">
      <c r="A25" s="0" t="e">
        <f aca="false">sureau_ini.txt!#ref!</f>
        <v>#NAME?</v>
      </c>
      <c r="B25" s="525" t="n">
        <f aca="false">VPD_max</f>
        <v>1.26741256491017</v>
      </c>
      <c r="C25" s="525" t="e">
        <f aca="false">sureau_ini.txt!#ref!</f>
        <v>#NAME?</v>
      </c>
      <c r="D25" s="525" t="e">
        <f aca="false">(1/(1/sureau_ini.txt!#ref!+1/(1.5*(0.00662*(sureau_ini.txt!#ref!/sureau_ini.txt!#ref!*1000)^0.5)*1000*40)+1/sureau_ini.txt!#ref!)*B25/101.6)</f>
        <v>#NAME?</v>
      </c>
      <c r="E25" s="525" t="e">
        <f aca="false">sureau_ini.txt!#ref!/(1/sureau_ini.txt!#ref!+1/(1.5*(0.00662*(sureau_ini.txt!#ref!/sureau_ini.txt!#ref!*1000)^0.5)*1000*40)+1/sureau_ini.txt!#ref!)*B25/101.6 + sureau_ini.txt!#ref!/(1/sureau_ini.txt!#ref!+1/(1.5*(0.00662*(sureau_ini.txt!#ref!/sureau_ini.txt!#ref!*1000)^0.5)*1000*40)+1/sureau_ini.txt!#ref!)*B25/101.6 + sureau_ini.txt!#ref!/(1/sureau_ini.txt!#ref!+1/(1.5*(0.00662*(sureau_ini.txt!#ref!/sureau_ini.txt!#ref!*1000)^0.5)*1000*40)+1/sureau_ini.txt!#ref!)*B25/101.6</f>
        <v>#NAME?</v>
      </c>
      <c r="F25" s="75" t="e">
        <f aca="false">E25/1000*18/AK25/100000*3600*C25</f>
        <v>#NAME?</v>
      </c>
      <c r="G25" s="72" t="n">
        <v>-1.5</v>
      </c>
      <c r="H25" s="72" t="n">
        <v>0</v>
      </c>
      <c r="I25" s="75" t="e">
        <f aca="false">E25/(H25-G25)</f>
        <v>#NAME?</v>
      </c>
      <c r="J25" s="75" t="e">
        <f aca="false">I25*C25</f>
        <v>#NAME?</v>
      </c>
      <c r="K25" s="75" t="e">
        <f aca="false">1/I25</f>
        <v>#NAME?</v>
      </c>
      <c r="L25" s="75" t="e">
        <f aca="false">1/J25</f>
        <v>#NAME?</v>
      </c>
      <c r="M25" s="526" t="e">
        <f aca="false">1/(1/'Allometric tree'!I25*'Allometric tree'!BF25/100)</f>
        <v>#NAME?</v>
      </c>
      <c r="N25" s="526" t="e">
        <f aca="false">1/(1/'Allometric tree'!I25*'Allometric tree'!BG25/100)</f>
        <v>#NAME?</v>
      </c>
      <c r="O25" s="30" t="e">
        <f aca="false">1/(1/'Allometric tree'!I25*'Allometric tree'!BH25/100)</f>
        <v>#NAME?</v>
      </c>
      <c r="P25" s="30" t="e">
        <f aca="false">1/(1/'Allometric tree'!I25*'Allometric tree'!BI25/100)</f>
        <v>#NAME?</v>
      </c>
      <c r="Q25" s="30" t="e">
        <f aca="false">1/(1/'Allometric tree'!I25*'Allometric tree'!BJ25/100)</f>
        <v>#NAME?</v>
      </c>
      <c r="R25" s="526" t="e">
        <f aca="false">1/(1/'Allometric tree'!I25*'Allometric tree'!BK25/100)</f>
        <v>#NAME?</v>
      </c>
      <c r="S25" s="30" t="e">
        <f aca="false">M25*'Allometric tree'!C25</f>
        <v>#NAME?</v>
      </c>
      <c r="T25" s="30" t="e">
        <f aca="false">N25*'Allometric tree'!C25</f>
        <v>#NAME?</v>
      </c>
      <c r="U25" s="526" t="e">
        <f aca="false">O25*'Allometric tree'!C25</f>
        <v>#NAME?</v>
      </c>
      <c r="V25" s="526" t="e">
        <f aca="false">P25*'Allometric tree'!C25</f>
        <v>#NAME?</v>
      </c>
      <c r="W25" s="526" t="e">
        <f aca="false">Q25*'Allometric tree'!C25</f>
        <v>#NAME?</v>
      </c>
      <c r="X25" s="30" t="e">
        <f aca="false">R25*'Allometric tree'!C25</f>
        <v>#NAME?</v>
      </c>
      <c r="Y25" s="525" t="e">
        <f aca="false">sureau_ini.txt!#ref!</f>
        <v>#NAME?</v>
      </c>
      <c r="Z25" s="527" t="e">
        <f aca="false">AK25/C25</f>
        <v>#NAME?</v>
      </c>
      <c r="AA25" s="525" t="e">
        <f aca="false">sureau_ini.txt!#ref!</f>
        <v>#NAME?</v>
      </c>
      <c r="AB25" s="525" t="e">
        <f aca="false">sureau_ini.txt!#ref!</f>
        <v>#NAME?</v>
      </c>
      <c r="AC25" s="525" t="n">
        <v>1</v>
      </c>
      <c r="AD25" s="72" t="n">
        <v>0.1</v>
      </c>
      <c r="AE25" s="525" t="n">
        <f aca="false">'sureau_ini.txt'!$E$21</f>
        <v>1</v>
      </c>
      <c r="AF25" s="525" t="e">
        <f aca="false">sureau_ini.txt!#ref!+sureau_ini.txt!#ref!</f>
        <v>#NAME?</v>
      </c>
      <c r="AG25" s="525" t="e">
        <f aca="false">sureau_ini.txt!#ref!</f>
        <v>#NAME?</v>
      </c>
      <c r="AH25" s="525" t="e">
        <f aca="false">sureau_ini.txt!#ref!*100</f>
        <v>#NAME?</v>
      </c>
      <c r="AI25" s="75" t="e">
        <f aca="false">AH25/2*Y25</f>
        <v>#NAME?</v>
      </c>
      <c r="AJ25" s="75" t="e">
        <f aca="false">100*(AH25/100-SQRT(AH25/100*AH25/100-4*AW25/1000/AG25/3.1416))/2</f>
        <v>#NAME?</v>
      </c>
      <c r="AK25" s="75" t="e">
        <f aca="false">(3.1416/4*(AH25^2)-3.1416*(AH25/2-AI25)^2)/10000</f>
        <v>#NAME?</v>
      </c>
      <c r="AL25" s="75" t="e">
        <f aca="false">AK25*AF25</f>
        <v>#NAME?</v>
      </c>
      <c r="AM25" s="75" t="e">
        <f aca="false">AL25*AA25*1000</f>
        <v>#NAME?</v>
      </c>
      <c r="AN25" s="75" t="e">
        <f aca="false">AL25*1000*AB25</f>
        <v>#NAME?</v>
      </c>
      <c r="AO25" s="75" t="e">
        <f aca="false">AK25*AG25</f>
        <v>#NAME?</v>
      </c>
      <c r="AP25" s="75" t="e">
        <f aca="false">AH25*AH25*3.1416/4/C25</f>
        <v>#NAME?</v>
      </c>
      <c r="AQ25" s="75" t="e">
        <f aca="false">AK25*10000/C25</f>
        <v>#NAME?</v>
      </c>
      <c r="AR25" s="525" t="e">
        <f aca="false">(sureau_ini.txt!#ref!/2*sureau_ini.txt!#ref!/2*3.1416)</f>
        <v>#NAME?</v>
      </c>
      <c r="AS25" s="525" t="e">
        <f aca="false">C25/AR25</f>
        <v>#NAME?</v>
      </c>
      <c r="AT25" s="75" t="e">
        <f aca="false">10000/AR25</f>
        <v>#NAME?</v>
      </c>
      <c r="AU25" s="75" t="e">
        <f aca="false">AH25*AH25*3.1416/4/10000*AT25</f>
        <v>#NAME?</v>
      </c>
      <c r="AV25" s="528" t="e">
        <f aca="false">AO25*AA25*1000</f>
        <v>#NAME?</v>
      </c>
      <c r="AW25" s="528" t="e">
        <f aca="false">AO25*1000*AB25</f>
        <v>#NAME?</v>
      </c>
      <c r="AX25" s="528" t="e">
        <f aca="false">AM25-AV25</f>
        <v>#NAME?</v>
      </c>
      <c r="AY25" s="528" t="e">
        <f aca="false">AN25-AW25</f>
        <v>#NAME?</v>
      </c>
      <c r="AZ25" s="528" t="e">
        <f aca="false">AM25*AC25</f>
        <v>#NAME?</v>
      </c>
      <c r="BA25" s="528" t="e">
        <f aca="false">AN25*AC25</f>
        <v>#NAME?</v>
      </c>
      <c r="BB25" s="528" t="e">
        <f aca="false">3.1416*AH25*AG25/100</f>
        <v>#NAME?</v>
      </c>
      <c r="BC25" s="528" t="e">
        <f aca="false">C25*AD25</f>
        <v>#NAME?</v>
      </c>
      <c r="BD25" s="528" t="e">
        <f aca="false">C25*AE25</f>
        <v>#NAME?</v>
      </c>
      <c r="BE25" s="528" t="e">
        <f aca="false">BD25+BC25*AC25</f>
        <v>#NAME?</v>
      </c>
      <c r="BF25" s="72" t="n">
        <v>20</v>
      </c>
      <c r="BG25" s="72" t="n">
        <v>20</v>
      </c>
      <c r="BH25" s="72" t="n">
        <v>8</v>
      </c>
      <c r="BI25" s="72" t="n">
        <v>2</v>
      </c>
      <c r="BJ25" s="72" t="n">
        <v>10</v>
      </c>
      <c r="BK25" s="72" t="n">
        <v>40</v>
      </c>
      <c r="BL25" s="75" t="n">
        <f aca="false">SUM(BF25:BI25)</f>
        <v>50</v>
      </c>
      <c r="BM25" s="75" t="n">
        <f aca="false">BJ25+BK25</f>
        <v>50</v>
      </c>
      <c r="BN25" s="75" t="n">
        <f aca="false">SUM(BF25:BK25)</f>
        <v>100</v>
      </c>
      <c r="BO25" s="0" t="e">
        <f aca="false">AV25+AW25+AX25+AY25+AZ25+BA25+C25*sureau_ini.txt!#ref!/1000</f>
        <v>#NAME?</v>
      </c>
      <c r="BP25" s="0" t="e">
        <f aca="false">AV25+AX25+AZ25 +C25*sureau_ini.txt!#ref!*sureau_ini.txt!#ref!/1000</f>
        <v>#NAME?</v>
      </c>
      <c r="BQ25" s="0" t="e">
        <f aca="false">BO25-BP25</f>
        <v>#NAME?</v>
      </c>
    </row>
    <row r="26" customFormat="false" ht="15.75" hidden="false" customHeight="false" outlineLevel="0" collapsed="false">
      <c r="A26" s="0" t="e">
        <f aca="false">sureau_ini.txt!#ref!</f>
        <v>#NAME?</v>
      </c>
      <c r="B26" s="525" t="n">
        <f aca="false">VPD_max</f>
        <v>1.26741256491017</v>
      </c>
      <c r="C26" s="525" t="e">
        <f aca="false">sureau_ini.txt!#ref!</f>
        <v>#NAME?</v>
      </c>
      <c r="D26" s="525" t="e">
        <f aca="false">(1/(1/sureau_ini.txt!#ref!+1/(1.5*(0.00662*(sureau_ini.txt!#ref!/sureau_ini.txt!#ref!*1000)^0.5)*1000*40)+1/sureau_ini.txt!#ref!)*B26/101.6)</f>
        <v>#NAME?</v>
      </c>
      <c r="E26" s="525" t="e">
        <f aca="false">sureau_ini.txt!#ref!/(1/sureau_ini.txt!#ref!+1/(1.5*(0.00662*(sureau_ini.txt!#ref!/sureau_ini.txt!#ref!*1000)^0.5)*1000*40)+1/sureau_ini.txt!#ref!)*B26/101.6 + sureau_ini.txt!#ref!/(1/sureau_ini.txt!#ref!+1/(1.5*(0.00662*(sureau_ini.txt!#ref!/sureau_ini.txt!#ref!*1000)^0.5)*1000*40)+1/sureau_ini.txt!#ref!)*B26/101.6 + sureau_ini.txt!#ref!/(1/sureau_ini.txt!#ref!+1/(1.5*(0.00662*(sureau_ini.txt!#ref!/sureau_ini.txt!#ref!*1000)^0.5)*1000*40)+1/sureau_ini.txt!#ref!)*B26/101.6</f>
        <v>#NAME?</v>
      </c>
      <c r="F26" s="75" t="e">
        <f aca="false">E26/1000*18/AK26/100000*3600*C26</f>
        <v>#NAME?</v>
      </c>
      <c r="G26" s="72" t="n">
        <v>-1.5</v>
      </c>
      <c r="H26" s="72" t="n">
        <v>0</v>
      </c>
      <c r="I26" s="75" t="e">
        <f aca="false">E26/(H26-G26)</f>
        <v>#NAME?</v>
      </c>
      <c r="J26" s="75" t="e">
        <f aca="false">I26*C26</f>
        <v>#NAME?</v>
      </c>
      <c r="K26" s="75" t="e">
        <f aca="false">1/I26</f>
        <v>#NAME?</v>
      </c>
      <c r="L26" s="75" t="e">
        <f aca="false">1/J26</f>
        <v>#NAME?</v>
      </c>
      <c r="M26" s="526" t="e">
        <f aca="false">1/(1/'Allometric tree'!I26*'Allometric tree'!BF26/100)</f>
        <v>#NAME?</v>
      </c>
      <c r="N26" s="526" t="e">
        <f aca="false">1/(1/'Allometric tree'!I26*'Allometric tree'!BG26/100)</f>
        <v>#NAME?</v>
      </c>
      <c r="O26" s="30" t="e">
        <f aca="false">1/(1/'Allometric tree'!I26*'Allometric tree'!BH26/100)</f>
        <v>#NAME?</v>
      </c>
      <c r="P26" s="30" t="e">
        <f aca="false">1/(1/'Allometric tree'!I26*'Allometric tree'!BI26/100)</f>
        <v>#NAME?</v>
      </c>
      <c r="Q26" s="30" t="e">
        <f aca="false">1/(1/'Allometric tree'!I26*'Allometric tree'!BJ26/100)</f>
        <v>#NAME?</v>
      </c>
      <c r="R26" s="526" t="e">
        <f aca="false">1/(1/'Allometric tree'!I26*'Allometric tree'!BK26/100)</f>
        <v>#NAME?</v>
      </c>
      <c r="S26" s="30" t="e">
        <f aca="false">M26*'Allometric tree'!C26</f>
        <v>#NAME?</v>
      </c>
      <c r="T26" s="30" t="e">
        <f aca="false">N26*'Allometric tree'!C26</f>
        <v>#NAME?</v>
      </c>
      <c r="U26" s="526" t="e">
        <f aca="false">O26*'Allometric tree'!C26</f>
        <v>#NAME?</v>
      </c>
      <c r="V26" s="526" t="e">
        <f aca="false">P26*'Allometric tree'!C26</f>
        <v>#NAME?</v>
      </c>
      <c r="W26" s="526" t="e">
        <f aca="false">Q26*'Allometric tree'!C26</f>
        <v>#NAME?</v>
      </c>
      <c r="X26" s="30" t="e">
        <f aca="false">R26*'Allometric tree'!C26</f>
        <v>#NAME?</v>
      </c>
      <c r="Y26" s="525" t="e">
        <f aca="false">sureau_ini.txt!#ref!</f>
        <v>#NAME?</v>
      </c>
      <c r="Z26" s="527" t="e">
        <f aca="false">AK26/C26</f>
        <v>#NAME?</v>
      </c>
      <c r="AA26" s="525" t="e">
        <f aca="false">sureau_ini.txt!#ref!</f>
        <v>#NAME?</v>
      </c>
      <c r="AB26" s="525" t="e">
        <f aca="false">sureau_ini.txt!#ref!</f>
        <v>#NAME?</v>
      </c>
      <c r="AC26" s="525" t="n">
        <v>1</v>
      </c>
      <c r="AD26" s="72" t="n">
        <v>0.1</v>
      </c>
      <c r="AE26" s="525" t="n">
        <f aca="false">'sureau_ini.txt'!$E$21</f>
        <v>1</v>
      </c>
      <c r="AF26" s="525" t="e">
        <f aca="false">sureau_ini.txt!#ref!+sureau_ini.txt!#ref!</f>
        <v>#NAME?</v>
      </c>
      <c r="AG26" s="525" t="e">
        <f aca="false">sureau_ini.txt!#ref!</f>
        <v>#NAME?</v>
      </c>
      <c r="AH26" s="525" t="e">
        <f aca="false">sureau_ini.txt!#ref!*100</f>
        <v>#NAME?</v>
      </c>
      <c r="AI26" s="75" t="e">
        <f aca="false">AH26/2*Y26</f>
        <v>#NAME?</v>
      </c>
      <c r="AJ26" s="75" t="e">
        <f aca="false">100*(AH26/100-SQRT(AH26/100*AH26/100-4*AW26/1000/AG26/3.1416))/2</f>
        <v>#NAME?</v>
      </c>
      <c r="AK26" s="75" t="e">
        <f aca="false">(3.1416/4*(AH26^2)-3.1416*(AH26/2-AI26)^2)/10000</f>
        <v>#NAME?</v>
      </c>
      <c r="AL26" s="75" t="e">
        <f aca="false">AK26*AF26</f>
        <v>#NAME?</v>
      </c>
      <c r="AM26" s="75" t="e">
        <f aca="false">AL26*AA26*1000</f>
        <v>#NAME?</v>
      </c>
      <c r="AN26" s="75" t="e">
        <f aca="false">AL26*1000*AB26</f>
        <v>#NAME?</v>
      </c>
      <c r="AO26" s="75" t="e">
        <f aca="false">AK26*AG26</f>
        <v>#NAME?</v>
      </c>
      <c r="AP26" s="75" t="e">
        <f aca="false">AH26*AH26*3.1416/4/C26</f>
        <v>#NAME?</v>
      </c>
      <c r="AQ26" s="75" t="e">
        <f aca="false">AK26*10000/C26</f>
        <v>#NAME?</v>
      </c>
      <c r="AR26" s="525" t="e">
        <f aca="false">(sureau_ini.txt!#ref!/2*sureau_ini.txt!#ref!/2*3.1416)</f>
        <v>#NAME?</v>
      </c>
      <c r="AS26" s="525" t="e">
        <f aca="false">C26/AR26</f>
        <v>#NAME?</v>
      </c>
      <c r="AT26" s="75" t="e">
        <f aca="false">10000/AR26</f>
        <v>#NAME?</v>
      </c>
      <c r="AU26" s="75" t="e">
        <f aca="false">AH26*AH26*3.1416/4/10000*AT26</f>
        <v>#NAME?</v>
      </c>
      <c r="AV26" s="528" t="e">
        <f aca="false">AO26*AA26*1000</f>
        <v>#NAME?</v>
      </c>
      <c r="AW26" s="528" t="e">
        <f aca="false">AO26*1000*AB26</f>
        <v>#NAME?</v>
      </c>
      <c r="AX26" s="528" t="e">
        <f aca="false">AM26-AV26</f>
        <v>#NAME?</v>
      </c>
      <c r="AY26" s="528" t="e">
        <f aca="false">AN26-AW26</f>
        <v>#NAME?</v>
      </c>
      <c r="AZ26" s="528" t="e">
        <f aca="false">AM26*AC26</f>
        <v>#NAME?</v>
      </c>
      <c r="BA26" s="528" t="e">
        <f aca="false">AN26*AC26</f>
        <v>#NAME?</v>
      </c>
      <c r="BB26" s="528" t="e">
        <f aca="false">3.1416*AH26*AG26/100</f>
        <v>#NAME?</v>
      </c>
      <c r="BC26" s="528" t="e">
        <f aca="false">C26*AD26</f>
        <v>#NAME?</v>
      </c>
      <c r="BD26" s="528" t="e">
        <f aca="false">C26*AE26</f>
        <v>#NAME?</v>
      </c>
      <c r="BE26" s="528" t="e">
        <f aca="false">BD26+BC26*AC26</f>
        <v>#NAME?</v>
      </c>
      <c r="BF26" s="72" t="n">
        <v>20</v>
      </c>
      <c r="BG26" s="72" t="n">
        <v>20</v>
      </c>
      <c r="BH26" s="72" t="n">
        <v>8</v>
      </c>
      <c r="BI26" s="72" t="n">
        <v>2</v>
      </c>
      <c r="BJ26" s="72" t="n">
        <v>10</v>
      </c>
      <c r="BK26" s="72" t="n">
        <v>40</v>
      </c>
      <c r="BL26" s="75" t="n">
        <f aca="false">SUM(BF26:BI26)</f>
        <v>50</v>
      </c>
      <c r="BM26" s="75" t="n">
        <f aca="false">BJ26+BK26</f>
        <v>50</v>
      </c>
      <c r="BN26" s="75" t="n">
        <f aca="false">SUM(BF26:BK26)</f>
        <v>100</v>
      </c>
      <c r="BO26" s="0" t="e">
        <f aca="false">AV26+AW26+AX26+AY26+AZ26+BA26+C26*sureau_ini.txt!#ref!/1000</f>
        <v>#NAME?</v>
      </c>
      <c r="BP26" s="0" t="e">
        <f aca="false">AV26+AX26+AZ26 +C26*sureau_ini.txt!#ref!*sureau_ini.txt!#ref!/1000</f>
        <v>#NAME?</v>
      </c>
      <c r="BQ26" s="0" t="e">
        <f aca="false">BO26-BP26</f>
        <v>#NAME?</v>
      </c>
    </row>
    <row r="27" customFormat="false" ht="15.75" hidden="false" customHeight="false" outlineLevel="0" collapsed="false">
      <c r="A27" s="0" t="e">
        <f aca="false">sureau_ini.txt!#ref!</f>
        <v>#NAME?</v>
      </c>
      <c r="B27" s="525" t="n">
        <f aca="false">VPD_max</f>
        <v>1.26741256491017</v>
      </c>
      <c r="C27" s="525" t="e">
        <f aca="false">sureau_ini.txt!#ref!</f>
        <v>#NAME?</v>
      </c>
      <c r="D27" s="525" t="e">
        <f aca="false">(1/(1/sureau_ini.txt!#ref!+1/(1.5*(0.00662*(sureau_ini.txt!#ref!/sureau_ini.txt!#ref!*1000)^0.5)*1000*40)+1/sureau_ini.txt!#ref!)*B27/101.6)</f>
        <v>#NAME?</v>
      </c>
      <c r="E27" s="525" t="e">
        <f aca="false">sureau_ini.txt!#ref!/(1/sureau_ini.txt!#ref!+1/(1.5*(0.00662*(sureau_ini.txt!#ref!/sureau_ini.txt!#ref!*1000)^0.5)*1000*40)+1/sureau_ini.txt!#ref!)*B27/101.6 + sureau_ini.txt!#ref!/(1/sureau_ini.txt!#ref!+1/(1.5*(0.00662*(sureau_ini.txt!#ref!/sureau_ini.txt!#ref!*1000)^0.5)*1000*40)+1/sureau_ini.txt!#ref!)*B27/101.6 + sureau_ini.txt!#ref!/(1/sureau_ini.txt!#ref!+1/(1.5*(0.00662*(sureau_ini.txt!#ref!/sureau_ini.txt!#ref!*1000)^0.5)*1000*40)+1/sureau_ini.txt!#ref!)*B27/101.6</f>
        <v>#NAME?</v>
      </c>
      <c r="F27" s="75" t="e">
        <f aca="false">E27/1000*18/AK27/100000*3600*C27</f>
        <v>#NAME?</v>
      </c>
      <c r="G27" s="72" t="n">
        <v>-1.5</v>
      </c>
      <c r="H27" s="72" t="n">
        <v>0</v>
      </c>
      <c r="I27" s="75" t="e">
        <f aca="false">E27/(H27-G27)</f>
        <v>#NAME?</v>
      </c>
      <c r="J27" s="75" t="e">
        <f aca="false">I27*C27</f>
        <v>#NAME?</v>
      </c>
      <c r="K27" s="75" t="e">
        <f aca="false">1/I27</f>
        <v>#NAME?</v>
      </c>
      <c r="L27" s="75" t="e">
        <f aca="false">1/J27</f>
        <v>#NAME?</v>
      </c>
      <c r="M27" s="526" t="e">
        <f aca="false">1/(1/'Allometric tree'!I27*'Allometric tree'!BF27/100)</f>
        <v>#NAME?</v>
      </c>
      <c r="N27" s="526" t="e">
        <f aca="false">1/(1/'Allometric tree'!I27*'Allometric tree'!BG27/100)</f>
        <v>#NAME?</v>
      </c>
      <c r="O27" s="30" t="e">
        <f aca="false">1/(1/'Allometric tree'!I27*'Allometric tree'!BH27/100)</f>
        <v>#NAME?</v>
      </c>
      <c r="P27" s="30" t="e">
        <f aca="false">1/(1/'Allometric tree'!I27*'Allometric tree'!BI27/100)</f>
        <v>#NAME?</v>
      </c>
      <c r="Q27" s="30" t="e">
        <f aca="false">1/(1/'Allometric tree'!I27*'Allometric tree'!BJ27/100)</f>
        <v>#NAME?</v>
      </c>
      <c r="R27" s="526" t="e">
        <f aca="false">1/(1/'Allometric tree'!I27*'Allometric tree'!BK27/100)</f>
        <v>#NAME?</v>
      </c>
      <c r="S27" s="30" t="e">
        <f aca="false">M27*'Allometric tree'!C27</f>
        <v>#NAME?</v>
      </c>
      <c r="T27" s="30" t="e">
        <f aca="false">N27*'Allometric tree'!C27</f>
        <v>#NAME?</v>
      </c>
      <c r="U27" s="526" t="e">
        <f aca="false">O27*'Allometric tree'!C27</f>
        <v>#NAME?</v>
      </c>
      <c r="V27" s="526" t="e">
        <f aca="false">P27*'Allometric tree'!C27</f>
        <v>#NAME?</v>
      </c>
      <c r="W27" s="526" t="e">
        <f aca="false">Q27*'Allometric tree'!C27</f>
        <v>#NAME?</v>
      </c>
      <c r="X27" s="30" t="e">
        <f aca="false">R27*'Allometric tree'!C27</f>
        <v>#NAME?</v>
      </c>
      <c r="Y27" s="525" t="e">
        <f aca="false">sureau_ini.txt!#ref!</f>
        <v>#NAME?</v>
      </c>
      <c r="Z27" s="527" t="e">
        <f aca="false">AK27/C27</f>
        <v>#NAME?</v>
      </c>
      <c r="AA27" s="525" t="e">
        <f aca="false">sureau_ini.txt!#ref!</f>
        <v>#NAME?</v>
      </c>
      <c r="AB27" s="525" t="e">
        <f aca="false">sureau_ini.txt!#ref!</f>
        <v>#NAME?</v>
      </c>
      <c r="AC27" s="525" t="n">
        <v>1</v>
      </c>
      <c r="AD27" s="72" t="n">
        <v>0.1</v>
      </c>
      <c r="AE27" s="525" t="n">
        <f aca="false">'sureau_ini.txt'!$E$21</f>
        <v>1</v>
      </c>
      <c r="AF27" s="525" t="e">
        <f aca="false">sureau_ini.txt!#ref!+sureau_ini.txt!#ref!</f>
        <v>#NAME?</v>
      </c>
      <c r="AG27" s="525" t="e">
        <f aca="false">sureau_ini.txt!#ref!</f>
        <v>#NAME?</v>
      </c>
      <c r="AH27" s="525" t="e">
        <f aca="false">sureau_ini.txt!#ref!*100</f>
        <v>#NAME?</v>
      </c>
      <c r="AI27" s="75" t="e">
        <f aca="false">AH27/2*Y27</f>
        <v>#NAME?</v>
      </c>
      <c r="AJ27" s="75" t="e">
        <f aca="false">100*(AH27/100-SQRT(AH27/100*AH27/100-4*AW27/1000/AG27/3.1416))/2</f>
        <v>#NAME?</v>
      </c>
      <c r="AK27" s="75" t="e">
        <f aca="false">(3.1416/4*(AH27^2)-3.1416*(AH27/2-AI27)^2)/10000</f>
        <v>#NAME?</v>
      </c>
      <c r="AL27" s="75" t="e">
        <f aca="false">AK27*AF27</f>
        <v>#NAME?</v>
      </c>
      <c r="AM27" s="75" t="e">
        <f aca="false">AL27*AA27*1000</f>
        <v>#NAME?</v>
      </c>
      <c r="AN27" s="75" t="e">
        <f aca="false">AL27*1000*AB27</f>
        <v>#NAME?</v>
      </c>
      <c r="AO27" s="75" t="e">
        <f aca="false">AK27*AG27</f>
        <v>#NAME?</v>
      </c>
      <c r="AP27" s="75" t="e">
        <f aca="false">AH27*AH27*3.1416/4/C27</f>
        <v>#NAME?</v>
      </c>
      <c r="AQ27" s="75" t="e">
        <f aca="false">AK27*10000/C27</f>
        <v>#NAME?</v>
      </c>
      <c r="AR27" s="525" t="e">
        <f aca="false">(sureau_ini.txt!#ref!/2*sureau_ini.txt!#ref!/2*3.1416)</f>
        <v>#NAME?</v>
      </c>
      <c r="AS27" s="525" t="e">
        <f aca="false">C27/AR27</f>
        <v>#NAME?</v>
      </c>
      <c r="AT27" s="75" t="e">
        <f aca="false">10000/AR27</f>
        <v>#NAME?</v>
      </c>
      <c r="AU27" s="75" t="e">
        <f aca="false">AH27*AH27*3.1416/4/10000*AT27</f>
        <v>#NAME?</v>
      </c>
      <c r="AV27" s="528" t="e">
        <f aca="false">AO27*AA27*1000</f>
        <v>#NAME?</v>
      </c>
      <c r="AW27" s="528" t="e">
        <f aca="false">AO27*1000*AB27</f>
        <v>#NAME?</v>
      </c>
      <c r="AX27" s="528" t="e">
        <f aca="false">AM27-AV27</f>
        <v>#NAME?</v>
      </c>
      <c r="AY27" s="528" t="e">
        <f aca="false">AN27-AW27</f>
        <v>#NAME?</v>
      </c>
      <c r="AZ27" s="528" t="e">
        <f aca="false">AM27*AC27</f>
        <v>#NAME?</v>
      </c>
      <c r="BA27" s="528" t="e">
        <f aca="false">AN27*AC27</f>
        <v>#NAME?</v>
      </c>
      <c r="BB27" s="528" t="e">
        <f aca="false">3.1416*AH27*AG27/100</f>
        <v>#NAME?</v>
      </c>
      <c r="BC27" s="528" t="e">
        <f aca="false">C27*AD27</f>
        <v>#NAME?</v>
      </c>
      <c r="BD27" s="528" t="e">
        <f aca="false">C27*AE27</f>
        <v>#NAME?</v>
      </c>
      <c r="BE27" s="528" t="e">
        <f aca="false">BD27+BC27*AC27</f>
        <v>#NAME?</v>
      </c>
      <c r="BF27" s="72" t="n">
        <v>20</v>
      </c>
      <c r="BG27" s="72" t="n">
        <v>20</v>
      </c>
      <c r="BH27" s="72" t="n">
        <v>8</v>
      </c>
      <c r="BI27" s="72" t="n">
        <v>2</v>
      </c>
      <c r="BJ27" s="72" t="n">
        <v>10</v>
      </c>
      <c r="BK27" s="72" t="n">
        <v>40</v>
      </c>
      <c r="BL27" s="75" t="n">
        <f aca="false">SUM(BF27:BI27)</f>
        <v>50</v>
      </c>
      <c r="BM27" s="75" t="n">
        <f aca="false">BJ27+BK27</f>
        <v>50</v>
      </c>
      <c r="BN27" s="75" t="n">
        <f aca="false">SUM(BF27:BK27)</f>
        <v>100</v>
      </c>
      <c r="BO27" s="0" t="e">
        <f aca="false">AV27+AW27+AX27+AY27+AZ27+BA27+C27*sureau_ini.txt!#ref!/1000</f>
        <v>#NAME?</v>
      </c>
      <c r="BP27" s="0" t="e">
        <f aca="false">AV27+AX27+AZ27 +C27*sureau_ini.txt!#ref!*sureau_ini.txt!#ref!/1000</f>
        <v>#NAME?</v>
      </c>
      <c r="BQ27" s="0" t="e">
        <f aca="false">BO27-BP27</f>
        <v>#NAME?</v>
      </c>
    </row>
    <row r="28" customFormat="false" ht="15.75" hidden="false" customHeight="false" outlineLevel="0" collapsed="false">
      <c r="A28" s="0" t="e">
        <f aca="false">sureau_ini.txt!#ref!</f>
        <v>#NAME?</v>
      </c>
      <c r="B28" s="525" t="n">
        <f aca="false">VPD_max</f>
        <v>1.26741256491017</v>
      </c>
      <c r="C28" s="525" t="e">
        <f aca="false">sureau_ini.txt!#ref!</f>
        <v>#NAME?</v>
      </c>
      <c r="D28" s="525" t="e">
        <f aca="false">(1/(1/sureau_ini.txt!#ref!+1/(1.5*(0.00662*(sureau_ini.txt!#ref!/sureau_ini.txt!#ref!*1000)^0.5)*1000*40)+1/sureau_ini.txt!#ref!)*B28/101.6)</f>
        <v>#NAME?</v>
      </c>
      <c r="E28" s="525" t="e">
        <f aca="false">sureau_ini.txt!#ref!/(1/sureau_ini.txt!#ref!+1/(1.5*(0.00662*(sureau_ini.txt!#ref!/sureau_ini.txt!#ref!*1000)^0.5)*1000*40)+1/sureau_ini.txt!#ref!)*B28/101.6 + sureau_ini.txt!#ref!/(1/sureau_ini.txt!#ref!+1/(1.5*(0.00662*(sureau_ini.txt!#ref!/sureau_ini.txt!#ref!*1000)^0.5)*1000*40)+1/sureau_ini.txt!#ref!)*B28/101.6 + sureau_ini.txt!#ref!/(1/sureau_ini.txt!#ref!+1/(1.5*(0.00662*(sureau_ini.txt!#ref!/sureau_ini.txt!#ref!*1000)^0.5)*1000*40)+1/sureau_ini.txt!#ref!)*B28/101.6</f>
        <v>#NAME?</v>
      </c>
      <c r="F28" s="75" t="e">
        <f aca="false">E28/1000*18/AK28/100000*3600*C28</f>
        <v>#NAME?</v>
      </c>
      <c r="G28" s="72" t="n">
        <v>-1.5</v>
      </c>
      <c r="H28" s="72" t="n">
        <v>0</v>
      </c>
      <c r="I28" s="75" t="e">
        <f aca="false">E28/(H28-G28)</f>
        <v>#NAME?</v>
      </c>
      <c r="J28" s="75" t="e">
        <f aca="false">I28*C28</f>
        <v>#NAME?</v>
      </c>
      <c r="K28" s="75" t="e">
        <f aca="false">1/I28</f>
        <v>#NAME?</v>
      </c>
      <c r="L28" s="75" t="e">
        <f aca="false">1/J28</f>
        <v>#NAME?</v>
      </c>
      <c r="M28" s="526" t="e">
        <f aca="false">1/(1/'Allometric tree'!I28*'Allometric tree'!BF28/100)</f>
        <v>#NAME?</v>
      </c>
      <c r="N28" s="526" t="e">
        <f aca="false">1/(1/'Allometric tree'!I28*'Allometric tree'!BG28/100)</f>
        <v>#NAME?</v>
      </c>
      <c r="O28" s="30" t="e">
        <f aca="false">1/(1/'Allometric tree'!I28*'Allometric tree'!BH28/100)</f>
        <v>#NAME?</v>
      </c>
      <c r="P28" s="30" t="e">
        <f aca="false">1/(1/'Allometric tree'!I28*'Allometric tree'!BI28/100)</f>
        <v>#NAME?</v>
      </c>
      <c r="Q28" s="30" t="e">
        <f aca="false">1/(1/'Allometric tree'!I28*'Allometric tree'!BJ28/100)</f>
        <v>#NAME?</v>
      </c>
      <c r="R28" s="526" t="e">
        <f aca="false">1/(1/'Allometric tree'!I28*'Allometric tree'!BK28/100)</f>
        <v>#NAME?</v>
      </c>
      <c r="S28" s="30" t="e">
        <f aca="false">M28*'Allometric tree'!C28</f>
        <v>#NAME?</v>
      </c>
      <c r="T28" s="30" t="e">
        <f aca="false">N28*'Allometric tree'!C28</f>
        <v>#NAME?</v>
      </c>
      <c r="U28" s="526" t="e">
        <f aca="false">O28*'Allometric tree'!C28</f>
        <v>#NAME?</v>
      </c>
      <c r="V28" s="526" t="e">
        <f aca="false">P28*'Allometric tree'!C28</f>
        <v>#NAME?</v>
      </c>
      <c r="W28" s="526" t="e">
        <f aca="false">Q28*'Allometric tree'!C28</f>
        <v>#NAME?</v>
      </c>
      <c r="X28" s="30" t="e">
        <f aca="false">R28*'Allometric tree'!C28</f>
        <v>#NAME?</v>
      </c>
      <c r="Y28" s="525" t="e">
        <f aca="false">sureau_ini.txt!#ref!</f>
        <v>#NAME?</v>
      </c>
      <c r="Z28" s="527" t="e">
        <f aca="false">AK28/C28</f>
        <v>#NAME?</v>
      </c>
      <c r="AA28" s="525" t="e">
        <f aca="false">sureau_ini.txt!#ref!</f>
        <v>#NAME?</v>
      </c>
      <c r="AB28" s="525" t="e">
        <f aca="false">sureau_ini.txt!#ref!</f>
        <v>#NAME?</v>
      </c>
      <c r="AC28" s="525" t="n">
        <v>1</v>
      </c>
      <c r="AD28" s="72" t="n">
        <v>0.1</v>
      </c>
      <c r="AE28" s="525" t="n">
        <f aca="false">'sureau_ini.txt'!$E$21</f>
        <v>1</v>
      </c>
      <c r="AF28" s="525" t="e">
        <f aca="false">sureau_ini.txt!#ref!+sureau_ini.txt!#ref!</f>
        <v>#NAME?</v>
      </c>
      <c r="AG28" s="525" t="e">
        <f aca="false">sureau_ini.txt!#ref!</f>
        <v>#NAME?</v>
      </c>
      <c r="AH28" s="525" t="e">
        <f aca="false">sureau_ini.txt!#ref!*100</f>
        <v>#NAME?</v>
      </c>
      <c r="AI28" s="75" t="e">
        <f aca="false">AH28/2*Y28</f>
        <v>#NAME?</v>
      </c>
      <c r="AJ28" s="75" t="e">
        <f aca="false">100*(AH28/100-SQRT(AH28/100*AH28/100-4*AW28/1000/AG28/3.1416))/2</f>
        <v>#NAME?</v>
      </c>
      <c r="AK28" s="75" t="e">
        <f aca="false">(3.1416/4*(AH28^2)-3.1416*(AH28/2-AI28)^2)/10000</f>
        <v>#NAME?</v>
      </c>
      <c r="AL28" s="75" t="e">
        <f aca="false">AK28*AF28</f>
        <v>#NAME?</v>
      </c>
      <c r="AM28" s="75" t="e">
        <f aca="false">AL28*AA28*1000</f>
        <v>#NAME?</v>
      </c>
      <c r="AN28" s="75" t="e">
        <f aca="false">AL28*1000*AB28</f>
        <v>#NAME?</v>
      </c>
      <c r="AO28" s="75" t="e">
        <f aca="false">AK28*AG28</f>
        <v>#NAME?</v>
      </c>
      <c r="AP28" s="75" t="e">
        <f aca="false">AH28*AH28*3.1416/4/C28</f>
        <v>#NAME?</v>
      </c>
      <c r="AQ28" s="75" t="e">
        <f aca="false">AK28*10000/C28</f>
        <v>#NAME?</v>
      </c>
      <c r="AR28" s="525" t="e">
        <f aca="false">(sureau_ini.txt!#ref!/2*sureau_ini.txt!#ref!/2*3.1416)</f>
        <v>#NAME?</v>
      </c>
      <c r="AS28" s="525" t="e">
        <f aca="false">C28/AR28</f>
        <v>#NAME?</v>
      </c>
      <c r="AT28" s="75" t="e">
        <f aca="false">10000/AR28</f>
        <v>#NAME?</v>
      </c>
      <c r="AU28" s="75" t="e">
        <f aca="false">AH28*AH28*3.1416/4/10000*AT28</f>
        <v>#NAME?</v>
      </c>
      <c r="AV28" s="528" t="e">
        <f aca="false">AO28*AA28*1000</f>
        <v>#NAME?</v>
      </c>
      <c r="AW28" s="528" t="e">
        <f aca="false">AO28*1000*AB28</f>
        <v>#NAME?</v>
      </c>
      <c r="AX28" s="528" t="e">
        <f aca="false">AM28-AV28</f>
        <v>#NAME?</v>
      </c>
      <c r="AY28" s="528" t="e">
        <f aca="false">AN28-AW28</f>
        <v>#NAME?</v>
      </c>
      <c r="AZ28" s="528" t="e">
        <f aca="false">AM28*AC28</f>
        <v>#NAME?</v>
      </c>
      <c r="BA28" s="528" t="e">
        <f aca="false">AN28*AC28</f>
        <v>#NAME?</v>
      </c>
      <c r="BB28" s="528" t="e">
        <f aca="false">3.1416*AH28*AG28/100</f>
        <v>#NAME?</v>
      </c>
      <c r="BC28" s="528" t="e">
        <f aca="false">C28*AD28</f>
        <v>#NAME?</v>
      </c>
      <c r="BD28" s="528" t="e">
        <f aca="false">C28*AE28</f>
        <v>#NAME?</v>
      </c>
      <c r="BE28" s="528" t="e">
        <f aca="false">BD28+BC28*AC28</f>
        <v>#NAME?</v>
      </c>
      <c r="BF28" s="72" t="n">
        <v>20</v>
      </c>
      <c r="BG28" s="72" t="n">
        <v>20</v>
      </c>
      <c r="BH28" s="72" t="n">
        <v>8</v>
      </c>
      <c r="BI28" s="72" t="n">
        <v>2</v>
      </c>
      <c r="BJ28" s="72" t="n">
        <v>10</v>
      </c>
      <c r="BK28" s="72" t="n">
        <v>40</v>
      </c>
      <c r="BL28" s="75" t="n">
        <f aca="false">SUM(BF28:BI28)</f>
        <v>50</v>
      </c>
      <c r="BM28" s="75" t="n">
        <f aca="false">BJ28+BK28</f>
        <v>50</v>
      </c>
      <c r="BN28" s="75" t="n">
        <f aca="false">SUM(BF28:BK28)</f>
        <v>100</v>
      </c>
      <c r="BO28" s="0" t="e">
        <f aca="false">AV28+AW28+AX28+AY28+AZ28+BA28+C28*sureau_ini.txt!#ref!/1000</f>
        <v>#NAME?</v>
      </c>
      <c r="BP28" s="0" t="e">
        <f aca="false">AV28+AX28+AZ28 +C28*sureau_ini.txt!#ref!*sureau_ini.txt!#ref!/1000</f>
        <v>#NAME?</v>
      </c>
      <c r="BQ28" s="0" t="e">
        <f aca="false">BO28-BP28</f>
        <v>#NAME?</v>
      </c>
    </row>
    <row r="29" customFormat="false" ht="15.75" hidden="false" customHeight="false" outlineLevel="0" collapsed="false">
      <c r="A29" s="0" t="e">
        <f aca="false">sureau_ini.txt!#ref!</f>
        <v>#NAME?</v>
      </c>
      <c r="B29" s="525" t="n">
        <f aca="false">VPD_max</f>
        <v>1.26741256491017</v>
      </c>
      <c r="C29" s="525" t="e">
        <f aca="false">sureau_ini.txt!#ref!</f>
        <v>#NAME?</v>
      </c>
      <c r="D29" s="525" t="e">
        <f aca="false">(1/(1/sureau_ini.txt!#ref!+1/(1.5*(0.00662*(sureau_ini.txt!#ref!/sureau_ini.txt!#ref!*1000)^0.5)*1000*40)+1/sureau_ini.txt!#ref!)*B29/101.6)</f>
        <v>#NAME?</v>
      </c>
      <c r="E29" s="525" t="e">
        <f aca="false">sureau_ini.txt!#ref!/(1/sureau_ini.txt!#ref!+1/(1.5*(0.00662*(sureau_ini.txt!#ref!/sureau_ini.txt!#ref!*1000)^0.5)*1000*40)+1/sureau_ini.txt!#ref!)*B29/101.6 + sureau_ini.txt!#ref!/(1/sureau_ini.txt!#ref!+1/(1.5*(0.00662*(sureau_ini.txt!#ref!/sureau_ini.txt!#ref!*1000)^0.5)*1000*40)+1/sureau_ini.txt!#ref!)*B29/101.6 + sureau_ini.txt!#ref!/(1/sureau_ini.txt!#ref!+1/(1.5*(0.00662*(sureau_ini.txt!#ref!/sureau_ini.txt!#ref!*1000)^0.5)*1000*40)+1/sureau_ini.txt!#ref!)*B29/101.6</f>
        <v>#NAME?</v>
      </c>
      <c r="F29" s="75" t="e">
        <f aca="false">E29/1000*18/AK29/100000*3600*C29</f>
        <v>#NAME?</v>
      </c>
      <c r="G29" s="72" t="n">
        <v>-1.5</v>
      </c>
      <c r="H29" s="72" t="n">
        <v>0</v>
      </c>
      <c r="I29" s="75" t="e">
        <f aca="false">E29/(H29-G29)</f>
        <v>#NAME?</v>
      </c>
      <c r="J29" s="75" t="e">
        <f aca="false">I29*C29</f>
        <v>#NAME?</v>
      </c>
      <c r="K29" s="75" t="e">
        <f aca="false">1/I29</f>
        <v>#NAME?</v>
      </c>
      <c r="L29" s="75" t="e">
        <f aca="false">1/J29</f>
        <v>#NAME?</v>
      </c>
      <c r="M29" s="526" t="e">
        <f aca="false">1/(1/'Allometric tree'!I29*'Allometric tree'!BF29/100)</f>
        <v>#NAME?</v>
      </c>
      <c r="N29" s="526" t="e">
        <f aca="false">1/(1/'Allometric tree'!I29*'Allometric tree'!BG29/100)</f>
        <v>#NAME?</v>
      </c>
      <c r="O29" s="30" t="e">
        <f aca="false">1/(1/'Allometric tree'!I29*'Allometric tree'!BH29/100)</f>
        <v>#NAME?</v>
      </c>
      <c r="P29" s="30" t="e">
        <f aca="false">1/(1/'Allometric tree'!I29*'Allometric tree'!BI29/100)</f>
        <v>#NAME?</v>
      </c>
      <c r="Q29" s="30" t="e">
        <f aca="false">1/(1/'Allometric tree'!I29*'Allometric tree'!BJ29/100)</f>
        <v>#NAME?</v>
      </c>
      <c r="R29" s="526" t="e">
        <f aca="false">1/(1/'Allometric tree'!I29*'Allometric tree'!BK29/100)</f>
        <v>#NAME?</v>
      </c>
      <c r="S29" s="30" t="e">
        <f aca="false">M29*'Allometric tree'!C29</f>
        <v>#NAME?</v>
      </c>
      <c r="T29" s="30" t="e">
        <f aca="false">N29*'Allometric tree'!C29</f>
        <v>#NAME?</v>
      </c>
      <c r="U29" s="526" t="e">
        <f aca="false">O29*'Allometric tree'!C29</f>
        <v>#NAME?</v>
      </c>
      <c r="V29" s="526" t="e">
        <f aca="false">P29*'Allometric tree'!C29</f>
        <v>#NAME?</v>
      </c>
      <c r="W29" s="526" t="e">
        <f aca="false">Q29*'Allometric tree'!C29</f>
        <v>#NAME?</v>
      </c>
      <c r="X29" s="30" t="e">
        <f aca="false">R29*'Allometric tree'!C29</f>
        <v>#NAME?</v>
      </c>
      <c r="Y29" s="525" t="e">
        <f aca="false">sureau_ini.txt!#ref!</f>
        <v>#NAME?</v>
      </c>
      <c r="Z29" s="527" t="e">
        <f aca="false">AK29/C29</f>
        <v>#NAME?</v>
      </c>
      <c r="AA29" s="525" t="e">
        <f aca="false">sureau_ini.txt!#ref!</f>
        <v>#NAME?</v>
      </c>
      <c r="AB29" s="525" t="e">
        <f aca="false">sureau_ini.txt!#ref!</f>
        <v>#NAME?</v>
      </c>
      <c r="AC29" s="525" t="n">
        <v>1</v>
      </c>
      <c r="AD29" s="72" t="n">
        <v>0.1</v>
      </c>
      <c r="AE29" s="525" t="n">
        <f aca="false">'sureau_ini.txt'!$E$21</f>
        <v>1</v>
      </c>
      <c r="AF29" s="525" t="e">
        <f aca="false">sureau_ini.txt!#ref!+sureau_ini.txt!#ref!</f>
        <v>#NAME?</v>
      </c>
      <c r="AG29" s="525" t="e">
        <f aca="false">sureau_ini.txt!#ref!</f>
        <v>#NAME?</v>
      </c>
      <c r="AH29" s="525" t="e">
        <f aca="false">sureau_ini.txt!#ref!*100</f>
        <v>#NAME?</v>
      </c>
      <c r="AI29" s="75" t="e">
        <f aca="false">AH29/2*Y29</f>
        <v>#NAME?</v>
      </c>
      <c r="AJ29" s="75" t="e">
        <f aca="false">100*(AH29/100-SQRT(AH29/100*AH29/100-4*AW29/1000/AG29/3.1416))/2</f>
        <v>#NAME?</v>
      </c>
      <c r="AK29" s="75" t="e">
        <f aca="false">(3.1416/4*(AH29^2)-3.1416*(AH29/2-AI29)^2)/10000</f>
        <v>#NAME?</v>
      </c>
      <c r="AL29" s="75" t="e">
        <f aca="false">AK29*AF29</f>
        <v>#NAME?</v>
      </c>
      <c r="AM29" s="75" t="e">
        <f aca="false">AL29*AA29*1000</f>
        <v>#NAME?</v>
      </c>
      <c r="AN29" s="75" t="e">
        <f aca="false">AL29*1000*AB29</f>
        <v>#NAME?</v>
      </c>
      <c r="AO29" s="75" t="e">
        <f aca="false">AK29*AG29</f>
        <v>#NAME?</v>
      </c>
      <c r="AP29" s="75" t="e">
        <f aca="false">AH29*AH29*3.1416/4/C29</f>
        <v>#NAME?</v>
      </c>
      <c r="AQ29" s="75" t="e">
        <f aca="false">AK29*10000/C29</f>
        <v>#NAME?</v>
      </c>
      <c r="AR29" s="525" t="e">
        <f aca="false">(sureau_ini.txt!#ref!/2*sureau_ini.txt!#ref!/2*3.1416)</f>
        <v>#NAME?</v>
      </c>
      <c r="AS29" s="525" t="e">
        <f aca="false">C29/AR29</f>
        <v>#NAME?</v>
      </c>
      <c r="AT29" s="75" t="e">
        <f aca="false">10000/AR29</f>
        <v>#NAME?</v>
      </c>
      <c r="AU29" s="75" t="e">
        <f aca="false">AH29*AH29*3.1416/4/10000*AT29</f>
        <v>#NAME?</v>
      </c>
      <c r="AV29" s="528" t="e">
        <f aca="false">AO29*AA29*1000</f>
        <v>#NAME?</v>
      </c>
      <c r="AW29" s="528" t="e">
        <f aca="false">AO29*1000*AB29</f>
        <v>#NAME?</v>
      </c>
      <c r="AX29" s="528" t="e">
        <f aca="false">AM29-AV29</f>
        <v>#NAME?</v>
      </c>
      <c r="AY29" s="528" t="e">
        <f aca="false">AN29-AW29</f>
        <v>#NAME?</v>
      </c>
      <c r="AZ29" s="528" t="e">
        <f aca="false">AM29*AC29</f>
        <v>#NAME?</v>
      </c>
      <c r="BA29" s="528" t="e">
        <f aca="false">AN29*AC29</f>
        <v>#NAME?</v>
      </c>
      <c r="BB29" s="528" t="e">
        <f aca="false">3.1416*AH29*AG29/100</f>
        <v>#NAME?</v>
      </c>
      <c r="BC29" s="528" t="e">
        <f aca="false">C29*AD29</f>
        <v>#NAME?</v>
      </c>
      <c r="BD29" s="528" t="e">
        <f aca="false">C29*AE29</f>
        <v>#NAME?</v>
      </c>
      <c r="BE29" s="528" t="e">
        <f aca="false">BD29+BC29*AC29</f>
        <v>#NAME?</v>
      </c>
      <c r="BF29" s="72" t="n">
        <v>20</v>
      </c>
      <c r="BG29" s="72" t="n">
        <v>20</v>
      </c>
      <c r="BH29" s="72" t="n">
        <v>8</v>
      </c>
      <c r="BI29" s="72" t="n">
        <v>2</v>
      </c>
      <c r="BJ29" s="72" t="n">
        <v>10</v>
      </c>
      <c r="BK29" s="72" t="n">
        <v>40</v>
      </c>
      <c r="BL29" s="75" t="n">
        <f aca="false">SUM(BF29:BI29)</f>
        <v>50</v>
      </c>
      <c r="BM29" s="75" t="n">
        <f aca="false">BJ29+BK29</f>
        <v>50</v>
      </c>
      <c r="BN29" s="75" t="n">
        <f aca="false">SUM(BF29:BK29)</f>
        <v>100</v>
      </c>
      <c r="BO29" s="0" t="e">
        <f aca="false">AV29+AW29+AX29+AY29+AZ29+BA29+C29*sureau_ini.txt!#ref!/1000</f>
        <v>#NAME?</v>
      </c>
      <c r="BP29" s="0" t="e">
        <f aca="false">AV29+AX29+AZ29 +C29*sureau_ini.txt!#ref!*sureau_ini.txt!#ref!/1000</f>
        <v>#NAME?</v>
      </c>
      <c r="BQ29" s="0" t="e">
        <f aca="false">BO29-BP29</f>
        <v>#NAME?</v>
      </c>
    </row>
    <row r="30" customFormat="false" ht="15.75" hidden="false" customHeight="false" outlineLevel="0" collapsed="false">
      <c r="A30" s="0" t="e">
        <f aca="false">sureau_ini.txt!#ref!</f>
        <v>#NAME?</v>
      </c>
      <c r="B30" s="525" t="n">
        <f aca="false">VPD_max</f>
        <v>1.26741256491017</v>
      </c>
      <c r="C30" s="525" t="e">
        <f aca="false">sureau_ini.txt!#ref!</f>
        <v>#NAME?</v>
      </c>
      <c r="D30" s="525" t="e">
        <f aca="false">(1/(1/sureau_ini.txt!#ref!+1/(1.5*(0.00662*(sureau_ini.txt!#ref!/sureau_ini.txt!#ref!*1000)^0.5)*1000*40)+1/sureau_ini.txt!#ref!)*B30/101.6)</f>
        <v>#NAME?</v>
      </c>
      <c r="E30" s="525" t="e">
        <f aca="false">sureau_ini.txt!#ref!/(1/sureau_ini.txt!#ref!+1/(1.5*(0.00662*(sureau_ini.txt!#ref!/sureau_ini.txt!#ref!*1000)^0.5)*1000*40)+1/sureau_ini.txt!#ref!)*B30/101.6 + sureau_ini.txt!#ref!/(1/sureau_ini.txt!#ref!+1/(1.5*(0.00662*(sureau_ini.txt!#ref!/sureau_ini.txt!#ref!*1000)^0.5)*1000*40)+1/sureau_ini.txt!#ref!)*B30/101.6 + sureau_ini.txt!#ref!/(1/sureau_ini.txt!#ref!+1/(1.5*(0.00662*(sureau_ini.txt!#ref!/sureau_ini.txt!#ref!*1000)^0.5)*1000*40)+1/sureau_ini.txt!#ref!)*B30/101.6</f>
        <v>#NAME?</v>
      </c>
      <c r="F30" s="75" t="e">
        <f aca="false">E30/1000*18/AK30/100000*3600*C30</f>
        <v>#NAME?</v>
      </c>
      <c r="G30" s="72" t="n">
        <v>-1.5</v>
      </c>
      <c r="H30" s="72" t="n">
        <v>0</v>
      </c>
      <c r="I30" s="75" t="e">
        <f aca="false">E30/(H30-G30)</f>
        <v>#NAME?</v>
      </c>
      <c r="J30" s="75" t="e">
        <f aca="false">I30*C30</f>
        <v>#NAME?</v>
      </c>
      <c r="K30" s="75" t="e">
        <f aca="false">1/I30</f>
        <v>#NAME?</v>
      </c>
      <c r="L30" s="75" t="e">
        <f aca="false">1/J30</f>
        <v>#NAME?</v>
      </c>
      <c r="M30" s="526" t="e">
        <f aca="false">1/(1/'Allometric tree'!I30*'Allometric tree'!BF30/100)</f>
        <v>#NAME?</v>
      </c>
      <c r="N30" s="526" t="e">
        <f aca="false">1/(1/'Allometric tree'!I30*'Allometric tree'!BG30/100)</f>
        <v>#NAME?</v>
      </c>
      <c r="O30" s="30" t="e">
        <f aca="false">1/(1/'Allometric tree'!I30*'Allometric tree'!BH30/100)</f>
        <v>#NAME?</v>
      </c>
      <c r="P30" s="30" t="e">
        <f aca="false">1/(1/'Allometric tree'!I30*'Allometric tree'!BI30/100)</f>
        <v>#NAME?</v>
      </c>
      <c r="Q30" s="30" t="e">
        <f aca="false">1/(1/'Allometric tree'!I30*'Allometric tree'!BJ30/100)</f>
        <v>#NAME?</v>
      </c>
      <c r="R30" s="526" t="e">
        <f aca="false">1/(1/'Allometric tree'!I30*'Allometric tree'!BK30/100)</f>
        <v>#NAME?</v>
      </c>
      <c r="S30" s="30" t="e">
        <f aca="false">M30*'Allometric tree'!C30</f>
        <v>#NAME?</v>
      </c>
      <c r="T30" s="30" t="e">
        <f aca="false">N30*'Allometric tree'!C30</f>
        <v>#NAME?</v>
      </c>
      <c r="U30" s="526" t="e">
        <f aca="false">O30*'Allometric tree'!C30</f>
        <v>#NAME?</v>
      </c>
      <c r="V30" s="526" t="e">
        <f aca="false">P30*'Allometric tree'!C30</f>
        <v>#NAME?</v>
      </c>
      <c r="W30" s="526" t="e">
        <f aca="false">Q30*'Allometric tree'!C30</f>
        <v>#NAME?</v>
      </c>
      <c r="X30" s="30" t="e">
        <f aca="false">R30*'Allometric tree'!C30</f>
        <v>#NAME?</v>
      </c>
      <c r="Y30" s="525" t="e">
        <f aca="false">sureau_ini.txt!#ref!</f>
        <v>#NAME?</v>
      </c>
      <c r="Z30" s="527" t="e">
        <f aca="false">AK30/C30</f>
        <v>#NAME?</v>
      </c>
      <c r="AA30" s="525" t="e">
        <f aca="false">sureau_ini.txt!#ref!</f>
        <v>#NAME?</v>
      </c>
      <c r="AB30" s="525" t="e">
        <f aca="false">sureau_ini.txt!#ref!</f>
        <v>#NAME?</v>
      </c>
      <c r="AC30" s="525" t="n">
        <v>1</v>
      </c>
      <c r="AD30" s="72" t="n">
        <v>0.1</v>
      </c>
      <c r="AE30" s="525" t="n">
        <f aca="false">'sureau_ini.txt'!$E$21</f>
        <v>1</v>
      </c>
      <c r="AF30" s="525" t="e">
        <f aca="false">sureau_ini.txt!#ref!+sureau_ini.txt!#ref!</f>
        <v>#NAME?</v>
      </c>
      <c r="AG30" s="525" t="e">
        <f aca="false">sureau_ini.txt!#ref!</f>
        <v>#NAME?</v>
      </c>
      <c r="AH30" s="525" t="e">
        <f aca="false">sureau_ini.txt!#ref!*100</f>
        <v>#NAME?</v>
      </c>
      <c r="AI30" s="75" t="e">
        <f aca="false">AH30/2*Y30</f>
        <v>#NAME?</v>
      </c>
      <c r="AJ30" s="75" t="e">
        <f aca="false">100*(AH30/100-SQRT(AH30/100*AH30/100-4*AW30/1000/AG30/3.1416))/2</f>
        <v>#NAME?</v>
      </c>
      <c r="AK30" s="75" t="e">
        <f aca="false">(3.1416/4*(AH30^2)-3.1416*(AH30/2-AI30)^2)/10000</f>
        <v>#NAME?</v>
      </c>
      <c r="AL30" s="75" t="e">
        <f aca="false">AK30*AF30</f>
        <v>#NAME?</v>
      </c>
      <c r="AM30" s="75" t="e">
        <f aca="false">AL30*AA30*1000</f>
        <v>#NAME?</v>
      </c>
      <c r="AN30" s="75" t="e">
        <f aca="false">AL30*1000*AB30</f>
        <v>#NAME?</v>
      </c>
      <c r="AO30" s="75" t="e">
        <f aca="false">AK30*AG30</f>
        <v>#NAME?</v>
      </c>
      <c r="AP30" s="75" t="e">
        <f aca="false">AH30*AH30*3.1416/4/C30</f>
        <v>#NAME?</v>
      </c>
      <c r="AQ30" s="75" t="e">
        <f aca="false">AK30*10000/C30</f>
        <v>#NAME?</v>
      </c>
      <c r="AR30" s="525" t="e">
        <f aca="false">(sureau_ini.txt!#ref!/2*sureau_ini.txt!#ref!/2*3.1416)</f>
        <v>#NAME?</v>
      </c>
      <c r="AS30" s="525" t="e">
        <f aca="false">C30/AR30</f>
        <v>#NAME?</v>
      </c>
      <c r="AT30" s="75" t="e">
        <f aca="false">10000/AR30</f>
        <v>#NAME?</v>
      </c>
      <c r="AU30" s="75" t="e">
        <f aca="false">AH30*AH30*3.1416/4/10000*AT30</f>
        <v>#NAME?</v>
      </c>
      <c r="AV30" s="528" t="e">
        <f aca="false">AO30*AA30*1000</f>
        <v>#NAME?</v>
      </c>
      <c r="AW30" s="528" t="e">
        <f aca="false">AO30*1000*AB30</f>
        <v>#NAME?</v>
      </c>
      <c r="AX30" s="528" t="e">
        <f aca="false">AM30-AV30</f>
        <v>#NAME?</v>
      </c>
      <c r="AY30" s="528" t="e">
        <f aca="false">AN30-AW30</f>
        <v>#NAME?</v>
      </c>
      <c r="AZ30" s="528" t="e">
        <f aca="false">AM30*AC30</f>
        <v>#NAME?</v>
      </c>
      <c r="BA30" s="528" t="e">
        <f aca="false">AN30*AC30</f>
        <v>#NAME?</v>
      </c>
      <c r="BB30" s="528" t="e">
        <f aca="false">3.1416*AH30*AG30/100</f>
        <v>#NAME?</v>
      </c>
      <c r="BC30" s="528" t="e">
        <f aca="false">C30*AD30</f>
        <v>#NAME?</v>
      </c>
      <c r="BD30" s="528" t="e">
        <f aca="false">C30*AE30</f>
        <v>#NAME?</v>
      </c>
      <c r="BE30" s="528" t="e">
        <f aca="false">BD30+BC30*AC30</f>
        <v>#NAME?</v>
      </c>
      <c r="BF30" s="72" t="n">
        <v>20</v>
      </c>
      <c r="BG30" s="72" t="n">
        <v>20</v>
      </c>
      <c r="BH30" s="72" t="n">
        <v>8</v>
      </c>
      <c r="BI30" s="72" t="n">
        <v>2</v>
      </c>
      <c r="BJ30" s="72" t="n">
        <v>10</v>
      </c>
      <c r="BK30" s="72" t="n">
        <v>40</v>
      </c>
      <c r="BL30" s="75" t="n">
        <f aca="false">SUM(BF30:BI30)</f>
        <v>50</v>
      </c>
      <c r="BM30" s="75" t="n">
        <f aca="false">BJ30+BK30</f>
        <v>50</v>
      </c>
      <c r="BN30" s="75" t="n">
        <f aca="false">SUM(BF30:BK30)</f>
        <v>100</v>
      </c>
      <c r="BO30" s="0" t="e">
        <f aca="false">AV30+AW30+AX30+AY30+AZ30+BA30+C30*sureau_ini.txt!#ref!/1000</f>
        <v>#NAME?</v>
      </c>
      <c r="BP30" s="0" t="e">
        <f aca="false">AV30+AX30+AZ30 +C30*sureau_ini.txt!#ref!*sureau_ini.txt!#ref!/1000</f>
        <v>#NAME?</v>
      </c>
      <c r="BQ30" s="0" t="e">
        <f aca="false">BO30-BP30</f>
        <v>#NAME?</v>
      </c>
    </row>
    <row r="31" customFormat="false" ht="15.75" hidden="false" customHeight="false" outlineLevel="0" collapsed="false">
      <c r="A31" s="0" t="e">
        <f aca="false">sureau_ini.txt!#ref!</f>
        <v>#NAME?</v>
      </c>
      <c r="B31" s="525" t="n">
        <f aca="false">VPD_max</f>
        <v>1.26741256491017</v>
      </c>
      <c r="C31" s="525" t="e">
        <f aca="false">sureau_ini.txt!#ref!</f>
        <v>#NAME?</v>
      </c>
      <c r="D31" s="525" t="e">
        <f aca="false">(1/(1/sureau_ini.txt!#ref!+1/(1.5*(0.00662*(sureau_ini.txt!#ref!/sureau_ini.txt!#ref!*1000)^0.5)*1000*40)+1/sureau_ini.txt!#ref!)*B31/101.6)</f>
        <v>#NAME?</v>
      </c>
      <c r="E31" s="525" t="e">
        <f aca="false">sureau_ini.txt!#ref!/(1/sureau_ini.txt!#ref!+1/(1.5*(0.00662*(sureau_ini.txt!#ref!/sureau_ini.txt!#ref!*1000)^0.5)*1000*40)+1/sureau_ini.txt!#ref!)*B31/101.6 + sureau_ini.txt!#ref!/(1/sureau_ini.txt!#ref!+1/(1.5*(0.00662*(sureau_ini.txt!#ref!/sureau_ini.txt!#ref!*1000)^0.5)*1000*40)+1/sureau_ini.txt!#ref!)*B31/101.6 + sureau_ini.txt!#ref!/(1/sureau_ini.txt!#ref!+1/(1.5*(0.00662*(sureau_ini.txt!#ref!/sureau_ini.txt!#ref!*1000)^0.5)*1000*40)+1/sureau_ini.txt!#ref!)*B31/101.6</f>
        <v>#NAME?</v>
      </c>
      <c r="F31" s="75" t="e">
        <f aca="false">E31/1000*18/AK31/100000*3600*C31</f>
        <v>#NAME?</v>
      </c>
      <c r="G31" s="72" t="n">
        <v>-1.5</v>
      </c>
      <c r="H31" s="72" t="n">
        <v>0</v>
      </c>
      <c r="I31" s="75" t="e">
        <f aca="false">E31/(H31-G31)</f>
        <v>#NAME?</v>
      </c>
      <c r="J31" s="75" t="e">
        <f aca="false">I31*C31</f>
        <v>#NAME?</v>
      </c>
      <c r="K31" s="75" t="e">
        <f aca="false">1/I31</f>
        <v>#NAME?</v>
      </c>
      <c r="L31" s="75" t="e">
        <f aca="false">1/J31</f>
        <v>#NAME?</v>
      </c>
      <c r="M31" s="526" t="e">
        <f aca="false">1/(1/'Allometric tree'!I31*'Allometric tree'!BF31/100)</f>
        <v>#NAME?</v>
      </c>
      <c r="N31" s="526" t="e">
        <f aca="false">1/(1/'Allometric tree'!I31*'Allometric tree'!BG31/100)</f>
        <v>#NAME?</v>
      </c>
      <c r="O31" s="30" t="e">
        <f aca="false">1/(1/'Allometric tree'!I31*'Allometric tree'!BH31/100)</f>
        <v>#NAME?</v>
      </c>
      <c r="P31" s="30" t="e">
        <f aca="false">1/(1/'Allometric tree'!I31*'Allometric tree'!BI31/100)</f>
        <v>#NAME?</v>
      </c>
      <c r="Q31" s="30" t="e">
        <f aca="false">1/(1/'Allometric tree'!I31*'Allometric tree'!BJ31/100)</f>
        <v>#NAME?</v>
      </c>
      <c r="R31" s="526" t="e">
        <f aca="false">1/(1/'Allometric tree'!I31*'Allometric tree'!BK31/100)</f>
        <v>#NAME?</v>
      </c>
      <c r="S31" s="30" t="e">
        <f aca="false">M31*'Allometric tree'!C31</f>
        <v>#NAME?</v>
      </c>
      <c r="T31" s="30" t="e">
        <f aca="false">N31*'Allometric tree'!C31</f>
        <v>#NAME?</v>
      </c>
      <c r="U31" s="526" t="e">
        <f aca="false">O31*'Allometric tree'!C31</f>
        <v>#NAME?</v>
      </c>
      <c r="V31" s="526" t="e">
        <f aca="false">P31*'Allometric tree'!C31</f>
        <v>#NAME?</v>
      </c>
      <c r="W31" s="526" t="e">
        <f aca="false">Q31*'Allometric tree'!C31</f>
        <v>#NAME?</v>
      </c>
      <c r="X31" s="30" t="e">
        <f aca="false">R31*'Allometric tree'!C31</f>
        <v>#NAME?</v>
      </c>
      <c r="Y31" s="525" t="e">
        <f aca="false">sureau_ini.txt!#ref!</f>
        <v>#NAME?</v>
      </c>
      <c r="Z31" s="527" t="e">
        <f aca="false">AK31/C31</f>
        <v>#NAME?</v>
      </c>
      <c r="AA31" s="525" t="e">
        <f aca="false">sureau_ini.txt!#ref!</f>
        <v>#NAME?</v>
      </c>
      <c r="AB31" s="525" t="e">
        <f aca="false">sureau_ini.txt!#ref!</f>
        <v>#NAME?</v>
      </c>
      <c r="AC31" s="525" t="n">
        <v>1</v>
      </c>
      <c r="AD31" s="72" t="n">
        <v>0.1</v>
      </c>
      <c r="AE31" s="525" t="n">
        <f aca="false">'sureau_ini.txt'!$E$21</f>
        <v>1</v>
      </c>
      <c r="AF31" s="525" t="e">
        <f aca="false">sureau_ini.txt!#ref!+sureau_ini.txt!#ref!</f>
        <v>#NAME?</v>
      </c>
      <c r="AG31" s="525" t="e">
        <f aca="false">sureau_ini.txt!#ref!</f>
        <v>#NAME?</v>
      </c>
      <c r="AH31" s="525" t="e">
        <f aca="false">sureau_ini.txt!#ref!*100</f>
        <v>#NAME?</v>
      </c>
      <c r="AI31" s="75" t="e">
        <f aca="false">AH31/2*Y31</f>
        <v>#NAME?</v>
      </c>
      <c r="AJ31" s="75" t="e">
        <f aca="false">100*(AH31/100-SQRT(AH31/100*AH31/100-4*AW31/1000/AG31/3.1416))/2</f>
        <v>#NAME?</v>
      </c>
      <c r="AK31" s="75" t="e">
        <f aca="false">(3.1416/4*(AH31^2)-3.1416*(AH31/2-AI31)^2)/10000</f>
        <v>#NAME?</v>
      </c>
      <c r="AL31" s="75" t="e">
        <f aca="false">AK31*AF31</f>
        <v>#NAME?</v>
      </c>
      <c r="AM31" s="75" t="e">
        <f aca="false">AL31*AA31*1000</f>
        <v>#NAME?</v>
      </c>
      <c r="AN31" s="75" t="e">
        <f aca="false">AL31*1000*AB31</f>
        <v>#NAME?</v>
      </c>
      <c r="AO31" s="75" t="e">
        <f aca="false">AK31*AG31</f>
        <v>#NAME?</v>
      </c>
      <c r="AP31" s="75" t="e">
        <f aca="false">AH31*AH31*3.1416/4/C31</f>
        <v>#NAME?</v>
      </c>
      <c r="AQ31" s="75" t="e">
        <f aca="false">AK31*10000/C31</f>
        <v>#NAME?</v>
      </c>
      <c r="AR31" s="525" t="e">
        <f aca="false">(sureau_ini.txt!#ref!/2*sureau_ini.txt!#ref!/2*3.1416)</f>
        <v>#NAME?</v>
      </c>
      <c r="AS31" s="525" t="e">
        <f aca="false">C31/AR31</f>
        <v>#NAME?</v>
      </c>
      <c r="AT31" s="75" t="e">
        <f aca="false">10000/AR31</f>
        <v>#NAME?</v>
      </c>
      <c r="AU31" s="75" t="e">
        <f aca="false">AH31*AH31*3.1416/4/10000*AT31</f>
        <v>#NAME?</v>
      </c>
      <c r="AV31" s="528" t="e">
        <f aca="false">AO31*AA31*1000</f>
        <v>#NAME?</v>
      </c>
      <c r="AW31" s="528" t="e">
        <f aca="false">AO31*1000*AB31</f>
        <v>#NAME?</v>
      </c>
      <c r="AX31" s="528" t="e">
        <f aca="false">AM31-AV31</f>
        <v>#NAME?</v>
      </c>
      <c r="AY31" s="528" t="e">
        <f aca="false">AN31-AW31</f>
        <v>#NAME?</v>
      </c>
      <c r="AZ31" s="528" t="e">
        <f aca="false">AM31*AC31</f>
        <v>#NAME?</v>
      </c>
      <c r="BA31" s="528" t="e">
        <f aca="false">AN31*AC31</f>
        <v>#NAME?</v>
      </c>
      <c r="BB31" s="528" t="e">
        <f aca="false">3.1416*AH31*AG31/100</f>
        <v>#NAME?</v>
      </c>
      <c r="BC31" s="528" t="e">
        <f aca="false">C31*AD31</f>
        <v>#NAME?</v>
      </c>
      <c r="BD31" s="528" t="e">
        <f aca="false">C31*AE31</f>
        <v>#NAME?</v>
      </c>
      <c r="BE31" s="528" t="e">
        <f aca="false">BD31+BC31*AC31</f>
        <v>#NAME?</v>
      </c>
      <c r="BF31" s="72" t="n">
        <v>20</v>
      </c>
      <c r="BG31" s="72" t="n">
        <v>20</v>
      </c>
      <c r="BH31" s="72" t="n">
        <v>8</v>
      </c>
      <c r="BI31" s="72" t="n">
        <v>2</v>
      </c>
      <c r="BJ31" s="72" t="n">
        <v>10</v>
      </c>
      <c r="BK31" s="72" t="n">
        <v>40</v>
      </c>
      <c r="BL31" s="75" t="n">
        <f aca="false">SUM(BF31:BI31)</f>
        <v>50</v>
      </c>
      <c r="BM31" s="75" t="n">
        <f aca="false">BJ31+BK31</f>
        <v>50</v>
      </c>
      <c r="BN31" s="75" t="n">
        <f aca="false">SUM(BF31:BK31)</f>
        <v>100</v>
      </c>
      <c r="BO31" s="0" t="e">
        <f aca="false">AV31+AW31+AX31+AY31+AZ31+BA31+C31*sureau_ini.txt!#ref!/1000</f>
        <v>#NAME?</v>
      </c>
      <c r="BP31" s="0" t="e">
        <f aca="false">AV31+AX31+AZ31 +C31*sureau_ini.txt!#ref!*sureau_ini.txt!#ref!/1000</f>
        <v>#NAME?</v>
      </c>
      <c r="BQ31" s="0" t="e">
        <f aca="false">BO31-BP31</f>
        <v>#NAME?</v>
      </c>
    </row>
    <row r="32" customFormat="false" ht="15.75" hidden="false" customHeight="false" outlineLevel="0" collapsed="false">
      <c r="A32" s="0" t="e">
        <f aca="false">sureau_ini.txt!#ref!</f>
        <v>#NAME?</v>
      </c>
      <c r="B32" s="525" t="n">
        <f aca="false">VPD_max</f>
        <v>1.26741256491017</v>
      </c>
      <c r="C32" s="525" t="e">
        <f aca="false">sureau_ini.txt!#ref!</f>
        <v>#NAME?</v>
      </c>
      <c r="D32" s="525" t="e">
        <f aca="false">(1/(1/sureau_ini.txt!#ref!+1/(1.5*(0.00662*(sureau_ini.txt!#ref!/sureau_ini.txt!#ref!*1000)^0.5)*1000*40)+1/sureau_ini.txt!#ref!)*B32/101.6)</f>
        <v>#NAME?</v>
      </c>
      <c r="E32" s="525" t="e">
        <f aca="false">sureau_ini.txt!#ref!/(1/sureau_ini.txt!#ref!+1/(1.5*(0.00662*(sureau_ini.txt!#ref!/sureau_ini.txt!#ref!*1000)^0.5)*1000*40)+1/sureau_ini.txt!#ref!)*B32/101.6 + sureau_ini.txt!#ref!/(1/sureau_ini.txt!#ref!+1/(1.5*(0.00662*(sureau_ini.txt!#ref!/sureau_ini.txt!#ref!*1000)^0.5)*1000*40)+1/sureau_ini.txt!#ref!)*B32/101.6 + sureau_ini.txt!#ref!/(1/sureau_ini.txt!#ref!+1/(1.5*(0.00662*(sureau_ini.txt!#ref!/sureau_ini.txt!#ref!*1000)^0.5)*1000*40)+1/sureau_ini.txt!#ref!)*B32/101.6</f>
        <v>#NAME?</v>
      </c>
      <c r="F32" s="75" t="e">
        <f aca="false">E32/1000*18/AK32/100000*3600*C32</f>
        <v>#NAME?</v>
      </c>
      <c r="G32" s="72" t="n">
        <v>-1.5</v>
      </c>
      <c r="H32" s="72" t="n">
        <v>0</v>
      </c>
      <c r="I32" s="75" t="e">
        <f aca="false">E32/(H32-G32)</f>
        <v>#NAME?</v>
      </c>
      <c r="J32" s="75" t="e">
        <f aca="false">I32*C32</f>
        <v>#NAME?</v>
      </c>
      <c r="K32" s="75" t="e">
        <f aca="false">1/I32</f>
        <v>#NAME?</v>
      </c>
      <c r="L32" s="75" t="e">
        <f aca="false">1/J32</f>
        <v>#NAME?</v>
      </c>
      <c r="M32" s="526" t="e">
        <f aca="false">1/(1/'Allometric tree'!I32*'Allometric tree'!BF32/100)</f>
        <v>#NAME?</v>
      </c>
      <c r="N32" s="526" t="e">
        <f aca="false">1/(1/'Allometric tree'!I32*'Allometric tree'!BG32/100)</f>
        <v>#NAME?</v>
      </c>
      <c r="O32" s="30" t="e">
        <f aca="false">1/(1/'Allometric tree'!I32*'Allometric tree'!BH32/100)</f>
        <v>#NAME?</v>
      </c>
      <c r="P32" s="30" t="e">
        <f aca="false">1/(1/'Allometric tree'!I32*'Allometric tree'!BI32/100)</f>
        <v>#NAME?</v>
      </c>
      <c r="Q32" s="30" t="e">
        <f aca="false">1/(1/'Allometric tree'!I32*'Allometric tree'!BJ32/100)</f>
        <v>#NAME?</v>
      </c>
      <c r="R32" s="526" t="e">
        <f aca="false">1/(1/'Allometric tree'!I32*'Allometric tree'!BK32/100)</f>
        <v>#NAME?</v>
      </c>
      <c r="S32" s="30" t="e">
        <f aca="false">M32*'Allometric tree'!C32</f>
        <v>#NAME?</v>
      </c>
      <c r="T32" s="30" t="e">
        <f aca="false">N32*'Allometric tree'!C32</f>
        <v>#NAME?</v>
      </c>
      <c r="U32" s="526" t="e">
        <f aca="false">O32*'Allometric tree'!C32</f>
        <v>#NAME?</v>
      </c>
      <c r="V32" s="526" t="e">
        <f aca="false">P32*'Allometric tree'!C32</f>
        <v>#NAME?</v>
      </c>
      <c r="W32" s="526" t="e">
        <f aca="false">Q32*'Allometric tree'!C32</f>
        <v>#NAME?</v>
      </c>
      <c r="X32" s="30" t="e">
        <f aca="false">R32*'Allometric tree'!C32</f>
        <v>#NAME?</v>
      </c>
      <c r="Y32" s="525" t="e">
        <f aca="false">sureau_ini.txt!#ref!</f>
        <v>#NAME?</v>
      </c>
      <c r="Z32" s="527" t="e">
        <f aca="false">AK32/C32</f>
        <v>#NAME?</v>
      </c>
      <c r="AA32" s="525" t="e">
        <f aca="false">sureau_ini.txt!#ref!</f>
        <v>#NAME?</v>
      </c>
      <c r="AB32" s="525" t="e">
        <f aca="false">sureau_ini.txt!#ref!</f>
        <v>#NAME?</v>
      </c>
      <c r="AC32" s="525" t="n">
        <v>1</v>
      </c>
      <c r="AD32" s="72" t="n">
        <v>0.1</v>
      </c>
      <c r="AE32" s="525" t="n">
        <f aca="false">'sureau_ini.txt'!$E$21</f>
        <v>1</v>
      </c>
      <c r="AF32" s="525" t="e">
        <f aca="false">sureau_ini.txt!#ref!+sureau_ini.txt!#ref!</f>
        <v>#NAME?</v>
      </c>
      <c r="AG32" s="525" t="e">
        <f aca="false">sureau_ini.txt!#ref!</f>
        <v>#NAME?</v>
      </c>
      <c r="AH32" s="525" t="e">
        <f aca="false">sureau_ini.txt!#ref!*100</f>
        <v>#NAME?</v>
      </c>
      <c r="AI32" s="75" t="e">
        <f aca="false">AH32/2*Y32</f>
        <v>#NAME?</v>
      </c>
      <c r="AJ32" s="75" t="e">
        <f aca="false">100*(AH32/100-SQRT(AH32/100*AH32/100-4*AW32/1000/AG32/3.1416))/2</f>
        <v>#NAME?</v>
      </c>
      <c r="AK32" s="75" t="e">
        <f aca="false">(3.1416/4*(AH32^2)-3.1416*(AH32/2-AI32)^2)/10000</f>
        <v>#NAME?</v>
      </c>
      <c r="AL32" s="75" t="e">
        <f aca="false">AK32*AF32</f>
        <v>#NAME?</v>
      </c>
      <c r="AM32" s="75" t="e">
        <f aca="false">AL32*AA32*1000</f>
        <v>#NAME?</v>
      </c>
      <c r="AN32" s="75" t="e">
        <f aca="false">AL32*1000*AB32</f>
        <v>#NAME?</v>
      </c>
      <c r="AO32" s="75" t="e">
        <f aca="false">AK32*AG32</f>
        <v>#NAME?</v>
      </c>
      <c r="AP32" s="75" t="e">
        <f aca="false">AH32*AH32*3.1416/4/C32</f>
        <v>#NAME?</v>
      </c>
      <c r="AQ32" s="75" t="e">
        <f aca="false">AK32*10000/C32</f>
        <v>#NAME?</v>
      </c>
      <c r="AR32" s="525" t="e">
        <f aca="false">(sureau_ini.txt!#ref!/2*sureau_ini.txt!#ref!/2*3.1416)</f>
        <v>#NAME?</v>
      </c>
      <c r="AS32" s="525" t="e">
        <f aca="false">C32/AR32</f>
        <v>#NAME?</v>
      </c>
      <c r="AT32" s="75" t="e">
        <f aca="false">10000/AR32</f>
        <v>#NAME?</v>
      </c>
      <c r="AU32" s="75" t="e">
        <f aca="false">AH32*AH32*3.1416/4/10000*AT32</f>
        <v>#NAME?</v>
      </c>
      <c r="AV32" s="528" t="e">
        <f aca="false">AO32*AA32*1000</f>
        <v>#NAME?</v>
      </c>
      <c r="AW32" s="528" t="e">
        <f aca="false">AO32*1000*AB32</f>
        <v>#NAME?</v>
      </c>
      <c r="AX32" s="528" t="e">
        <f aca="false">AM32-AV32</f>
        <v>#NAME?</v>
      </c>
      <c r="AY32" s="528" t="e">
        <f aca="false">AN32-AW32</f>
        <v>#NAME?</v>
      </c>
      <c r="AZ32" s="528" t="e">
        <f aca="false">AM32*AC32</f>
        <v>#NAME?</v>
      </c>
      <c r="BA32" s="528" t="e">
        <f aca="false">AN32*AC32</f>
        <v>#NAME?</v>
      </c>
      <c r="BB32" s="528" t="e">
        <f aca="false">3.1416*AH32*AG32/100</f>
        <v>#NAME?</v>
      </c>
      <c r="BC32" s="528" t="e">
        <f aca="false">C32*AD32</f>
        <v>#NAME?</v>
      </c>
      <c r="BD32" s="528" t="e">
        <f aca="false">C32*AE32</f>
        <v>#NAME?</v>
      </c>
      <c r="BE32" s="528" t="e">
        <f aca="false">BD32+BC32*AC32</f>
        <v>#NAME?</v>
      </c>
      <c r="BF32" s="72" t="n">
        <v>20</v>
      </c>
      <c r="BG32" s="72" t="n">
        <v>20</v>
      </c>
      <c r="BH32" s="72" t="n">
        <v>8</v>
      </c>
      <c r="BI32" s="72" t="n">
        <v>2</v>
      </c>
      <c r="BJ32" s="72" t="n">
        <v>10</v>
      </c>
      <c r="BK32" s="72" t="n">
        <v>40</v>
      </c>
      <c r="BL32" s="75" t="n">
        <f aca="false">SUM(BF32:BI32)</f>
        <v>50</v>
      </c>
      <c r="BM32" s="75" t="n">
        <f aca="false">BJ32+BK32</f>
        <v>50</v>
      </c>
      <c r="BN32" s="75" t="n">
        <f aca="false">SUM(BF32:BK32)</f>
        <v>100</v>
      </c>
      <c r="BO32" s="0" t="e">
        <f aca="false">AV32+AW32+AX32+AY32+AZ32+BA32+C32*sureau_ini.txt!#ref!/1000</f>
        <v>#NAME?</v>
      </c>
      <c r="BP32" s="0" t="e">
        <f aca="false">AV32+AX32+AZ32 +C32*sureau_ini.txt!#ref!*sureau_ini.txt!#ref!/1000</f>
        <v>#NAME?</v>
      </c>
      <c r="BQ32" s="0" t="e">
        <f aca="false">BO32-BP32</f>
        <v>#NAME?</v>
      </c>
    </row>
    <row r="33" customFormat="false" ht="15.75" hidden="false" customHeight="false" outlineLevel="0" collapsed="false">
      <c r="A33" s="0" t="e">
        <f aca="false">sureau_ini.txt!#ref!</f>
        <v>#NAME?</v>
      </c>
      <c r="B33" s="525" t="n">
        <f aca="false">VPD_max</f>
        <v>1.26741256491017</v>
      </c>
      <c r="C33" s="525" t="e">
        <f aca="false">sureau_ini.txt!#ref!</f>
        <v>#NAME?</v>
      </c>
      <c r="D33" s="525" t="e">
        <f aca="false">(1/(1/sureau_ini.txt!#ref!+1/(1.5*(0.00662*(sureau_ini.txt!#ref!/sureau_ini.txt!#ref!*1000)^0.5)*1000*40)+1/sureau_ini.txt!#ref!)*B33/101.6)</f>
        <v>#NAME?</v>
      </c>
      <c r="E33" s="525" t="e">
        <f aca="false">sureau_ini.txt!#ref!/(1/sureau_ini.txt!#ref!+1/(1.5*(0.00662*(sureau_ini.txt!#ref!/sureau_ini.txt!#ref!*1000)^0.5)*1000*40)+1/sureau_ini.txt!#ref!)*B33/101.6 + sureau_ini.txt!#ref!/(1/sureau_ini.txt!#ref!+1/(1.5*(0.00662*(sureau_ini.txt!#ref!/sureau_ini.txt!#ref!*1000)^0.5)*1000*40)+1/sureau_ini.txt!#ref!)*B33/101.6 + sureau_ini.txt!#ref!/(1/sureau_ini.txt!#ref!+1/(1.5*(0.00662*(sureau_ini.txt!#ref!/sureau_ini.txt!#ref!*1000)^0.5)*1000*40)+1/sureau_ini.txt!#ref!)*B33/101.6</f>
        <v>#NAME?</v>
      </c>
      <c r="F33" s="75" t="e">
        <f aca="false">E33/1000*18/AK33/100000*3600*C33</f>
        <v>#NAME?</v>
      </c>
      <c r="G33" s="72" t="n">
        <v>-1.5</v>
      </c>
      <c r="H33" s="72" t="n">
        <v>0</v>
      </c>
      <c r="I33" s="75" t="e">
        <f aca="false">E33/(H33-G33)</f>
        <v>#NAME?</v>
      </c>
      <c r="J33" s="75" t="e">
        <f aca="false">I33*C33</f>
        <v>#NAME?</v>
      </c>
      <c r="K33" s="75" t="e">
        <f aca="false">1/I33</f>
        <v>#NAME?</v>
      </c>
      <c r="L33" s="75" t="e">
        <f aca="false">1/J33</f>
        <v>#NAME?</v>
      </c>
      <c r="M33" s="526" t="e">
        <f aca="false">1/(1/'Allometric tree'!I33*'Allometric tree'!BF33/100)</f>
        <v>#NAME?</v>
      </c>
      <c r="N33" s="526" t="e">
        <f aca="false">1/(1/'Allometric tree'!I33*'Allometric tree'!BG33/100)</f>
        <v>#NAME?</v>
      </c>
      <c r="O33" s="30" t="e">
        <f aca="false">1/(1/'Allometric tree'!I33*'Allometric tree'!BH33/100)</f>
        <v>#NAME?</v>
      </c>
      <c r="P33" s="30" t="e">
        <f aca="false">1/(1/'Allometric tree'!I33*'Allometric tree'!BI33/100)</f>
        <v>#NAME?</v>
      </c>
      <c r="Q33" s="30" t="e">
        <f aca="false">1/(1/'Allometric tree'!I33*'Allometric tree'!BJ33/100)</f>
        <v>#NAME?</v>
      </c>
      <c r="R33" s="526" t="e">
        <f aca="false">1/(1/'Allometric tree'!I33*'Allometric tree'!BK33/100)</f>
        <v>#NAME?</v>
      </c>
      <c r="S33" s="30" t="e">
        <f aca="false">M33*'Allometric tree'!C33</f>
        <v>#NAME?</v>
      </c>
      <c r="T33" s="30" t="e">
        <f aca="false">N33*'Allometric tree'!C33</f>
        <v>#NAME?</v>
      </c>
      <c r="U33" s="526" t="e">
        <f aca="false">O33*'Allometric tree'!C33</f>
        <v>#NAME?</v>
      </c>
      <c r="V33" s="526" t="e">
        <f aca="false">P33*'Allometric tree'!C33</f>
        <v>#NAME?</v>
      </c>
      <c r="W33" s="526" t="e">
        <f aca="false">Q33*'Allometric tree'!C33</f>
        <v>#NAME?</v>
      </c>
      <c r="X33" s="30" t="e">
        <f aca="false">R33*'Allometric tree'!C33</f>
        <v>#NAME?</v>
      </c>
      <c r="Y33" s="525" t="e">
        <f aca="false">sureau_ini.txt!#ref!</f>
        <v>#NAME?</v>
      </c>
      <c r="Z33" s="527" t="e">
        <f aca="false">AK33/C33</f>
        <v>#NAME?</v>
      </c>
      <c r="AA33" s="525" t="e">
        <f aca="false">sureau_ini.txt!#ref!</f>
        <v>#NAME?</v>
      </c>
      <c r="AB33" s="525" t="e">
        <f aca="false">sureau_ini.txt!#ref!</f>
        <v>#NAME?</v>
      </c>
      <c r="AC33" s="525" t="n">
        <v>1</v>
      </c>
      <c r="AD33" s="72" t="n">
        <v>0.1</v>
      </c>
      <c r="AE33" s="525" t="n">
        <f aca="false">'sureau_ini.txt'!$E$21</f>
        <v>1</v>
      </c>
      <c r="AF33" s="525" t="e">
        <f aca="false">sureau_ini.txt!#ref!+sureau_ini.txt!#ref!</f>
        <v>#NAME?</v>
      </c>
      <c r="AG33" s="525" t="e">
        <f aca="false">sureau_ini.txt!#ref!</f>
        <v>#NAME?</v>
      </c>
      <c r="AH33" s="525" t="e">
        <f aca="false">sureau_ini.txt!#ref!*100</f>
        <v>#NAME?</v>
      </c>
      <c r="AI33" s="75" t="e">
        <f aca="false">AH33/2*Y33</f>
        <v>#NAME?</v>
      </c>
      <c r="AJ33" s="75" t="e">
        <f aca="false">100*(AH33/100-SQRT(AH33/100*AH33/100-4*AW33/1000/AG33/3.1416))/2</f>
        <v>#NAME?</v>
      </c>
      <c r="AK33" s="75" t="e">
        <f aca="false">(3.1416/4*(AH33^2)-3.1416*(AH33/2-AI33)^2)/10000</f>
        <v>#NAME?</v>
      </c>
      <c r="AL33" s="75" t="e">
        <f aca="false">AK33*AF33</f>
        <v>#NAME?</v>
      </c>
      <c r="AM33" s="75" t="e">
        <f aca="false">AL33*AA33*1000</f>
        <v>#NAME?</v>
      </c>
      <c r="AN33" s="75" t="e">
        <f aca="false">AL33*1000*AB33</f>
        <v>#NAME?</v>
      </c>
      <c r="AO33" s="75" t="e">
        <f aca="false">AK33*AG33</f>
        <v>#NAME?</v>
      </c>
      <c r="AP33" s="75" t="e">
        <f aca="false">AH33*AH33*3.1416/4/C33</f>
        <v>#NAME?</v>
      </c>
      <c r="AQ33" s="75" t="e">
        <f aca="false">AK33*10000/C33</f>
        <v>#NAME?</v>
      </c>
      <c r="AR33" s="525" t="e">
        <f aca="false">(sureau_ini.txt!#ref!/2*sureau_ini.txt!#ref!/2*3.1416)</f>
        <v>#NAME?</v>
      </c>
      <c r="AS33" s="525" t="e">
        <f aca="false">C33/AR33</f>
        <v>#NAME?</v>
      </c>
      <c r="AT33" s="75" t="e">
        <f aca="false">10000/AR33</f>
        <v>#NAME?</v>
      </c>
      <c r="AU33" s="75" t="e">
        <f aca="false">AH33*AH33*3.1416/4/10000*AT33</f>
        <v>#NAME?</v>
      </c>
      <c r="AV33" s="528" t="e">
        <f aca="false">AO33*AA33*1000</f>
        <v>#NAME?</v>
      </c>
      <c r="AW33" s="528" t="e">
        <f aca="false">AO33*1000*AB33</f>
        <v>#NAME?</v>
      </c>
      <c r="AX33" s="528" t="e">
        <f aca="false">AM33-AV33</f>
        <v>#NAME?</v>
      </c>
      <c r="AY33" s="528" t="e">
        <f aca="false">AN33-AW33</f>
        <v>#NAME?</v>
      </c>
      <c r="AZ33" s="528" t="e">
        <f aca="false">AM33*AC33</f>
        <v>#NAME?</v>
      </c>
      <c r="BA33" s="528" t="e">
        <f aca="false">AN33*AC33</f>
        <v>#NAME?</v>
      </c>
      <c r="BB33" s="528" t="e">
        <f aca="false">3.1416*AH33*AG33/100</f>
        <v>#NAME?</v>
      </c>
      <c r="BC33" s="528" t="e">
        <f aca="false">C33*AD33</f>
        <v>#NAME?</v>
      </c>
      <c r="BD33" s="528" t="e">
        <f aca="false">C33*AE33</f>
        <v>#NAME?</v>
      </c>
      <c r="BE33" s="528" t="e">
        <f aca="false">BD33+BC33*AC33</f>
        <v>#NAME?</v>
      </c>
      <c r="BF33" s="72" t="n">
        <v>20</v>
      </c>
      <c r="BG33" s="72" t="n">
        <v>20</v>
      </c>
      <c r="BH33" s="72" t="n">
        <v>8</v>
      </c>
      <c r="BI33" s="72" t="n">
        <v>2</v>
      </c>
      <c r="BJ33" s="72" t="n">
        <v>10</v>
      </c>
      <c r="BK33" s="72" t="n">
        <v>40</v>
      </c>
      <c r="BL33" s="75" t="n">
        <f aca="false">SUM(BF33:BI33)</f>
        <v>50</v>
      </c>
      <c r="BM33" s="75" t="n">
        <f aca="false">BJ33+BK33</f>
        <v>50</v>
      </c>
      <c r="BN33" s="75" t="n">
        <f aca="false">SUM(BF33:BK33)</f>
        <v>100</v>
      </c>
      <c r="BO33" s="0" t="e">
        <f aca="false">AV33+AW33+AX33+AY33+AZ33+BA33+C33*sureau_ini.txt!#ref!/1000</f>
        <v>#NAME?</v>
      </c>
      <c r="BP33" s="0" t="e">
        <f aca="false">AV33+AX33+AZ33 +C33*sureau_ini.txt!#ref!*sureau_ini.txt!#ref!/1000</f>
        <v>#NAME?</v>
      </c>
      <c r="BQ33" s="0" t="e">
        <f aca="false">BO33-BP33</f>
        <v>#NAME?</v>
      </c>
    </row>
    <row r="34" customFormat="false" ht="15.75" hidden="false" customHeight="false" outlineLevel="0" collapsed="false">
      <c r="A34" s="0" t="e">
        <f aca="false">sureau_ini.txt!#ref!</f>
        <v>#NAME?</v>
      </c>
      <c r="B34" s="525" t="n">
        <f aca="false">VPD_max</f>
        <v>1.26741256491017</v>
      </c>
      <c r="C34" s="525" t="e">
        <f aca="false">sureau_ini.txt!#ref!</f>
        <v>#NAME?</v>
      </c>
      <c r="D34" s="525" t="e">
        <f aca="false">(1/(1/sureau_ini.txt!#ref!+1/(1.5*(0.00662*(sureau_ini.txt!#ref!/sureau_ini.txt!#ref!*1000)^0.5)*1000*40)+1/sureau_ini.txt!#ref!)*B34/101.6)</f>
        <v>#NAME?</v>
      </c>
      <c r="E34" s="525" t="e">
        <f aca="false">sureau_ini.txt!#ref!/(1/sureau_ini.txt!#ref!+1/(1.5*(0.00662*(sureau_ini.txt!#ref!/sureau_ini.txt!#ref!*1000)^0.5)*1000*40)+1/sureau_ini.txt!#ref!)*B34/101.6 + sureau_ini.txt!#ref!/(1/sureau_ini.txt!#ref!+1/(1.5*(0.00662*(sureau_ini.txt!#ref!/sureau_ini.txt!#ref!*1000)^0.5)*1000*40)+1/sureau_ini.txt!#ref!)*B34/101.6 + sureau_ini.txt!#ref!/(1/sureau_ini.txt!#ref!+1/(1.5*(0.00662*(sureau_ini.txt!#ref!/sureau_ini.txt!#ref!*1000)^0.5)*1000*40)+1/sureau_ini.txt!#ref!)*B34/101.6</f>
        <v>#NAME?</v>
      </c>
      <c r="F34" s="75" t="e">
        <f aca="false">E34/1000*18/AK34/100000*3600*C34</f>
        <v>#NAME?</v>
      </c>
      <c r="G34" s="72" t="n">
        <v>-1.5</v>
      </c>
      <c r="H34" s="72" t="n">
        <v>0</v>
      </c>
      <c r="I34" s="75" t="e">
        <f aca="false">E34/(H34-G34)</f>
        <v>#NAME?</v>
      </c>
      <c r="J34" s="75" t="e">
        <f aca="false">I34*C34</f>
        <v>#NAME?</v>
      </c>
      <c r="K34" s="75" t="e">
        <f aca="false">1/I34</f>
        <v>#NAME?</v>
      </c>
      <c r="L34" s="75" t="e">
        <f aca="false">1/J34</f>
        <v>#NAME?</v>
      </c>
      <c r="M34" s="526" t="e">
        <f aca="false">1/(1/'Allometric tree'!I34*'Allometric tree'!BF34/100)</f>
        <v>#NAME?</v>
      </c>
      <c r="N34" s="526" t="e">
        <f aca="false">1/(1/'Allometric tree'!I34*'Allometric tree'!BG34/100)</f>
        <v>#NAME?</v>
      </c>
      <c r="O34" s="30" t="e">
        <f aca="false">1/(1/'Allometric tree'!I34*'Allometric tree'!BH34/100)</f>
        <v>#NAME?</v>
      </c>
      <c r="P34" s="30" t="e">
        <f aca="false">1/(1/'Allometric tree'!I34*'Allometric tree'!BI34/100)</f>
        <v>#NAME?</v>
      </c>
      <c r="Q34" s="30" t="e">
        <f aca="false">1/(1/'Allometric tree'!I34*'Allometric tree'!BJ34/100)</f>
        <v>#NAME?</v>
      </c>
      <c r="R34" s="526" t="e">
        <f aca="false">1/(1/'Allometric tree'!I34*'Allometric tree'!BK34/100)</f>
        <v>#NAME?</v>
      </c>
      <c r="S34" s="30" t="e">
        <f aca="false">M34*'Allometric tree'!C34</f>
        <v>#NAME?</v>
      </c>
      <c r="T34" s="30" t="e">
        <f aca="false">N34*'Allometric tree'!C34</f>
        <v>#NAME?</v>
      </c>
      <c r="U34" s="526" t="e">
        <f aca="false">O34*'Allometric tree'!C34</f>
        <v>#NAME?</v>
      </c>
      <c r="V34" s="526" t="e">
        <f aca="false">P34*'Allometric tree'!C34</f>
        <v>#NAME?</v>
      </c>
      <c r="W34" s="526" t="e">
        <f aca="false">Q34*'Allometric tree'!C34</f>
        <v>#NAME?</v>
      </c>
      <c r="X34" s="30" t="e">
        <f aca="false">R34*'Allometric tree'!C34</f>
        <v>#NAME?</v>
      </c>
      <c r="Y34" s="525" t="e">
        <f aca="false">sureau_ini.txt!#ref!</f>
        <v>#NAME?</v>
      </c>
      <c r="Z34" s="527" t="e">
        <f aca="false">AK34/C34</f>
        <v>#NAME?</v>
      </c>
      <c r="AA34" s="525" t="e">
        <f aca="false">sureau_ini.txt!#ref!</f>
        <v>#NAME?</v>
      </c>
      <c r="AB34" s="525" t="e">
        <f aca="false">sureau_ini.txt!#ref!</f>
        <v>#NAME?</v>
      </c>
      <c r="AC34" s="525" t="n">
        <v>1</v>
      </c>
      <c r="AD34" s="72" t="n">
        <v>0.1</v>
      </c>
      <c r="AE34" s="525" t="n">
        <f aca="false">'sureau_ini.txt'!$E$21</f>
        <v>1</v>
      </c>
      <c r="AF34" s="525" t="e">
        <f aca="false">sureau_ini.txt!#ref!+sureau_ini.txt!#ref!</f>
        <v>#NAME?</v>
      </c>
      <c r="AG34" s="525" t="e">
        <f aca="false">sureau_ini.txt!#ref!</f>
        <v>#NAME?</v>
      </c>
      <c r="AH34" s="525" t="e">
        <f aca="false">sureau_ini.txt!#ref!*100</f>
        <v>#NAME?</v>
      </c>
      <c r="AI34" s="75" t="e">
        <f aca="false">AH34/2*Y34</f>
        <v>#NAME?</v>
      </c>
      <c r="AJ34" s="75" t="e">
        <f aca="false">100*(AH34/100-SQRT(AH34/100*AH34/100-4*AW34/1000/AG34/3.1416))/2</f>
        <v>#NAME?</v>
      </c>
      <c r="AK34" s="75" t="e">
        <f aca="false">(3.1416/4*(AH34^2)-3.1416*(AH34/2-AI34)^2)/10000</f>
        <v>#NAME?</v>
      </c>
      <c r="AL34" s="75" t="e">
        <f aca="false">AK34*AF34</f>
        <v>#NAME?</v>
      </c>
      <c r="AM34" s="75" t="e">
        <f aca="false">AL34*AA34*1000</f>
        <v>#NAME?</v>
      </c>
      <c r="AN34" s="75" t="e">
        <f aca="false">AL34*1000*AB34</f>
        <v>#NAME?</v>
      </c>
      <c r="AO34" s="75" t="e">
        <f aca="false">AK34*AG34</f>
        <v>#NAME?</v>
      </c>
      <c r="AP34" s="75" t="e">
        <f aca="false">AH34*AH34*3.1416/4/C34</f>
        <v>#NAME?</v>
      </c>
      <c r="AQ34" s="75" t="e">
        <f aca="false">AK34*10000/C34</f>
        <v>#NAME?</v>
      </c>
      <c r="AR34" s="525" t="e">
        <f aca="false">(sureau_ini.txt!#ref!/2*sureau_ini.txt!#ref!/2*3.1416)</f>
        <v>#NAME?</v>
      </c>
      <c r="AS34" s="525" t="e">
        <f aca="false">C34/AR34</f>
        <v>#NAME?</v>
      </c>
      <c r="AT34" s="75" t="e">
        <f aca="false">10000/AR34</f>
        <v>#NAME?</v>
      </c>
      <c r="AU34" s="75" t="e">
        <f aca="false">AH34*AH34*3.1416/4/10000*AT34</f>
        <v>#NAME?</v>
      </c>
      <c r="AV34" s="528" t="e">
        <f aca="false">AO34*AA34*1000</f>
        <v>#NAME?</v>
      </c>
      <c r="AW34" s="528" t="e">
        <f aca="false">AO34*1000*AB34</f>
        <v>#NAME?</v>
      </c>
      <c r="AX34" s="528" t="e">
        <f aca="false">AM34-AV34</f>
        <v>#NAME?</v>
      </c>
      <c r="AY34" s="528" t="e">
        <f aca="false">AN34-AW34</f>
        <v>#NAME?</v>
      </c>
      <c r="AZ34" s="528" t="e">
        <f aca="false">AM34*AC34</f>
        <v>#NAME?</v>
      </c>
      <c r="BA34" s="528" t="e">
        <f aca="false">AN34*AC34</f>
        <v>#NAME?</v>
      </c>
      <c r="BB34" s="528" t="e">
        <f aca="false">3.1416*AH34*AG34/100</f>
        <v>#NAME?</v>
      </c>
      <c r="BC34" s="528" t="e">
        <f aca="false">C34*AD34</f>
        <v>#NAME?</v>
      </c>
      <c r="BD34" s="528" t="e">
        <f aca="false">C34*AE34</f>
        <v>#NAME?</v>
      </c>
      <c r="BE34" s="528" t="e">
        <f aca="false">BD34+BC34*AC34</f>
        <v>#NAME?</v>
      </c>
      <c r="BF34" s="72" t="n">
        <v>20</v>
      </c>
      <c r="BG34" s="72" t="n">
        <v>20</v>
      </c>
      <c r="BH34" s="72" t="n">
        <v>8</v>
      </c>
      <c r="BI34" s="72" t="n">
        <v>2</v>
      </c>
      <c r="BJ34" s="72" t="n">
        <v>10</v>
      </c>
      <c r="BK34" s="72" t="n">
        <v>40</v>
      </c>
      <c r="BL34" s="75" t="n">
        <f aca="false">SUM(BF34:BI34)</f>
        <v>50</v>
      </c>
      <c r="BM34" s="75" t="n">
        <f aca="false">BJ34+BK34</f>
        <v>50</v>
      </c>
      <c r="BN34" s="75" t="n">
        <f aca="false">SUM(BF34:BK34)</f>
        <v>100</v>
      </c>
      <c r="BO34" s="0" t="e">
        <f aca="false">AV34+AW34+AX34+AY34+AZ34+BA34+C34*sureau_ini.txt!#ref!/1000</f>
        <v>#NAME?</v>
      </c>
      <c r="BP34" s="0" t="e">
        <f aca="false">AV34+AX34+AZ34 +C34*sureau_ini.txt!#ref!*sureau_ini.txt!#ref!/1000</f>
        <v>#NAME?</v>
      </c>
      <c r="BQ34" s="0" t="e">
        <f aca="false">BO34-BP34</f>
        <v>#NAME?</v>
      </c>
    </row>
    <row r="35" customFormat="false" ht="15.75" hidden="false" customHeight="false" outlineLevel="0" collapsed="false">
      <c r="A35" s="0" t="e">
        <f aca="false">sureau_ini.txt!#ref!</f>
        <v>#NAME?</v>
      </c>
      <c r="B35" s="525" t="n">
        <f aca="false">VPD_max</f>
        <v>1.26741256491017</v>
      </c>
      <c r="C35" s="525" t="e">
        <f aca="false">sureau_ini.txt!#ref!</f>
        <v>#NAME?</v>
      </c>
      <c r="D35" s="525" t="e">
        <f aca="false">(1/(1/sureau_ini.txt!#ref!+1/(1.5*(0.00662*(sureau_ini.txt!#ref!/sureau_ini.txt!#ref!*1000)^0.5)*1000*40)+1/sureau_ini.txt!#ref!)*B35/101.6)</f>
        <v>#NAME?</v>
      </c>
      <c r="E35" s="525" t="e">
        <f aca="false">sureau_ini.txt!#ref!/(1/sureau_ini.txt!#ref!+1/(1.5*(0.00662*(sureau_ini.txt!#ref!/sureau_ini.txt!#ref!*1000)^0.5)*1000*40)+1/sureau_ini.txt!#ref!)*B35/101.6 + sureau_ini.txt!#ref!/(1/sureau_ini.txt!#ref!+1/(1.5*(0.00662*(sureau_ini.txt!#ref!/sureau_ini.txt!#ref!*1000)^0.5)*1000*40)+1/sureau_ini.txt!#ref!)*B35/101.6 + sureau_ini.txt!#ref!/(1/sureau_ini.txt!#ref!+1/(1.5*(0.00662*(sureau_ini.txt!#ref!/sureau_ini.txt!#ref!*1000)^0.5)*1000*40)+1/sureau_ini.txt!#ref!)*B35/101.6</f>
        <v>#NAME?</v>
      </c>
      <c r="F35" s="75" t="e">
        <f aca="false">E35/1000*18/AK35/100000*3600*C35</f>
        <v>#NAME?</v>
      </c>
      <c r="G35" s="72" t="n">
        <v>-1.5</v>
      </c>
      <c r="H35" s="72" t="n">
        <v>0</v>
      </c>
      <c r="I35" s="75" t="e">
        <f aca="false">E35/(H35-G35)</f>
        <v>#NAME?</v>
      </c>
      <c r="J35" s="75" t="e">
        <f aca="false">I35*C35</f>
        <v>#NAME?</v>
      </c>
      <c r="K35" s="75" t="e">
        <f aca="false">1/I35</f>
        <v>#NAME?</v>
      </c>
      <c r="L35" s="75" t="e">
        <f aca="false">1/J35</f>
        <v>#NAME?</v>
      </c>
      <c r="M35" s="526" t="e">
        <f aca="false">1/(1/'Allometric tree'!I35*'Allometric tree'!BF35/100)</f>
        <v>#NAME?</v>
      </c>
      <c r="N35" s="526" t="e">
        <f aca="false">1/(1/'Allometric tree'!I35*'Allometric tree'!BG35/100)</f>
        <v>#NAME?</v>
      </c>
      <c r="O35" s="30" t="e">
        <f aca="false">1/(1/'Allometric tree'!I35*'Allometric tree'!BH35/100)</f>
        <v>#NAME?</v>
      </c>
      <c r="P35" s="30" t="e">
        <f aca="false">1/(1/'Allometric tree'!I35*'Allometric tree'!BI35/100)</f>
        <v>#NAME?</v>
      </c>
      <c r="Q35" s="30" t="e">
        <f aca="false">1/(1/'Allometric tree'!I35*'Allometric tree'!BJ35/100)</f>
        <v>#NAME?</v>
      </c>
      <c r="R35" s="526" t="e">
        <f aca="false">1/(1/'Allometric tree'!I35*'Allometric tree'!BK35/100)</f>
        <v>#NAME?</v>
      </c>
      <c r="S35" s="30" t="e">
        <f aca="false">M35*'Allometric tree'!C35</f>
        <v>#NAME?</v>
      </c>
      <c r="T35" s="30" t="e">
        <f aca="false">N35*'Allometric tree'!C35</f>
        <v>#NAME?</v>
      </c>
      <c r="U35" s="526" t="e">
        <f aca="false">O35*'Allometric tree'!C35</f>
        <v>#NAME?</v>
      </c>
      <c r="V35" s="526" t="e">
        <f aca="false">P35*'Allometric tree'!C35</f>
        <v>#NAME?</v>
      </c>
      <c r="W35" s="526" t="e">
        <f aca="false">Q35*'Allometric tree'!C35</f>
        <v>#NAME?</v>
      </c>
      <c r="X35" s="30" t="e">
        <f aca="false">R35*'Allometric tree'!C35</f>
        <v>#NAME?</v>
      </c>
      <c r="Y35" s="525" t="e">
        <f aca="false">sureau_ini.txt!#ref!</f>
        <v>#NAME?</v>
      </c>
      <c r="Z35" s="527" t="e">
        <f aca="false">AK35/C35</f>
        <v>#NAME?</v>
      </c>
      <c r="AA35" s="525" t="e">
        <f aca="false">sureau_ini.txt!#ref!</f>
        <v>#NAME?</v>
      </c>
      <c r="AB35" s="525" t="e">
        <f aca="false">sureau_ini.txt!#ref!</f>
        <v>#NAME?</v>
      </c>
      <c r="AC35" s="525" t="n">
        <v>1</v>
      </c>
      <c r="AD35" s="72" t="n">
        <v>0.1</v>
      </c>
      <c r="AE35" s="525" t="n">
        <f aca="false">'sureau_ini.txt'!$E$21</f>
        <v>1</v>
      </c>
      <c r="AF35" s="525" t="e">
        <f aca="false">sureau_ini.txt!#ref!+sureau_ini.txt!#ref!</f>
        <v>#NAME?</v>
      </c>
      <c r="AG35" s="525" t="e">
        <f aca="false">sureau_ini.txt!#ref!</f>
        <v>#NAME?</v>
      </c>
      <c r="AH35" s="525" t="e">
        <f aca="false">sureau_ini.txt!#ref!*100</f>
        <v>#NAME?</v>
      </c>
      <c r="AI35" s="75" t="e">
        <f aca="false">AH35/2*Y35</f>
        <v>#NAME?</v>
      </c>
      <c r="AJ35" s="75" t="e">
        <f aca="false">100*(AH35/100-SQRT(AH35/100*AH35/100-4*AW35/1000/AG35/3.1416))/2</f>
        <v>#NAME?</v>
      </c>
      <c r="AK35" s="75" t="e">
        <f aca="false">(3.1416/4*(AH35^2)-3.1416*(AH35/2-AI35)^2)/10000</f>
        <v>#NAME?</v>
      </c>
      <c r="AL35" s="75" t="e">
        <f aca="false">AK35*AF35</f>
        <v>#NAME?</v>
      </c>
      <c r="AM35" s="75" t="e">
        <f aca="false">AL35*AA35*1000</f>
        <v>#NAME?</v>
      </c>
      <c r="AN35" s="75" t="e">
        <f aca="false">AL35*1000*AB35</f>
        <v>#NAME?</v>
      </c>
      <c r="AO35" s="75" t="e">
        <f aca="false">AK35*AG35</f>
        <v>#NAME?</v>
      </c>
      <c r="AP35" s="75" t="e">
        <f aca="false">AH35*AH35*3.1416/4/C35</f>
        <v>#NAME?</v>
      </c>
      <c r="AQ35" s="75" t="e">
        <f aca="false">AK35*10000/C35</f>
        <v>#NAME?</v>
      </c>
      <c r="AR35" s="525" t="e">
        <f aca="false">(sureau_ini.txt!#ref!/2*sureau_ini.txt!#ref!/2*3.1416)</f>
        <v>#NAME?</v>
      </c>
      <c r="AS35" s="525" t="e">
        <f aca="false">C35/AR35</f>
        <v>#NAME?</v>
      </c>
      <c r="AT35" s="75" t="e">
        <f aca="false">10000/AR35</f>
        <v>#NAME?</v>
      </c>
      <c r="AU35" s="75" t="e">
        <f aca="false">AH35*AH35*3.1416/4/10000*AT35</f>
        <v>#NAME?</v>
      </c>
      <c r="AV35" s="528" t="e">
        <f aca="false">AO35*AA35*1000</f>
        <v>#NAME?</v>
      </c>
      <c r="AW35" s="528" t="e">
        <f aca="false">AO35*1000*AB35</f>
        <v>#NAME?</v>
      </c>
      <c r="AX35" s="528" t="e">
        <f aca="false">AM35-AV35</f>
        <v>#NAME?</v>
      </c>
      <c r="AY35" s="528" t="e">
        <f aca="false">AN35-AW35</f>
        <v>#NAME?</v>
      </c>
      <c r="AZ35" s="528" t="e">
        <f aca="false">AM35*AC35</f>
        <v>#NAME?</v>
      </c>
      <c r="BA35" s="528" t="e">
        <f aca="false">AN35*AC35</f>
        <v>#NAME?</v>
      </c>
      <c r="BB35" s="528" t="e">
        <f aca="false">3.1416*AH35*AG35/100</f>
        <v>#NAME?</v>
      </c>
      <c r="BC35" s="528" t="e">
        <f aca="false">C35*AD35</f>
        <v>#NAME?</v>
      </c>
      <c r="BD35" s="528" t="e">
        <f aca="false">C35*AE35</f>
        <v>#NAME?</v>
      </c>
      <c r="BE35" s="528" t="e">
        <f aca="false">BD35+BC35*AC35</f>
        <v>#NAME?</v>
      </c>
      <c r="BF35" s="72" t="n">
        <v>20</v>
      </c>
      <c r="BG35" s="72" t="n">
        <v>20</v>
      </c>
      <c r="BH35" s="72" t="n">
        <v>8</v>
      </c>
      <c r="BI35" s="72" t="n">
        <v>2</v>
      </c>
      <c r="BJ35" s="72" t="n">
        <v>10</v>
      </c>
      <c r="BK35" s="72" t="n">
        <v>40</v>
      </c>
      <c r="BL35" s="75" t="n">
        <f aca="false">SUM(BF35:BI35)</f>
        <v>50</v>
      </c>
      <c r="BM35" s="75" t="n">
        <f aca="false">BJ35+BK35</f>
        <v>50</v>
      </c>
      <c r="BN35" s="75" t="n">
        <f aca="false">SUM(BF35:BK35)</f>
        <v>100</v>
      </c>
      <c r="BO35" s="0" t="e">
        <f aca="false">AV35+AW35+AX35+AY35+AZ35+BA35+C35*sureau_ini.txt!#ref!/1000</f>
        <v>#NAME?</v>
      </c>
      <c r="BP35" s="0" t="e">
        <f aca="false">AV35+AX35+AZ35 +C35*sureau_ini.txt!#ref!*sureau_ini.txt!#ref!/1000</f>
        <v>#NAME?</v>
      </c>
      <c r="BQ35" s="0" t="e">
        <f aca="false">BO35-BP35</f>
        <v>#NAME?</v>
      </c>
    </row>
    <row r="36" customFormat="false" ht="15.75" hidden="false" customHeight="false" outlineLevel="0" collapsed="false">
      <c r="A36" s="0" t="e">
        <f aca="false">sureau_ini.txt!#ref!</f>
        <v>#NAME?</v>
      </c>
      <c r="B36" s="525" t="n">
        <f aca="false">VPD_max</f>
        <v>1.26741256491017</v>
      </c>
      <c r="C36" s="525" t="e">
        <f aca="false">sureau_ini.txt!#ref!</f>
        <v>#NAME?</v>
      </c>
      <c r="D36" s="525" t="e">
        <f aca="false">(1/(1/sureau_ini.txt!#ref!+1/(1.5*(0.00662*(sureau_ini.txt!#ref!/sureau_ini.txt!#ref!*1000)^0.5)*1000*40)+1/sureau_ini.txt!#ref!)*B36/101.6)</f>
        <v>#NAME?</v>
      </c>
      <c r="E36" s="525" t="e">
        <f aca="false">sureau_ini.txt!#ref!/(1/sureau_ini.txt!#ref!+1/(1.5*(0.00662*(sureau_ini.txt!#ref!/sureau_ini.txt!#ref!*1000)^0.5)*1000*40)+1/sureau_ini.txt!#ref!)*B36/101.6 + sureau_ini.txt!#ref!/(1/sureau_ini.txt!#ref!+1/(1.5*(0.00662*(sureau_ini.txt!#ref!/sureau_ini.txt!#ref!*1000)^0.5)*1000*40)+1/sureau_ini.txt!#ref!)*B36/101.6 + sureau_ini.txt!#ref!/(1/sureau_ini.txt!#ref!+1/(1.5*(0.00662*(sureau_ini.txt!#ref!/sureau_ini.txt!#ref!*1000)^0.5)*1000*40)+1/sureau_ini.txt!#ref!)*B36/101.6</f>
        <v>#NAME?</v>
      </c>
      <c r="F36" s="75" t="e">
        <f aca="false">E36/1000*18/AK36/100000*3600*C36</f>
        <v>#NAME?</v>
      </c>
      <c r="G36" s="72" t="n">
        <v>-1.5</v>
      </c>
      <c r="H36" s="72" t="n">
        <v>0</v>
      </c>
      <c r="I36" s="75" t="e">
        <f aca="false">E36/(H36-G36)</f>
        <v>#NAME?</v>
      </c>
      <c r="J36" s="75" t="e">
        <f aca="false">I36*C36</f>
        <v>#NAME?</v>
      </c>
      <c r="K36" s="75" t="e">
        <f aca="false">1/I36</f>
        <v>#NAME?</v>
      </c>
      <c r="L36" s="75" t="e">
        <f aca="false">1/J36</f>
        <v>#NAME?</v>
      </c>
      <c r="M36" s="526" t="e">
        <f aca="false">1/(1/'Allometric tree'!I36*'Allometric tree'!BF36/100)</f>
        <v>#NAME?</v>
      </c>
      <c r="N36" s="526" t="e">
        <f aca="false">1/(1/'Allometric tree'!I36*'Allometric tree'!BG36/100)</f>
        <v>#NAME?</v>
      </c>
      <c r="O36" s="30" t="e">
        <f aca="false">1/(1/'Allometric tree'!I36*'Allometric tree'!BH36/100)</f>
        <v>#NAME?</v>
      </c>
      <c r="P36" s="30" t="e">
        <f aca="false">1/(1/'Allometric tree'!I36*'Allometric tree'!BI36/100)</f>
        <v>#NAME?</v>
      </c>
      <c r="Q36" s="30" t="e">
        <f aca="false">1/(1/'Allometric tree'!I36*'Allometric tree'!BJ36/100)</f>
        <v>#NAME?</v>
      </c>
      <c r="R36" s="526" t="e">
        <f aca="false">1/(1/'Allometric tree'!I36*'Allometric tree'!BK36/100)</f>
        <v>#NAME?</v>
      </c>
      <c r="S36" s="30" t="e">
        <f aca="false">M36*'Allometric tree'!C36</f>
        <v>#NAME?</v>
      </c>
      <c r="T36" s="30" t="e">
        <f aca="false">N36*'Allometric tree'!C36</f>
        <v>#NAME?</v>
      </c>
      <c r="U36" s="526" t="e">
        <f aca="false">O36*'Allometric tree'!C36</f>
        <v>#NAME?</v>
      </c>
      <c r="V36" s="526" t="e">
        <f aca="false">P36*'Allometric tree'!C36</f>
        <v>#NAME?</v>
      </c>
      <c r="W36" s="526" t="e">
        <f aca="false">Q36*'Allometric tree'!C36</f>
        <v>#NAME?</v>
      </c>
      <c r="X36" s="30" t="e">
        <f aca="false">R36*'Allometric tree'!C36</f>
        <v>#NAME?</v>
      </c>
      <c r="Y36" s="525" t="e">
        <f aca="false">sureau_ini.txt!#ref!</f>
        <v>#NAME?</v>
      </c>
      <c r="Z36" s="527" t="e">
        <f aca="false">AK36/C36</f>
        <v>#NAME?</v>
      </c>
      <c r="AA36" s="525" t="e">
        <f aca="false">sureau_ini.txt!#ref!</f>
        <v>#NAME?</v>
      </c>
      <c r="AB36" s="525" t="e">
        <f aca="false">sureau_ini.txt!#ref!</f>
        <v>#NAME?</v>
      </c>
      <c r="AC36" s="525" t="n">
        <v>1</v>
      </c>
      <c r="AD36" s="72" t="n">
        <v>0.1</v>
      </c>
      <c r="AE36" s="525" t="n">
        <f aca="false">'sureau_ini.txt'!$E$21</f>
        <v>1</v>
      </c>
      <c r="AF36" s="525" t="e">
        <f aca="false">sureau_ini.txt!#ref!+sureau_ini.txt!#ref!</f>
        <v>#NAME?</v>
      </c>
      <c r="AG36" s="525" t="e">
        <f aca="false">sureau_ini.txt!#ref!</f>
        <v>#NAME?</v>
      </c>
      <c r="AH36" s="525" t="e">
        <f aca="false">sureau_ini.txt!#ref!*100</f>
        <v>#NAME?</v>
      </c>
      <c r="AI36" s="75" t="e">
        <f aca="false">AH36/2*Y36</f>
        <v>#NAME?</v>
      </c>
      <c r="AJ36" s="75" t="e">
        <f aca="false">100*(AH36/100-SQRT(AH36/100*AH36/100-4*AW36/1000/AG36/3.1416))/2</f>
        <v>#NAME?</v>
      </c>
      <c r="AK36" s="75" t="e">
        <f aca="false">(3.1416/4*(AH36^2)-3.1416*(AH36/2-AI36)^2)/10000</f>
        <v>#NAME?</v>
      </c>
      <c r="AL36" s="75" t="e">
        <f aca="false">AK36*AF36</f>
        <v>#NAME?</v>
      </c>
      <c r="AM36" s="75" t="e">
        <f aca="false">AL36*AA36*1000</f>
        <v>#NAME?</v>
      </c>
      <c r="AN36" s="75" t="e">
        <f aca="false">AL36*1000*AB36</f>
        <v>#NAME?</v>
      </c>
      <c r="AO36" s="75" t="e">
        <f aca="false">AK36*AG36</f>
        <v>#NAME?</v>
      </c>
      <c r="AP36" s="75" t="e">
        <f aca="false">AH36*AH36*3.1416/4/C36</f>
        <v>#NAME?</v>
      </c>
      <c r="AQ36" s="75" t="e">
        <f aca="false">AK36*10000/C36</f>
        <v>#NAME?</v>
      </c>
      <c r="AR36" s="525" t="e">
        <f aca="false">(sureau_ini.txt!#ref!/2*sureau_ini.txt!#ref!/2*3.1416)</f>
        <v>#NAME?</v>
      </c>
      <c r="AS36" s="525" t="e">
        <f aca="false">C36/AR36</f>
        <v>#NAME?</v>
      </c>
      <c r="AT36" s="75" t="e">
        <f aca="false">10000/AR36</f>
        <v>#NAME?</v>
      </c>
      <c r="AU36" s="75" t="e">
        <f aca="false">AH36*AH36*3.1416/4/10000*AT36</f>
        <v>#NAME?</v>
      </c>
      <c r="AV36" s="528" t="e">
        <f aca="false">AO36*AA36*1000</f>
        <v>#NAME?</v>
      </c>
      <c r="AW36" s="528" t="e">
        <f aca="false">AO36*1000*AB36</f>
        <v>#NAME?</v>
      </c>
      <c r="AX36" s="528" t="e">
        <f aca="false">AM36-AV36</f>
        <v>#NAME?</v>
      </c>
      <c r="AY36" s="528" t="e">
        <f aca="false">AN36-AW36</f>
        <v>#NAME?</v>
      </c>
      <c r="AZ36" s="528" t="e">
        <f aca="false">AM36*AC36</f>
        <v>#NAME?</v>
      </c>
      <c r="BA36" s="528" t="e">
        <f aca="false">AN36*AC36</f>
        <v>#NAME?</v>
      </c>
      <c r="BB36" s="528" t="e">
        <f aca="false">3.1416*AH36*AG36/100</f>
        <v>#NAME?</v>
      </c>
      <c r="BC36" s="528" t="e">
        <f aca="false">C36*AD36</f>
        <v>#NAME?</v>
      </c>
      <c r="BD36" s="528" t="e">
        <f aca="false">C36*AE36</f>
        <v>#NAME?</v>
      </c>
      <c r="BE36" s="528" t="e">
        <f aca="false">BD36+BC36*AC36</f>
        <v>#NAME?</v>
      </c>
      <c r="BF36" s="72" t="n">
        <v>20</v>
      </c>
      <c r="BG36" s="72" t="n">
        <v>20</v>
      </c>
      <c r="BH36" s="72" t="n">
        <v>8</v>
      </c>
      <c r="BI36" s="72" t="n">
        <v>2</v>
      </c>
      <c r="BJ36" s="72" t="n">
        <v>10</v>
      </c>
      <c r="BK36" s="72" t="n">
        <v>40</v>
      </c>
      <c r="BL36" s="75" t="n">
        <f aca="false">SUM(BF36:BI36)</f>
        <v>50</v>
      </c>
      <c r="BM36" s="75" t="n">
        <f aca="false">BJ36+BK36</f>
        <v>50</v>
      </c>
      <c r="BN36" s="75" t="n">
        <f aca="false">SUM(BF36:BK36)</f>
        <v>100</v>
      </c>
      <c r="BO36" s="0" t="e">
        <f aca="false">AV36+AW36+AX36+AY36+AZ36+BA36+C36*sureau_ini.txt!#ref!/1000</f>
        <v>#NAME?</v>
      </c>
      <c r="BP36" s="0" t="e">
        <f aca="false">AV36+AX36+AZ36 +C36*sureau_ini.txt!#ref!*sureau_ini.txt!#ref!/1000</f>
        <v>#NAME?</v>
      </c>
      <c r="BQ36" s="0" t="e">
        <f aca="false">BO36-BP36</f>
        <v>#NAME?</v>
      </c>
    </row>
    <row r="37" customFormat="false" ht="15.75" hidden="false" customHeight="false" outlineLevel="0" collapsed="false">
      <c r="A37" s="0" t="e">
        <f aca="false">sureau_ini.txt!#ref!</f>
        <v>#NAME?</v>
      </c>
      <c r="B37" s="525" t="n">
        <f aca="false">VPD_max</f>
        <v>1.26741256491017</v>
      </c>
      <c r="C37" s="525" t="e">
        <f aca="false">sureau_ini.txt!#ref!</f>
        <v>#NAME?</v>
      </c>
      <c r="D37" s="525" t="e">
        <f aca="false">(1/(1/sureau_ini.txt!#ref!+1/(1.5*(0.00662*(sureau_ini.txt!#ref!/sureau_ini.txt!#ref!*1000)^0.5)*1000*40)+1/sureau_ini.txt!#ref!)*B37/101.6)</f>
        <v>#NAME?</v>
      </c>
      <c r="E37" s="525" t="e">
        <f aca="false">sureau_ini.txt!#ref!/(1/sureau_ini.txt!#ref!+1/(1.5*(0.00662*(sureau_ini.txt!#ref!/sureau_ini.txt!#ref!*1000)^0.5)*1000*40)+1/sureau_ini.txt!#ref!)*B37/101.6 + sureau_ini.txt!#ref!/(1/sureau_ini.txt!#ref!+1/(1.5*(0.00662*(sureau_ini.txt!#ref!/sureau_ini.txt!#ref!*1000)^0.5)*1000*40)+1/sureau_ini.txt!#ref!)*B37/101.6 + sureau_ini.txt!#ref!/(1/sureau_ini.txt!#ref!+1/(1.5*(0.00662*(sureau_ini.txt!#ref!/sureau_ini.txt!#ref!*1000)^0.5)*1000*40)+1/sureau_ini.txt!#ref!)*B37/101.6</f>
        <v>#NAME?</v>
      </c>
      <c r="F37" s="75" t="e">
        <f aca="false">E37/1000*18/AK37/100000*3600*C37</f>
        <v>#NAME?</v>
      </c>
      <c r="G37" s="72" t="n">
        <v>-1.5</v>
      </c>
      <c r="H37" s="72" t="n">
        <v>0</v>
      </c>
      <c r="I37" s="75" t="e">
        <f aca="false">E37/(H37-G37)</f>
        <v>#NAME?</v>
      </c>
      <c r="J37" s="75" t="e">
        <f aca="false">I37*C37</f>
        <v>#NAME?</v>
      </c>
      <c r="K37" s="75" t="e">
        <f aca="false">1/I37</f>
        <v>#NAME?</v>
      </c>
      <c r="L37" s="75" t="e">
        <f aca="false">1/J37</f>
        <v>#NAME?</v>
      </c>
      <c r="M37" s="526" t="e">
        <f aca="false">1/(1/'Allometric tree'!I37*'Allometric tree'!BF37/100)</f>
        <v>#NAME?</v>
      </c>
      <c r="N37" s="526" t="e">
        <f aca="false">1/(1/'Allometric tree'!I37*'Allometric tree'!BG37/100)</f>
        <v>#NAME?</v>
      </c>
      <c r="O37" s="30" t="e">
        <f aca="false">1/(1/'Allometric tree'!I37*'Allometric tree'!BH37/100)</f>
        <v>#NAME?</v>
      </c>
      <c r="P37" s="30" t="e">
        <f aca="false">1/(1/'Allometric tree'!I37*'Allometric tree'!BI37/100)</f>
        <v>#NAME?</v>
      </c>
      <c r="Q37" s="30" t="e">
        <f aca="false">1/(1/'Allometric tree'!I37*'Allometric tree'!BJ37/100)</f>
        <v>#NAME?</v>
      </c>
      <c r="R37" s="526" t="e">
        <f aca="false">1/(1/'Allometric tree'!I37*'Allometric tree'!BK37/100)</f>
        <v>#NAME?</v>
      </c>
      <c r="S37" s="30" t="e">
        <f aca="false">M37*'Allometric tree'!C37</f>
        <v>#NAME?</v>
      </c>
      <c r="T37" s="30" t="e">
        <f aca="false">N37*'Allometric tree'!C37</f>
        <v>#NAME?</v>
      </c>
      <c r="U37" s="526" t="e">
        <f aca="false">O37*'Allometric tree'!C37</f>
        <v>#NAME?</v>
      </c>
      <c r="V37" s="526" t="e">
        <f aca="false">P37*'Allometric tree'!C37</f>
        <v>#NAME?</v>
      </c>
      <c r="W37" s="526" t="e">
        <f aca="false">Q37*'Allometric tree'!C37</f>
        <v>#NAME?</v>
      </c>
      <c r="X37" s="30" t="e">
        <f aca="false">R37*'Allometric tree'!C37</f>
        <v>#NAME?</v>
      </c>
      <c r="Y37" s="525" t="e">
        <f aca="false">sureau_ini.txt!#ref!</f>
        <v>#NAME?</v>
      </c>
      <c r="Z37" s="527" t="e">
        <f aca="false">AK37/C37</f>
        <v>#NAME?</v>
      </c>
      <c r="AA37" s="525" t="e">
        <f aca="false">sureau_ini.txt!#ref!</f>
        <v>#NAME?</v>
      </c>
      <c r="AB37" s="525" t="e">
        <f aca="false">sureau_ini.txt!#ref!</f>
        <v>#NAME?</v>
      </c>
      <c r="AC37" s="525" t="n">
        <v>1</v>
      </c>
      <c r="AD37" s="72" t="n">
        <v>0.1</v>
      </c>
      <c r="AE37" s="525" t="n">
        <f aca="false">'sureau_ini.txt'!$E$21</f>
        <v>1</v>
      </c>
      <c r="AF37" s="525" t="e">
        <f aca="false">sureau_ini.txt!#ref!+sureau_ini.txt!#ref!</f>
        <v>#NAME?</v>
      </c>
      <c r="AG37" s="525" t="e">
        <f aca="false">sureau_ini.txt!#ref!</f>
        <v>#NAME?</v>
      </c>
      <c r="AH37" s="525" t="e">
        <f aca="false">sureau_ini.txt!#ref!*100</f>
        <v>#NAME?</v>
      </c>
      <c r="AI37" s="75" t="e">
        <f aca="false">AH37/2*Y37</f>
        <v>#NAME?</v>
      </c>
      <c r="AJ37" s="75" t="e">
        <f aca="false">100*(AH37/100-SQRT(AH37/100*AH37/100-4*AW37/1000/AG37/3.1416))/2</f>
        <v>#NAME?</v>
      </c>
      <c r="AK37" s="75" t="e">
        <f aca="false">(3.1416/4*(AH37^2)-3.1416*(AH37/2-AI37)^2)/10000</f>
        <v>#NAME?</v>
      </c>
      <c r="AL37" s="75" t="e">
        <f aca="false">AK37*AF37</f>
        <v>#NAME?</v>
      </c>
      <c r="AM37" s="75" t="e">
        <f aca="false">AL37*AA37*1000</f>
        <v>#NAME?</v>
      </c>
      <c r="AN37" s="75" t="e">
        <f aca="false">AL37*1000*AB37</f>
        <v>#NAME?</v>
      </c>
      <c r="AO37" s="75" t="e">
        <f aca="false">AK37*AG37</f>
        <v>#NAME?</v>
      </c>
      <c r="AP37" s="75" t="e">
        <f aca="false">AH37*AH37*3.1416/4/C37</f>
        <v>#NAME?</v>
      </c>
      <c r="AQ37" s="75" t="e">
        <f aca="false">AK37*10000/C37</f>
        <v>#NAME?</v>
      </c>
      <c r="AR37" s="525" t="e">
        <f aca="false">(sureau_ini.txt!#ref!/2*sureau_ini.txt!#ref!/2*3.1416)</f>
        <v>#NAME?</v>
      </c>
      <c r="AS37" s="525" t="e">
        <f aca="false">C37/AR37</f>
        <v>#NAME?</v>
      </c>
      <c r="AT37" s="75" t="e">
        <f aca="false">10000/AR37</f>
        <v>#NAME?</v>
      </c>
      <c r="AU37" s="75" t="e">
        <f aca="false">AH37*AH37*3.1416/4/10000*AT37</f>
        <v>#NAME?</v>
      </c>
      <c r="AV37" s="528" t="e">
        <f aca="false">AO37*AA37*1000</f>
        <v>#NAME?</v>
      </c>
      <c r="AW37" s="528" t="e">
        <f aca="false">AO37*1000*AB37</f>
        <v>#NAME?</v>
      </c>
      <c r="AX37" s="528" t="e">
        <f aca="false">AM37-AV37</f>
        <v>#NAME?</v>
      </c>
      <c r="AY37" s="528" t="e">
        <f aca="false">AN37-AW37</f>
        <v>#NAME?</v>
      </c>
      <c r="AZ37" s="528" t="e">
        <f aca="false">AM37*AC37</f>
        <v>#NAME?</v>
      </c>
      <c r="BA37" s="528" t="e">
        <f aca="false">AN37*AC37</f>
        <v>#NAME?</v>
      </c>
      <c r="BB37" s="528" t="e">
        <f aca="false">3.1416*AH37*AG37/100</f>
        <v>#NAME?</v>
      </c>
      <c r="BC37" s="528" t="e">
        <f aca="false">C37*AD37</f>
        <v>#NAME?</v>
      </c>
      <c r="BD37" s="528" t="e">
        <f aca="false">C37*AE37</f>
        <v>#NAME?</v>
      </c>
      <c r="BE37" s="528" t="e">
        <f aca="false">BD37+BC37*AC37</f>
        <v>#NAME?</v>
      </c>
      <c r="BF37" s="72" t="n">
        <v>20</v>
      </c>
      <c r="BG37" s="72" t="n">
        <v>20</v>
      </c>
      <c r="BH37" s="72" t="n">
        <v>8</v>
      </c>
      <c r="BI37" s="72" t="n">
        <v>2</v>
      </c>
      <c r="BJ37" s="72" t="n">
        <v>10</v>
      </c>
      <c r="BK37" s="72" t="n">
        <v>40</v>
      </c>
      <c r="BL37" s="75" t="n">
        <f aca="false">SUM(BF37:BI37)</f>
        <v>50</v>
      </c>
      <c r="BM37" s="75" t="n">
        <f aca="false">BJ37+BK37</f>
        <v>50</v>
      </c>
      <c r="BN37" s="75" t="n">
        <f aca="false">SUM(BF37:BK37)</f>
        <v>100</v>
      </c>
      <c r="BO37" s="0" t="e">
        <f aca="false">AV37+AW37+AX37+AY37+AZ37+BA37+C37*sureau_ini.txt!#ref!/1000</f>
        <v>#NAME?</v>
      </c>
      <c r="BP37" s="0" t="e">
        <f aca="false">AV37+AX37+AZ37 +C37*sureau_ini.txt!#ref!*sureau_ini.txt!#ref!/1000</f>
        <v>#NAME?</v>
      </c>
      <c r="BQ37" s="0" t="e">
        <f aca="false">BO37-BP37</f>
        <v>#NAME?</v>
      </c>
    </row>
    <row r="38" customFormat="false" ht="15.75" hidden="false" customHeight="false" outlineLevel="0" collapsed="false">
      <c r="A38" s="0" t="e">
        <f aca="false">sureau_ini.txt!#ref!</f>
        <v>#NAME?</v>
      </c>
      <c r="B38" s="525" t="n">
        <f aca="false">VPD_max</f>
        <v>1.26741256491017</v>
      </c>
      <c r="C38" s="525" t="e">
        <f aca="false">sureau_ini.txt!#ref!</f>
        <v>#NAME?</v>
      </c>
      <c r="D38" s="525" t="e">
        <f aca="false">(1/(1/sureau_ini.txt!#ref!+1/(1.5*(0.00662*(sureau_ini.txt!#ref!/sureau_ini.txt!#ref!*1000)^0.5)*1000*40)+1/sureau_ini.txt!#ref!)*B38/101.6)</f>
        <v>#NAME?</v>
      </c>
      <c r="E38" s="525" t="e">
        <f aca="false">sureau_ini.txt!#ref!/(1/sureau_ini.txt!#ref!+1/(1.5*(0.00662*(sureau_ini.txt!#ref!/sureau_ini.txt!#ref!*1000)^0.5)*1000*40)+1/sureau_ini.txt!#ref!)*B38/101.6 + sureau_ini.txt!#ref!/(1/sureau_ini.txt!#ref!+1/(1.5*(0.00662*(sureau_ini.txt!#ref!/sureau_ini.txt!#ref!*1000)^0.5)*1000*40)+1/sureau_ini.txt!#ref!)*B38/101.6 + sureau_ini.txt!#ref!/(1/sureau_ini.txt!#ref!+1/(1.5*(0.00662*(sureau_ini.txt!#ref!/sureau_ini.txt!#ref!*1000)^0.5)*1000*40)+1/sureau_ini.txt!#ref!)*B38/101.6</f>
        <v>#NAME?</v>
      </c>
      <c r="F38" s="75" t="e">
        <f aca="false">E38/1000*18/AK38/100000*3600*C38</f>
        <v>#NAME?</v>
      </c>
      <c r="G38" s="72" t="n">
        <v>-1.5</v>
      </c>
      <c r="H38" s="72" t="n">
        <v>0</v>
      </c>
      <c r="I38" s="75" t="e">
        <f aca="false">E38/(H38-G38)</f>
        <v>#NAME?</v>
      </c>
      <c r="J38" s="75" t="e">
        <f aca="false">I38*C38</f>
        <v>#NAME?</v>
      </c>
      <c r="K38" s="75" t="e">
        <f aca="false">1/I38</f>
        <v>#NAME?</v>
      </c>
      <c r="L38" s="75" t="e">
        <f aca="false">1/J38</f>
        <v>#NAME?</v>
      </c>
      <c r="M38" s="526" t="e">
        <f aca="false">1/(1/'Allometric tree'!I38*'Allometric tree'!BF38/100)</f>
        <v>#NAME?</v>
      </c>
      <c r="N38" s="526" t="e">
        <f aca="false">1/(1/'Allometric tree'!I38*'Allometric tree'!BG38/100)</f>
        <v>#NAME?</v>
      </c>
      <c r="O38" s="30" t="e">
        <f aca="false">1/(1/'Allometric tree'!I38*'Allometric tree'!BH38/100)</f>
        <v>#NAME?</v>
      </c>
      <c r="P38" s="30" t="e">
        <f aca="false">1/(1/'Allometric tree'!I38*'Allometric tree'!BI38/100)</f>
        <v>#NAME?</v>
      </c>
      <c r="Q38" s="30" t="e">
        <f aca="false">1/(1/'Allometric tree'!I38*'Allometric tree'!BJ38/100)</f>
        <v>#NAME?</v>
      </c>
      <c r="R38" s="526" t="e">
        <f aca="false">1/(1/'Allometric tree'!I38*'Allometric tree'!BK38/100)</f>
        <v>#NAME?</v>
      </c>
      <c r="S38" s="30" t="e">
        <f aca="false">M38*'Allometric tree'!C38</f>
        <v>#NAME?</v>
      </c>
      <c r="T38" s="30" t="e">
        <f aca="false">N38*'Allometric tree'!C38</f>
        <v>#NAME?</v>
      </c>
      <c r="U38" s="526" t="e">
        <f aca="false">O38*'Allometric tree'!C38</f>
        <v>#NAME?</v>
      </c>
      <c r="V38" s="526" t="e">
        <f aca="false">P38*'Allometric tree'!C38</f>
        <v>#NAME?</v>
      </c>
      <c r="W38" s="526" t="e">
        <f aca="false">Q38*'Allometric tree'!C38</f>
        <v>#NAME?</v>
      </c>
      <c r="X38" s="30" t="e">
        <f aca="false">R38*'Allometric tree'!C38</f>
        <v>#NAME?</v>
      </c>
      <c r="Y38" s="525" t="e">
        <f aca="false">sureau_ini.txt!#ref!</f>
        <v>#NAME?</v>
      </c>
      <c r="Z38" s="527" t="e">
        <f aca="false">AK38/C38</f>
        <v>#NAME?</v>
      </c>
      <c r="AA38" s="525" t="e">
        <f aca="false">sureau_ini.txt!#ref!</f>
        <v>#NAME?</v>
      </c>
      <c r="AB38" s="525" t="e">
        <f aca="false">sureau_ini.txt!#ref!</f>
        <v>#NAME?</v>
      </c>
      <c r="AC38" s="525" t="n">
        <v>1</v>
      </c>
      <c r="AD38" s="72" t="n">
        <v>0.1</v>
      </c>
      <c r="AE38" s="525" t="n">
        <f aca="false">'sureau_ini.txt'!$E$21</f>
        <v>1</v>
      </c>
      <c r="AF38" s="525" t="e">
        <f aca="false">sureau_ini.txt!#ref!+sureau_ini.txt!#ref!</f>
        <v>#NAME?</v>
      </c>
      <c r="AG38" s="525" t="e">
        <f aca="false">sureau_ini.txt!#ref!</f>
        <v>#NAME?</v>
      </c>
      <c r="AH38" s="525" t="e">
        <f aca="false">sureau_ini.txt!#ref!*100</f>
        <v>#NAME?</v>
      </c>
      <c r="AI38" s="75" t="e">
        <f aca="false">AH38/2*Y38</f>
        <v>#NAME?</v>
      </c>
      <c r="AJ38" s="75" t="e">
        <f aca="false">100*(AH38/100-SQRT(AH38/100*AH38/100-4*AW38/1000/AG38/3.1416))/2</f>
        <v>#NAME?</v>
      </c>
      <c r="AK38" s="75" t="e">
        <f aca="false">(3.1416/4*(AH38^2)-3.1416*(AH38/2-AI38)^2)/10000</f>
        <v>#NAME?</v>
      </c>
      <c r="AL38" s="75" t="e">
        <f aca="false">AK38*AF38</f>
        <v>#NAME?</v>
      </c>
      <c r="AM38" s="75" t="e">
        <f aca="false">AL38*AA38*1000</f>
        <v>#NAME?</v>
      </c>
      <c r="AN38" s="75" t="e">
        <f aca="false">AL38*1000*AB38</f>
        <v>#NAME?</v>
      </c>
      <c r="AO38" s="75" t="e">
        <f aca="false">AK38*AG38</f>
        <v>#NAME?</v>
      </c>
      <c r="AP38" s="75" t="e">
        <f aca="false">AH38*AH38*3.1416/4/C38</f>
        <v>#NAME?</v>
      </c>
      <c r="AQ38" s="75" t="e">
        <f aca="false">AK38*10000/C38</f>
        <v>#NAME?</v>
      </c>
      <c r="AR38" s="525" t="e">
        <f aca="false">(sureau_ini.txt!#ref!/2*sureau_ini.txt!#ref!/2*3.1416)</f>
        <v>#NAME?</v>
      </c>
      <c r="AS38" s="525" t="e">
        <f aca="false">C38/AR38</f>
        <v>#NAME?</v>
      </c>
      <c r="AT38" s="75" t="e">
        <f aca="false">10000/AR38</f>
        <v>#NAME?</v>
      </c>
      <c r="AU38" s="75" t="e">
        <f aca="false">AH38*AH38*3.1416/4/10000*AT38</f>
        <v>#NAME?</v>
      </c>
      <c r="AV38" s="528" t="e">
        <f aca="false">AO38*AA38*1000</f>
        <v>#NAME?</v>
      </c>
      <c r="AW38" s="528" t="e">
        <f aca="false">AO38*1000*AB38</f>
        <v>#NAME?</v>
      </c>
      <c r="AX38" s="528" t="e">
        <f aca="false">AM38-AV38</f>
        <v>#NAME?</v>
      </c>
      <c r="AY38" s="528" t="e">
        <f aca="false">AN38-AW38</f>
        <v>#NAME?</v>
      </c>
      <c r="AZ38" s="528" t="e">
        <f aca="false">AM38*AC38</f>
        <v>#NAME?</v>
      </c>
      <c r="BA38" s="528" t="e">
        <f aca="false">AN38*AC38</f>
        <v>#NAME?</v>
      </c>
      <c r="BB38" s="528" t="e">
        <f aca="false">3.1416*AH38*AG38/100</f>
        <v>#NAME?</v>
      </c>
      <c r="BC38" s="528" t="e">
        <f aca="false">C38*AD38</f>
        <v>#NAME?</v>
      </c>
      <c r="BD38" s="528" t="e">
        <f aca="false">C38*AE38</f>
        <v>#NAME?</v>
      </c>
      <c r="BE38" s="528" t="e">
        <f aca="false">BD38+BC38*AC38</f>
        <v>#NAME?</v>
      </c>
      <c r="BF38" s="72" t="n">
        <v>20</v>
      </c>
      <c r="BG38" s="72" t="n">
        <v>20</v>
      </c>
      <c r="BH38" s="72" t="n">
        <v>8</v>
      </c>
      <c r="BI38" s="72" t="n">
        <v>2</v>
      </c>
      <c r="BJ38" s="72" t="n">
        <v>10</v>
      </c>
      <c r="BK38" s="72" t="n">
        <v>40</v>
      </c>
      <c r="BL38" s="75" t="n">
        <f aca="false">SUM(BF38:BI38)</f>
        <v>50</v>
      </c>
      <c r="BM38" s="75" t="n">
        <f aca="false">BJ38+BK38</f>
        <v>50</v>
      </c>
      <c r="BN38" s="75" t="n">
        <f aca="false">SUM(BF38:BK38)</f>
        <v>100</v>
      </c>
      <c r="BO38" s="0" t="e">
        <f aca="false">AV38+AW38+AX38+AY38+AZ38+BA38+C38*sureau_ini.txt!#ref!/1000</f>
        <v>#NAME?</v>
      </c>
      <c r="BP38" s="0" t="e">
        <f aca="false">AV38+AX38+AZ38 +C38*sureau_ini.txt!#ref!*sureau_ini.txt!#ref!/1000</f>
        <v>#NAME?</v>
      </c>
      <c r="BQ38" s="0" t="e">
        <f aca="false">BO38-BP38</f>
        <v>#NAME?</v>
      </c>
    </row>
    <row r="39" customFormat="false" ht="15.75" hidden="false" customHeight="false" outlineLevel="0" collapsed="false">
      <c r="A39" s="0" t="e">
        <f aca="false">sureau_ini.txt!#ref!</f>
        <v>#NAME?</v>
      </c>
      <c r="B39" s="525" t="n">
        <f aca="false">VPD_max</f>
        <v>1.26741256491017</v>
      </c>
      <c r="C39" s="525" t="e">
        <f aca="false">sureau_ini.txt!#ref!</f>
        <v>#NAME?</v>
      </c>
      <c r="D39" s="525" t="e">
        <f aca="false">(1/(1/sureau_ini.txt!#ref!+1/(1.5*(0.00662*(sureau_ini.txt!#ref!/sureau_ini.txt!#ref!*1000)^0.5)*1000*40)+1/sureau_ini.txt!#ref!)*B39/101.6)</f>
        <v>#NAME?</v>
      </c>
      <c r="E39" s="525" t="e">
        <f aca="false">sureau_ini.txt!#ref!/(1/sureau_ini.txt!#ref!+1/(1.5*(0.00662*(sureau_ini.txt!#ref!/sureau_ini.txt!#ref!*1000)^0.5)*1000*40)+1/sureau_ini.txt!#ref!)*B39/101.6 + sureau_ini.txt!#ref!/(1/sureau_ini.txt!#ref!+1/(1.5*(0.00662*(sureau_ini.txt!#ref!/sureau_ini.txt!#ref!*1000)^0.5)*1000*40)+1/sureau_ini.txt!#ref!)*B39/101.6 + sureau_ini.txt!#ref!/(1/sureau_ini.txt!#ref!+1/(1.5*(0.00662*(sureau_ini.txt!#ref!/sureau_ini.txt!#ref!*1000)^0.5)*1000*40)+1/sureau_ini.txt!#ref!)*B39/101.6</f>
        <v>#NAME?</v>
      </c>
      <c r="F39" s="75" t="e">
        <f aca="false">E39/1000*18/AK39/100000*3600*C39</f>
        <v>#NAME?</v>
      </c>
      <c r="G39" s="72" t="n">
        <v>-1.5</v>
      </c>
      <c r="H39" s="72" t="n">
        <v>0</v>
      </c>
      <c r="I39" s="75" t="e">
        <f aca="false">E39/(H39-G39)</f>
        <v>#NAME?</v>
      </c>
      <c r="J39" s="75" t="e">
        <f aca="false">I39*C39</f>
        <v>#NAME?</v>
      </c>
      <c r="K39" s="75" t="e">
        <f aca="false">1/I39</f>
        <v>#NAME?</v>
      </c>
      <c r="L39" s="75" t="e">
        <f aca="false">1/J39</f>
        <v>#NAME?</v>
      </c>
      <c r="M39" s="526" t="e">
        <f aca="false">1/(1/'Allometric tree'!I39*'Allometric tree'!BF39/100)</f>
        <v>#NAME?</v>
      </c>
      <c r="N39" s="526" t="e">
        <f aca="false">1/(1/'Allometric tree'!I39*'Allometric tree'!BG39/100)</f>
        <v>#NAME?</v>
      </c>
      <c r="O39" s="30" t="e">
        <f aca="false">1/(1/'Allometric tree'!I39*'Allometric tree'!BH39/100)</f>
        <v>#NAME?</v>
      </c>
      <c r="P39" s="30" t="e">
        <f aca="false">1/(1/'Allometric tree'!I39*'Allometric tree'!BI39/100)</f>
        <v>#NAME?</v>
      </c>
      <c r="Q39" s="30" t="e">
        <f aca="false">1/(1/'Allometric tree'!I39*'Allometric tree'!BJ39/100)</f>
        <v>#NAME?</v>
      </c>
      <c r="R39" s="526" t="e">
        <f aca="false">1/(1/'Allometric tree'!I39*'Allometric tree'!BK39/100)</f>
        <v>#NAME?</v>
      </c>
      <c r="S39" s="30" t="e">
        <f aca="false">M39*'Allometric tree'!C39</f>
        <v>#NAME?</v>
      </c>
      <c r="T39" s="30" t="e">
        <f aca="false">N39*'Allometric tree'!C39</f>
        <v>#NAME?</v>
      </c>
      <c r="U39" s="526" t="e">
        <f aca="false">O39*'Allometric tree'!C39</f>
        <v>#NAME?</v>
      </c>
      <c r="V39" s="526" t="e">
        <f aca="false">P39*'Allometric tree'!C39</f>
        <v>#NAME?</v>
      </c>
      <c r="W39" s="526" t="e">
        <f aca="false">Q39*'Allometric tree'!C39</f>
        <v>#NAME?</v>
      </c>
      <c r="X39" s="30" t="e">
        <f aca="false">R39*'Allometric tree'!C39</f>
        <v>#NAME?</v>
      </c>
      <c r="Y39" s="525" t="e">
        <f aca="false">sureau_ini.txt!#ref!</f>
        <v>#NAME?</v>
      </c>
      <c r="Z39" s="527" t="e">
        <f aca="false">AK39/C39</f>
        <v>#NAME?</v>
      </c>
      <c r="AA39" s="525" t="e">
        <f aca="false">sureau_ini.txt!#ref!</f>
        <v>#NAME?</v>
      </c>
      <c r="AB39" s="525" t="e">
        <f aca="false">sureau_ini.txt!#ref!</f>
        <v>#NAME?</v>
      </c>
      <c r="AC39" s="525" t="n">
        <v>1</v>
      </c>
      <c r="AD39" s="72" t="n">
        <v>0.1</v>
      </c>
      <c r="AE39" s="525" t="n">
        <f aca="false">'sureau_ini.txt'!$E$21</f>
        <v>1</v>
      </c>
      <c r="AF39" s="525" t="e">
        <f aca="false">sureau_ini.txt!#ref!+sureau_ini.txt!#ref!</f>
        <v>#NAME?</v>
      </c>
      <c r="AG39" s="525" t="e">
        <f aca="false">sureau_ini.txt!#ref!</f>
        <v>#NAME?</v>
      </c>
      <c r="AH39" s="525" t="e">
        <f aca="false">sureau_ini.txt!#ref!*100</f>
        <v>#NAME?</v>
      </c>
      <c r="AI39" s="75" t="e">
        <f aca="false">AH39/2*Y39</f>
        <v>#NAME?</v>
      </c>
      <c r="AJ39" s="75" t="e">
        <f aca="false">100*(AH39/100-SQRT(AH39/100*AH39/100-4*AW39/1000/AG39/3.1416))/2</f>
        <v>#NAME?</v>
      </c>
      <c r="AK39" s="75" t="e">
        <f aca="false">(3.1416/4*(AH39^2)-3.1416*(AH39/2-AI39)^2)/10000</f>
        <v>#NAME?</v>
      </c>
      <c r="AL39" s="75" t="e">
        <f aca="false">AK39*AF39</f>
        <v>#NAME?</v>
      </c>
      <c r="AM39" s="75" t="e">
        <f aca="false">AL39*AA39*1000</f>
        <v>#NAME?</v>
      </c>
      <c r="AN39" s="75" t="e">
        <f aca="false">AL39*1000*AB39</f>
        <v>#NAME?</v>
      </c>
      <c r="AO39" s="75" t="e">
        <f aca="false">AK39*AG39</f>
        <v>#NAME?</v>
      </c>
      <c r="AP39" s="75" t="e">
        <f aca="false">AH39*AH39*3.1416/4/C39</f>
        <v>#NAME?</v>
      </c>
      <c r="AQ39" s="75" t="e">
        <f aca="false">AK39*10000/C39</f>
        <v>#NAME?</v>
      </c>
      <c r="AR39" s="525" t="e">
        <f aca="false">(sureau_ini.txt!#ref!/2*sureau_ini.txt!#ref!/2*3.1416)</f>
        <v>#NAME?</v>
      </c>
      <c r="AS39" s="525" t="e">
        <f aca="false">C39/AR39</f>
        <v>#NAME?</v>
      </c>
      <c r="AT39" s="75" t="e">
        <f aca="false">10000/AR39</f>
        <v>#NAME?</v>
      </c>
      <c r="AU39" s="75" t="e">
        <f aca="false">AH39*AH39*3.1416/4/10000*AT39</f>
        <v>#NAME?</v>
      </c>
      <c r="AV39" s="528" t="e">
        <f aca="false">AO39*AA39*1000</f>
        <v>#NAME?</v>
      </c>
      <c r="AW39" s="528" t="e">
        <f aca="false">AO39*1000*AB39</f>
        <v>#NAME?</v>
      </c>
      <c r="AX39" s="528" t="e">
        <f aca="false">AM39-AV39</f>
        <v>#NAME?</v>
      </c>
      <c r="AY39" s="528" t="e">
        <f aca="false">AN39-AW39</f>
        <v>#NAME?</v>
      </c>
      <c r="AZ39" s="528" t="e">
        <f aca="false">AM39*AC39</f>
        <v>#NAME?</v>
      </c>
      <c r="BA39" s="528" t="e">
        <f aca="false">AN39*AC39</f>
        <v>#NAME?</v>
      </c>
      <c r="BB39" s="528" t="e">
        <f aca="false">3.1416*AH39*AG39/100</f>
        <v>#NAME?</v>
      </c>
      <c r="BC39" s="528" t="e">
        <f aca="false">C39*AD39</f>
        <v>#NAME?</v>
      </c>
      <c r="BD39" s="528" t="e">
        <f aca="false">C39*AE39</f>
        <v>#NAME?</v>
      </c>
      <c r="BE39" s="528" t="e">
        <f aca="false">BD39+BC39*AC39</f>
        <v>#NAME?</v>
      </c>
      <c r="BF39" s="72" t="n">
        <v>20</v>
      </c>
      <c r="BG39" s="72" t="n">
        <v>20</v>
      </c>
      <c r="BH39" s="72" t="n">
        <v>8</v>
      </c>
      <c r="BI39" s="72" t="n">
        <v>2</v>
      </c>
      <c r="BJ39" s="72" t="n">
        <v>10</v>
      </c>
      <c r="BK39" s="72" t="n">
        <v>40</v>
      </c>
      <c r="BL39" s="75" t="n">
        <f aca="false">SUM(BF39:BI39)</f>
        <v>50</v>
      </c>
      <c r="BM39" s="75" t="n">
        <f aca="false">BJ39+BK39</f>
        <v>50</v>
      </c>
      <c r="BN39" s="75" t="n">
        <f aca="false">SUM(BF39:BK39)</f>
        <v>100</v>
      </c>
      <c r="BO39" s="0" t="e">
        <f aca="false">AV39+AW39+AX39+AY39+AZ39+BA39+C39*sureau_ini.txt!#ref!/1000</f>
        <v>#NAME?</v>
      </c>
      <c r="BP39" s="0" t="e">
        <f aca="false">AV39+AX39+AZ39 +C39*sureau_ini.txt!#ref!*sureau_ini.txt!#ref!/1000</f>
        <v>#NAME?</v>
      </c>
      <c r="BQ39" s="0" t="e">
        <f aca="false">BO39-BP39</f>
        <v>#NAME?</v>
      </c>
    </row>
    <row r="40" customFormat="false" ht="15.75" hidden="false" customHeight="false" outlineLevel="0" collapsed="false">
      <c r="A40" s="0" t="e">
        <f aca="false">sureau_ini.txt!#ref!</f>
        <v>#NAME?</v>
      </c>
      <c r="B40" s="525" t="n">
        <f aca="false">VPD_max</f>
        <v>1.26741256491017</v>
      </c>
      <c r="C40" s="525" t="e">
        <f aca="false">sureau_ini.txt!#ref!</f>
        <v>#NAME?</v>
      </c>
      <c r="D40" s="525" t="e">
        <f aca="false">(1/(1/sureau_ini.txt!#ref!+1/(1.5*(0.00662*(sureau_ini.txt!#ref!/sureau_ini.txt!#ref!*1000)^0.5)*1000*40)+1/sureau_ini.txt!#ref!)*B40/101.6)</f>
        <v>#NAME?</v>
      </c>
      <c r="E40" s="525" t="e">
        <f aca="false">sureau_ini.txt!#ref!/(1/sureau_ini.txt!#ref!+1/(1.5*(0.00662*(sureau_ini.txt!#ref!/sureau_ini.txt!#ref!*1000)^0.5)*1000*40)+1/sureau_ini.txt!#ref!)*B40/101.6 + sureau_ini.txt!#ref!/(1/sureau_ini.txt!#ref!+1/(1.5*(0.00662*(sureau_ini.txt!#ref!/sureau_ini.txt!#ref!*1000)^0.5)*1000*40)+1/sureau_ini.txt!#ref!)*B40/101.6 + sureau_ini.txt!#ref!/(1/sureau_ini.txt!#ref!+1/(1.5*(0.00662*(sureau_ini.txt!#ref!/sureau_ini.txt!#ref!*1000)^0.5)*1000*40)+1/sureau_ini.txt!#ref!)*B40/101.6</f>
        <v>#NAME?</v>
      </c>
      <c r="F40" s="75" t="e">
        <f aca="false">E40/1000*18/AK40/100000*3600*C40</f>
        <v>#NAME?</v>
      </c>
      <c r="G40" s="72" t="n">
        <v>-1.5</v>
      </c>
      <c r="H40" s="72" t="n">
        <v>0</v>
      </c>
      <c r="I40" s="75" t="e">
        <f aca="false">E40/(H40-G40)</f>
        <v>#NAME?</v>
      </c>
      <c r="J40" s="75" t="e">
        <f aca="false">I40*C40</f>
        <v>#NAME?</v>
      </c>
      <c r="K40" s="75" t="e">
        <f aca="false">1/I40</f>
        <v>#NAME?</v>
      </c>
      <c r="L40" s="75" t="e">
        <f aca="false">1/J40</f>
        <v>#NAME?</v>
      </c>
      <c r="M40" s="526" t="e">
        <f aca="false">1/(1/'Allometric tree'!I40*'Allometric tree'!BF40/100)</f>
        <v>#NAME?</v>
      </c>
      <c r="N40" s="526" t="e">
        <f aca="false">1/(1/'Allometric tree'!I40*'Allometric tree'!BG40/100)</f>
        <v>#NAME?</v>
      </c>
      <c r="O40" s="30" t="e">
        <f aca="false">1/(1/'Allometric tree'!I40*'Allometric tree'!BH40/100)</f>
        <v>#NAME?</v>
      </c>
      <c r="P40" s="30" t="e">
        <f aca="false">1/(1/'Allometric tree'!I40*'Allometric tree'!BI40/100)</f>
        <v>#NAME?</v>
      </c>
      <c r="Q40" s="30" t="e">
        <f aca="false">1/(1/'Allometric tree'!I40*'Allometric tree'!BJ40/100)</f>
        <v>#NAME?</v>
      </c>
      <c r="R40" s="526" t="e">
        <f aca="false">1/(1/'Allometric tree'!I40*'Allometric tree'!BK40/100)</f>
        <v>#NAME?</v>
      </c>
      <c r="S40" s="30" t="e">
        <f aca="false">M40*'Allometric tree'!C40</f>
        <v>#NAME?</v>
      </c>
      <c r="T40" s="30" t="e">
        <f aca="false">N40*'Allometric tree'!C40</f>
        <v>#NAME?</v>
      </c>
      <c r="U40" s="526" t="e">
        <f aca="false">O40*'Allometric tree'!C40</f>
        <v>#NAME?</v>
      </c>
      <c r="V40" s="526" t="e">
        <f aca="false">P40*'Allometric tree'!C40</f>
        <v>#NAME?</v>
      </c>
      <c r="W40" s="526" t="e">
        <f aca="false">Q40*'Allometric tree'!C40</f>
        <v>#NAME?</v>
      </c>
      <c r="X40" s="30" t="e">
        <f aca="false">R40*'Allometric tree'!C40</f>
        <v>#NAME?</v>
      </c>
      <c r="Y40" s="525" t="e">
        <f aca="false">sureau_ini.txt!#ref!</f>
        <v>#NAME?</v>
      </c>
      <c r="Z40" s="527" t="e">
        <f aca="false">AK40/C40</f>
        <v>#NAME?</v>
      </c>
      <c r="AA40" s="525" t="e">
        <f aca="false">sureau_ini.txt!#ref!</f>
        <v>#NAME?</v>
      </c>
      <c r="AB40" s="525" t="e">
        <f aca="false">sureau_ini.txt!#ref!</f>
        <v>#NAME?</v>
      </c>
      <c r="AC40" s="525" t="n">
        <v>1</v>
      </c>
      <c r="AD40" s="72" t="n">
        <v>0.1</v>
      </c>
      <c r="AE40" s="525" t="n">
        <f aca="false">'sureau_ini.txt'!$E$21</f>
        <v>1</v>
      </c>
      <c r="AF40" s="525" t="e">
        <f aca="false">sureau_ini.txt!#ref!+sureau_ini.txt!#ref!</f>
        <v>#NAME?</v>
      </c>
      <c r="AG40" s="525" t="e">
        <f aca="false">sureau_ini.txt!#ref!</f>
        <v>#NAME?</v>
      </c>
      <c r="AH40" s="525" t="e">
        <f aca="false">sureau_ini.txt!#ref!*100</f>
        <v>#NAME?</v>
      </c>
      <c r="AI40" s="75" t="e">
        <f aca="false">AH40/2*Y40</f>
        <v>#NAME?</v>
      </c>
      <c r="AJ40" s="75" t="e">
        <f aca="false">100*(AH40/100-SQRT(AH40/100*AH40/100-4*AW40/1000/AG40/3.1416))/2</f>
        <v>#NAME?</v>
      </c>
      <c r="AK40" s="75" t="e">
        <f aca="false">(3.1416/4*(AH40^2)-3.1416*(AH40/2-AI40)^2)/10000</f>
        <v>#NAME?</v>
      </c>
      <c r="AL40" s="75" t="e">
        <f aca="false">AK40*AF40</f>
        <v>#NAME?</v>
      </c>
      <c r="AM40" s="75" t="e">
        <f aca="false">AL40*AA40*1000</f>
        <v>#NAME?</v>
      </c>
      <c r="AN40" s="75" t="e">
        <f aca="false">AL40*1000*AB40</f>
        <v>#NAME?</v>
      </c>
      <c r="AO40" s="75" t="e">
        <f aca="false">AK40*AG40</f>
        <v>#NAME?</v>
      </c>
      <c r="AP40" s="75" t="e">
        <f aca="false">AH40*AH40*3.1416/4/C40</f>
        <v>#NAME?</v>
      </c>
      <c r="AQ40" s="75" t="e">
        <f aca="false">AK40*10000/C40</f>
        <v>#NAME?</v>
      </c>
      <c r="AR40" s="525" t="e">
        <f aca="false">(sureau_ini.txt!#ref!/2*sureau_ini.txt!#ref!/2*3.1416)</f>
        <v>#NAME?</v>
      </c>
      <c r="AS40" s="525" t="e">
        <f aca="false">C40/AR40</f>
        <v>#NAME?</v>
      </c>
      <c r="AT40" s="75" t="e">
        <f aca="false">10000/AR40</f>
        <v>#NAME?</v>
      </c>
      <c r="AU40" s="75" t="e">
        <f aca="false">AH40*AH40*3.1416/4/10000*AT40</f>
        <v>#NAME?</v>
      </c>
      <c r="AV40" s="528" t="e">
        <f aca="false">AO40*AA40*1000</f>
        <v>#NAME?</v>
      </c>
      <c r="AW40" s="528" t="e">
        <f aca="false">AO40*1000*AB40</f>
        <v>#NAME?</v>
      </c>
      <c r="AX40" s="528" t="e">
        <f aca="false">AM40-AV40</f>
        <v>#NAME?</v>
      </c>
      <c r="AY40" s="528" t="e">
        <f aca="false">AN40-AW40</f>
        <v>#NAME?</v>
      </c>
      <c r="AZ40" s="528" t="e">
        <f aca="false">AM40*AC40</f>
        <v>#NAME?</v>
      </c>
      <c r="BA40" s="528" t="e">
        <f aca="false">AN40*AC40</f>
        <v>#NAME?</v>
      </c>
      <c r="BB40" s="528" t="e">
        <f aca="false">3.1416*AH40*AG40/100</f>
        <v>#NAME?</v>
      </c>
      <c r="BC40" s="528" t="e">
        <f aca="false">C40*AD40</f>
        <v>#NAME?</v>
      </c>
      <c r="BD40" s="528" t="e">
        <f aca="false">C40*AE40</f>
        <v>#NAME?</v>
      </c>
      <c r="BE40" s="528" t="e">
        <f aca="false">BD40+BC40*AC40</f>
        <v>#NAME?</v>
      </c>
      <c r="BF40" s="72" t="n">
        <v>20</v>
      </c>
      <c r="BG40" s="72" t="n">
        <v>20</v>
      </c>
      <c r="BH40" s="72" t="n">
        <v>8</v>
      </c>
      <c r="BI40" s="72" t="n">
        <v>2</v>
      </c>
      <c r="BJ40" s="72" t="n">
        <v>10</v>
      </c>
      <c r="BK40" s="72" t="n">
        <v>40</v>
      </c>
      <c r="BL40" s="75" t="n">
        <f aca="false">SUM(BF40:BI40)</f>
        <v>50</v>
      </c>
      <c r="BM40" s="75" t="n">
        <f aca="false">BJ40+BK40</f>
        <v>50</v>
      </c>
      <c r="BN40" s="75" t="n">
        <f aca="false">SUM(BF40:BK40)</f>
        <v>100</v>
      </c>
      <c r="BO40" s="0" t="e">
        <f aca="false">AV40+AW40+AX40+AY40+AZ40+BA40+C40*sureau_ini.txt!#ref!/1000</f>
        <v>#NAME?</v>
      </c>
      <c r="BP40" s="0" t="e">
        <f aca="false">AV40+AX40+AZ40 +C40*sureau_ini.txt!#ref!*sureau_ini.txt!#ref!/1000</f>
        <v>#NAME?</v>
      </c>
      <c r="BQ40" s="0" t="e">
        <f aca="false">BO40-BP40</f>
        <v>#NAME?</v>
      </c>
    </row>
    <row r="41" customFormat="false" ht="15.75" hidden="false" customHeight="false" outlineLevel="0" collapsed="false">
      <c r="A41" s="0" t="e">
        <f aca="false">sureau_ini.txt!#ref!</f>
        <v>#NAME?</v>
      </c>
      <c r="B41" s="525" t="n">
        <f aca="false">VPD_max</f>
        <v>1.26741256491017</v>
      </c>
      <c r="C41" s="525" t="e">
        <f aca="false">sureau_ini.txt!#ref!</f>
        <v>#NAME?</v>
      </c>
      <c r="D41" s="525" t="e">
        <f aca="false">(1/(1/sureau_ini.txt!#ref!+1/(1.5*(0.00662*(sureau_ini.txt!#ref!/sureau_ini.txt!#ref!*1000)^0.5)*1000*40)+1/sureau_ini.txt!#ref!)*B41/101.6)</f>
        <v>#NAME?</v>
      </c>
      <c r="E41" s="525" t="e">
        <f aca="false">sureau_ini.txt!#ref!/(1/sureau_ini.txt!#ref!+1/(1.5*(0.00662*(sureau_ini.txt!#ref!/sureau_ini.txt!#ref!*1000)^0.5)*1000*40)+1/sureau_ini.txt!#ref!)*B41/101.6 + sureau_ini.txt!#ref!/(1/sureau_ini.txt!#ref!+1/(1.5*(0.00662*(sureau_ini.txt!#ref!/sureau_ini.txt!#ref!*1000)^0.5)*1000*40)+1/sureau_ini.txt!#ref!)*B41/101.6 + sureau_ini.txt!#ref!/(1/sureau_ini.txt!#ref!+1/(1.5*(0.00662*(sureau_ini.txt!#ref!/sureau_ini.txt!#ref!*1000)^0.5)*1000*40)+1/sureau_ini.txt!#ref!)*B41/101.6</f>
        <v>#NAME?</v>
      </c>
      <c r="F41" s="75" t="e">
        <f aca="false">E41/1000*18/AK41/100000*3600*C41</f>
        <v>#NAME?</v>
      </c>
      <c r="G41" s="72" t="n">
        <v>-1.5</v>
      </c>
      <c r="H41" s="72" t="n">
        <v>0</v>
      </c>
      <c r="I41" s="75" t="e">
        <f aca="false">E41/(H41-G41)</f>
        <v>#NAME?</v>
      </c>
      <c r="J41" s="75" t="e">
        <f aca="false">I41*C41</f>
        <v>#NAME?</v>
      </c>
      <c r="K41" s="75" t="e">
        <f aca="false">1/I41</f>
        <v>#NAME?</v>
      </c>
      <c r="L41" s="75" t="e">
        <f aca="false">1/J41</f>
        <v>#NAME?</v>
      </c>
      <c r="M41" s="526" t="e">
        <f aca="false">1/(1/'Allometric tree'!I41*'Allometric tree'!BF41/100)</f>
        <v>#NAME?</v>
      </c>
      <c r="N41" s="526" t="e">
        <f aca="false">1/(1/'Allometric tree'!I41*'Allometric tree'!BG41/100)</f>
        <v>#NAME?</v>
      </c>
      <c r="O41" s="30" t="e">
        <f aca="false">1/(1/'Allometric tree'!I41*'Allometric tree'!BH41/100)</f>
        <v>#NAME?</v>
      </c>
      <c r="P41" s="30" t="e">
        <f aca="false">1/(1/'Allometric tree'!I41*'Allometric tree'!BI41/100)</f>
        <v>#NAME?</v>
      </c>
      <c r="Q41" s="30" t="e">
        <f aca="false">1/(1/'Allometric tree'!I41*'Allometric tree'!BJ41/100)</f>
        <v>#NAME?</v>
      </c>
      <c r="R41" s="526" t="e">
        <f aca="false">1/(1/'Allometric tree'!I41*'Allometric tree'!BK41/100)</f>
        <v>#NAME?</v>
      </c>
      <c r="S41" s="30" t="e">
        <f aca="false">M41*'Allometric tree'!C41</f>
        <v>#NAME?</v>
      </c>
      <c r="T41" s="30" t="e">
        <f aca="false">N41*'Allometric tree'!C41</f>
        <v>#NAME?</v>
      </c>
      <c r="U41" s="526" t="e">
        <f aca="false">O41*'Allometric tree'!C41</f>
        <v>#NAME?</v>
      </c>
      <c r="V41" s="526" t="e">
        <f aca="false">P41*'Allometric tree'!C41</f>
        <v>#NAME?</v>
      </c>
      <c r="W41" s="526" t="e">
        <f aca="false">Q41*'Allometric tree'!C41</f>
        <v>#NAME?</v>
      </c>
      <c r="X41" s="30" t="e">
        <f aca="false">R41*'Allometric tree'!C41</f>
        <v>#NAME?</v>
      </c>
      <c r="Y41" s="525" t="e">
        <f aca="false">sureau_ini.txt!#ref!</f>
        <v>#NAME?</v>
      </c>
      <c r="Z41" s="527" t="e">
        <f aca="false">AK41/C41</f>
        <v>#NAME?</v>
      </c>
      <c r="AA41" s="525" t="e">
        <f aca="false">sureau_ini.txt!#ref!</f>
        <v>#NAME?</v>
      </c>
      <c r="AB41" s="525" t="e">
        <f aca="false">sureau_ini.txt!#ref!</f>
        <v>#NAME?</v>
      </c>
      <c r="AC41" s="525" t="n">
        <v>1</v>
      </c>
      <c r="AD41" s="72" t="n">
        <v>0.1</v>
      </c>
      <c r="AE41" s="525" t="n">
        <f aca="false">'sureau_ini.txt'!$E$21</f>
        <v>1</v>
      </c>
      <c r="AF41" s="525" t="e">
        <f aca="false">sureau_ini.txt!#ref!+sureau_ini.txt!#ref!</f>
        <v>#NAME?</v>
      </c>
      <c r="AG41" s="525" t="e">
        <f aca="false">sureau_ini.txt!#ref!</f>
        <v>#NAME?</v>
      </c>
      <c r="AH41" s="525" t="e">
        <f aca="false">sureau_ini.txt!#ref!*100</f>
        <v>#NAME?</v>
      </c>
      <c r="AI41" s="75" t="e">
        <f aca="false">AH41/2*Y41</f>
        <v>#NAME?</v>
      </c>
      <c r="AJ41" s="75" t="e">
        <f aca="false">100*(AH41/100-SQRT(AH41/100*AH41/100-4*AW41/1000/AG41/3.1416))/2</f>
        <v>#NAME?</v>
      </c>
      <c r="AK41" s="75" t="e">
        <f aca="false">(3.1416/4*(AH41^2)-3.1416*(AH41/2-AI41)^2)/10000</f>
        <v>#NAME?</v>
      </c>
      <c r="AL41" s="75" t="e">
        <f aca="false">AK41*AF41</f>
        <v>#NAME?</v>
      </c>
      <c r="AM41" s="75" t="e">
        <f aca="false">AL41*AA41*1000</f>
        <v>#NAME?</v>
      </c>
      <c r="AN41" s="75" t="e">
        <f aca="false">AL41*1000*AB41</f>
        <v>#NAME?</v>
      </c>
      <c r="AO41" s="75" t="e">
        <f aca="false">AK41*AG41</f>
        <v>#NAME?</v>
      </c>
      <c r="AP41" s="75" t="e">
        <f aca="false">AH41*AH41*3.1416/4/C41</f>
        <v>#NAME?</v>
      </c>
      <c r="AQ41" s="75" t="e">
        <f aca="false">AK41*10000/C41</f>
        <v>#NAME?</v>
      </c>
      <c r="AR41" s="525" t="e">
        <f aca="false">(sureau_ini.txt!#ref!/2*sureau_ini.txt!#ref!/2*3.1416)</f>
        <v>#NAME?</v>
      </c>
      <c r="AS41" s="525" t="e">
        <f aca="false">C41/AR41</f>
        <v>#NAME?</v>
      </c>
      <c r="AT41" s="75" t="e">
        <f aca="false">10000/AR41</f>
        <v>#NAME?</v>
      </c>
      <c r="AU41" s="75" t="e">
        <f aca="false">AH41*AH41*3.1416/4/10000*AT41</f>
        <v>#NAME?</v>
      </c>
      <c r="AV41" s="528" t="e">
        <f aca="false">AO41*AA41*1000</f>
        <v>#NAME?</v>
      </c>
      <c r="AW41" s="528" t="e">
        <f aca="false">AO41*1000*AB41</f>
        <v>#NAME?</v>
      </c>
      <c r="AX41" s="528" t="e">
        <f aca="false">AM41-AV41</f>
        <v>#NAME?</v>
      </c>
      <c r="AY41" s="528" t="e">
        <f aca="false">AN41-AW41</f>
        <v>#NAME?</v>
      </c>
      <c r="AZ41" s="528" t="e">
        <f aca="false">AM41*AC41</f>
        <v>#NAME?</v>
      </c>
      <c r="BA41" s="528" t="e">
        <f aca="false">AN41*AC41</f>
        <v>#NAME?</v>
      </c>
      <c r="BB41" s="528" t="e">
        <f aca="false">3.1416*AH41*AG41/100</f>
        <v>#NAME?</v>
      </c>
      <c r="BC41" s="528" t="e">
        <f aca="false">C41*AD41</f>
        <v>#NAME?</v>
      </c>
      <c r="BD41" s="528" t="e">
        <f aca="false">C41*AE41</f>
        <v>#NAME?</v>
      </c>
      <c r="BE41" s="528" t="e">
        <f aca="false">BD41+BC41*AC41</f>
        <v>#NAME?</v>
      </c>
      <c r="BF41" s="72" t="n">
        <v>20</v>
      </c>
      <c r="BG41" s="72" t="n">
        <v>20</v>
      </c>
      <c r="BH41" s="72" t="n">
        <v>8</v>
      </c>
      <c r="BI41" s="72" t="n">
        <v>2</v>
      </c>
      <c r="BJ41" s="72" t="n">
        <v>10</v>
      </c>
      <c r="BK41" s="72" t="n">
        <v>40</v>
      </c>
      <c r="BL41" s="75" t="n">
        <f aca="false">SUM(BF41:BI41)</f>
        <v>50</v>
      </c>
      <c r="BM41" s="75" t="n">
        <f aca="false">BJ41+BK41</f>
        <v>50</v>
      </c>
      <c r="BN41" s="75" t="n">
        <f aca="false">SUM(BF41:BK41)</f>
        <v>100</v>
      </c>
      <c r="BO41" s="0" t="e">
        <f aca="false">AV41+AW41+AX41+AY41+AZ41+BA41+C41*sureau_ini.txt!#ref!/1000</f>
        <v>#NAME?</v>
      </c>
      <c r="BP41" s="0" t="e">
        <f aca="false">AV41+AX41+AZ41 +C41*sureau_ini.txt!#ref!*sureau_ini.txt!#ref!/1000</f>
        <v>#NAME?</v>
      </c>
      <c r="BQ41" s="0" t="e">
        <f aca="false">BO41-BP41</f>
        <v>#NAME?</v>
      </c>
    </row>
    <row r="42" customFormat="false" ht="15.75" hidden="false" customHeight="false" outlineLevel="0" collapsed="false">
      <c r="A42" s="0" t="e">
        <f aca="false">sureau_ini.txt!#ref!</f>
        <v>#NAME?</v>
      </c>
      <c r="B42" s="525" t="n">
        <f aca="false">VPD_max</f>
        <v>1.26741256491017</v>
      </c>
      <c r="C42" s="525" t="e">
        <f aca="false">sureau_ini.txt!#ref!</f>
        <v>#NAME?</v>
      </c>
      <c r="D42" s="525" t="e">
        <f aca="false">(1/(1/sureau_ini.txt!#ref!+1/(1.5*(0.00662*(sureau_ini.txt!#ref!/sureau_ini.txt!#ref!*1000)^0.5)*1000*40)+1/sureau_ini.txt!#ref!)*B42/101.6)</f>
        <v>#NAME?</v>
      </c>
      <c r="E42" s="525" t="e">
        <f aca="false">sureau_ini.txt!#ref!/(1/sureau_ini.txt!#ref!+1/(1.5*(0.00662*(sureau_ini.txt!#ref!/sureau_ini.txt!#ref!*1000)^0.5)*1000*40)+1/sureau_ini.txt!#ref!)*B42/101.6 + sureau_ini.txt!#ref!/(1/sureau_ini.txt!#ref!+1/(1.5*(0.00662*(sureau_ini.txt!#ref!/sureau_ini.txt!#ref!*1000)^0.5)*1000*40)+1/sureau_ini.txt!#ref!)*B42/101.6 + sureau_ini.txt!#ref!/(1/sureau_ini.txt!#ref!+1/(1.5*(0.00662*(sureau_ini.txt!#ref!/sureau_ini.txt!#ref!*1000)^0.5)*1000*40)+1/sureau_ini.txt!#ref!)*B42/101.6</f>
        <v>#NAME?</v>
      </c>
      <c r="F42" s="75" t="e">
        <f aca="false">E42/1000*18/AK42/100000*3600*C42</f>
        <v>#NAME?</v>
      </c>
      <c r="G42" s="72" t="n">
        <v>-1.5</v>
      </c>
      <c r="H42" s="72" t="n">
        <v>0</v>
      </c>
      <c r="I42" s="75" t="e">
        <f aca="false">E42/(H42-G42)</f>
        <v>#NAME?</v>
      </c>
      <c r="J42" s="75" t="e">
        <f aca="false">I42*C42</f>
        <v>#NAME?</v>
      </c>
      <c r="K42" s="75" t="e">
        <f aca="false">1/I42</f>
        <v>#NAME?</v>
      </c>
      <c r="L42" s="75" t="e">
        <f aca="false">1/J42</f>
        <v>#NAME?</v>
      </c>
      <c r="M42" s="526" t="e">
        <f aca="false">1/(1/'Allometric tree'!I42*'Allometric tree'!BF42/100)</f>
        <v>#NAME?</v>
      </c>
      <c r="N42" s="526" t="e">
        <f aca="false">1/(1/'Allometric tree'!I42*'Allometric tree'!BG42/100)</f>
        <v>#NAME?</v>
      </c>
      <c r="O42" s="30" t="e">
        <f aca="false">1/(1/'Allometric tree'!I42*'Allometric tree'!BH42/100)</f>
        <v>#NAME?</v>
      </c>
      <c r="P42" s="30" t="e">
        <f aca="false">1/(1/'Allometric tree'!I42*'Allometric tree'!BI42/100)</f>
        <v>#NAME?</v>
      </c>
      <c r="Q42" s="30" t="e">
        <f aca="false">1/(1/'Allometric tree'!I42*'Allometric tree'!BJ42/100)</f>
        <v>#NAME?</v>
      </c>
      <c r="R42" s="526" t="e">
        <f aca="false">1/(1/'Allometric tree'!I42*'Allometric tree'!BK42/100)</f>
        <v>#NAME?</v>
      </c>
      <c r="S42" s="30" t="e">
        <f aca="false">M42*'Allometric tree'!C42</f>
        <v>#NAME?</v>
      </c>
      <c r="T42" s="30" t="e">
        <f aca="false">N42*'Allometric tree'!C42</f>
        <v>#NAME?</v>
      </c>
      <c r="U42" s="526" t="e">
        <f aca="false">O42*'Allometric tree'!C42</f>
        <v>#NAME?</v>
      </c>
      <c r="V42" s="526" t="e">
        <f aca="false">P42*'Allometric tree'!C42</f>
        <v>#NAME?</v>
      </c>
      <c r="W42" s="526" t="e">
        <f aca="false">Q42*'Allometric tree'!C42</f>
        <v>#NAME?</v>
      </c>
      <c r="X42" s="30" t="e">
        <f aca="false">R42*'Allometric tree'!C42</f>
        <v>#NAME?</v>
      </c>
      <c r="Y42" s="525" t="e">
        <f aca="false">sureau_ini.txt!#ref!</f>
        <v>#NAME?</v>
      </c>
      <c r="Z42" s="527" t="e">
        <f aca="false">AK42/C42</f>
        <v>#NAME?</v>
      </c>
      <c r="AA42" s="525" t="e">
        <f aca="false">sureau_ini.txt!#ref!</f>
        <v>#NAME?</v>
      </c>
      <c r="AB42" s="525" t="e">
        <f aca="false">sureau_ini.txt!#ref!</f>
        <v>#NAME?</v>
      </c>
      <c r="AC42" s="525" t="n">
        <v>1</v>
      </c>
      <c r="AD42" s="72" t="n">
        <v>0.1</v>
      </c>
      <c r="AE42" s="525" t="n">
        <f aca="false">'sureau_ini.txt'!$E$21</f>
        <v>1</v>
      </c>
      <c r="AF42" s="525" t="e">
        <f aca="false">sureau_ini.txt!#ref!+sureau_ini.txt!#ref!</f>
        <v>#NAME?</v>
      </c>
      <c r="AG42" s="525" t="e">
        <f aca="false">sureau_ini.txt!#ref!</f>
        <v>#NAME?</v>
      </c>
      <c r="AH42" s="525" t="e">
        <f aca="false">sureau_ini.txt!#ref!*100</f>
        <v>#NAME?</v>
      </c>
      <c r="AI42" s="75" t="e">
        <f aca="false">AH42/2*Y42</f>
        <v>#NAME?</v>
      </c>
      <c r="AJ42" s="75" t="e">
        <f aca="false">100*(AH42/100-SQRT(AH42/100*AH42/100-4*AW42/1000/AG42/3.1416))/2</f>
        <v>#NAME?</v>
      </c>
      <c r="AK42" s="75" t="e">
        <f aca="false">(3.1416/4*(AH42^2)-3.1416*(AH42/2-AI42)^2)/10000</f>
        <v>#NAME?</v>
      </c>
      <c r="AL42" s="75" t="e">
        <f aca="false">AK42*AF42</f>
        <v>#NAME?</v>
      </c>
      <c r="AM42" s="75" t="e">
        <f aca="false">AL42*AA42*1000</f>
        <v>#NAME?</v>
      </c>
      <c r="AN42" s="75" t="e">
        <f aca="false">AL42*1000*AB42</f>
        <v>#NAME?</v>
      </c>
      <c r="AO42" s="75" t="e">
        <f aca="false">AK42*AG42</f>
        <v>#NAME?</v>
      </c>
      <c r="AP42" s="75" t="e">
        <f aca="false">AH42*AH42*3.1416/4/C42</f>
        <v>#NAME?</v>
      </c>
      <c r="AQ42" s="75" t="e">
        <f aca="false">AK42*10000/C42</f>
        <v>#NAME?</v>
      </c>
      <c r="AR42" s="525" t="e">
        <f aca="false">(sureau_ini.txt!#ref!/2*sureau_ini.txt!#ref!/2*3.1416)</f>
        <v>#NAME?</v>
      </c>
      <c r="AS42" s="525" t="e">
        <f aca="false">C42/AR42</f>
        <v>#NAME?</v>
      </c>
      <c r="AT42" s="75" t="e">
        <f aca="false">10000/AR42</f>
        <v>#NAME?</v>
      </c>
      <c r="AU42" s="75" t="e">
        <f aca="false">AH42*AH42*3.1416/4/10000*AT42</f>
        <v>#NAME?</v>
      </c>
      <c r="AV42" s="528" t="e">
        <f aca="false">AO42*AA42*1000</f>
        <v>#NAME?</v>
      </c>
      <c r="AW42" s="528" t="e">
        <f aca="false">AO42*1000*AB42</f>
        <v>#NAME?</v>
      </c>
      <c r="AX42" s="528" t="e">
        <f aca="false">AM42-AV42</f>
        <v>#NAME?</v>
      </c>
      <c r="AY42" s="528" t="e">
        <f aca="false">AN42-AW42</f>
        <v>#NAME?</v>
      </c>
      <c r="AZ42" s="528" t="e">
        <f aca="false">AM42*AC42</f>
        <v>#NAME?</v>
      </c>
      <c r="BA42" s="528" t="e">
        <f aca="false">AN42*AC42</f>
        <v>#NAME?</v>
      </c>
      <c r="BB42" s="528" t="e">
        <f aca="false">3.1416*AH42*AG42/100</f>
        <v>#NAME?</v>
      </c>
      <c r="BC42" s="528" t="e">
        <f aca="false">C42*AD42</f>
        <v>#NAME?</v>
      </c>
      <c r="BD42" s="528" t="e">
        <f aca="false">C42*AE42</f>
        <v>#NAME?</v>
      </c>
      <c r="BE42" s="528" t="e">
        <f aca="false">BD42+BC42*AC42</f>
        <v>#NAME?</v>
      </c>
      <c r="BF42" s="72" t="n">
        <v>20</v>
      </c>
      <c r="BG42" s="72" t="n">
        <v>20</v>
      </c>
      <c r="BH42" s="72" t="n">
        <v>8</v>
      </c>
      <c r="BI42" s="72" t="n">
        <v>2</v>
      </c>
      <c r="BJ42" s="72" t="n">
        <v>10</v>
      </c>
      <c r="BK42" s="72" t="n">
        <v>40</v>
      </c>
      <c r="BL42" s="75" t="n">
        <f aca="false">SUM(BF42:BI42)</f>
        <v>50</v>
      </c>
      <c r="BM42" s="75" t="n">
        <f aca="false">BJ42+BK42</f>
        <v>50</v>
      </c>
      <c r="BN42" s="75" t="n">
        <f aca="false">SUM(BF42:BK42)</f>
        <v>100</v>
      </c>
      <c r="BO42" s="0" t="e">
        <f aca="false">AV42+AW42+AX42+AY42+AZ42+BA42+C42*sureau_ini.txt!#ref!/1000</f>
        <v>#NAME?</v>
      </c>
      <c r="BP42" s="0" t="e">
        <f aca="false">AV42+AX42+AZ42 +C42*sureau_ini.txt!#ref!*sureau_ini.txt!#ref!/1000</f>
        <v>#NAME?</v>
      </c>
      <c r="BQ42" s="0" t="e">
        <f aca="false">BO42-BP42</f>
        <v>#NAME?</v>
      </c>
    </row>
    <row r="43" customFormat="false" ht="15.75" hidden="false" customHeight="false" outlineLevel="0" collapsed="false">
      <c r="A43" s="0" t="e">
        <f aca="false">sureau_ini.txt!#ref!</f>
        <v>#NAME?</v>
      </c>
      <c r="B43" s="525" t="n">
        <f aca="false">VPD_max</f>
        <v>1.26741256491017</v>
      </c>
      <c r="C43" s="525" t="e">
        <f aca="false">sureau_ini.txt!#ref!</f>
        <v>#NAME?</v>
      </c>
      <c r="D43" s="525" t="e">
        <f aca="false">(1/(1/sureau_ini.txt!#ref!+1/(1.5*(0.00662*(sureau_ini.txt!#ref!/sureau_ini.txt!#ref!*1000)^0.5)*1000*40)+1/sureau_ini.txt!#ref!)*B43/101.6)</f>
        <v>#NAME?</v>
      </c>
      <c r="E43" s="525" t="e">
        <f aca="false">sureau_ini.txt!#ref!/(1/sureau_ini.txt!#ref!+1/(1.5*(0.00662*(sureau_ini.txt!#ref!/sureau_ini.txt!#ref!*1000)^0.5)*1000*40)+1/sureau_ini.txt!#ref!)*B43/101.6 + sureau_ini.txt!#ref!/(1/sureau_ini.txt!#ref!+1/(1.5*(0.00662*(sureau_ini.txt!#ref!/sureau_ini.txt!#ref!*1000)^0.5)*1000*40)+1/sureau_ini.txt!#ref!)*B43/101.6 + sureau_ini.txt!#ref!/(1/sureau_ini.txt!#ref!+1/(1.5*(0.00662*(sureau_ini.txt!#ref!/sureau_ini.txt!#ref!*1000)^0.5)*1000*40)+1/sureau_ini.txt!#ref!)*B43/101.6</f>
        <v>#NAME?</v>
      </c>
      <c r="F43" s="75" t="e">
        <f aca="false">E43/1000*18/AK43/100000*3600*C43</f>
        <v>#NAME?</v>
      </c>
      <c r="G43" s="72" t="n">
        <v>-1.5</v>
      </c>
      <c r="H43" s="72" t="n">
        <v>0</v>
      </c>
      <c r="I43" s="75" t="e">
        <f aca="false">E43/(H43-G43)</f>
        <v>#NAME?</v>
      </c>
      <c r="J43" s="75" t="e">
        <f aca="false">I43*C43</f>
        <v>#NAME?</v>
      </c>
      <c r="K43" s="75" t="e">
        <f aca="false">1/I43</f>
        <v>#NAME?</v>
      </c>
      <c r="L43" s="75" t="e">
        <f aca="false">1/J43</f>
        <v>#NAME?</v>
      </c>
      <c r="M43" s="526" t="e">
        <f aca="false">1/(1/'Allometric tree'!I43*'Allometric tree'!BF43/100)</f>
        <v>#NAME?</v>
      </c>
      <c r="N43" s="526" t="e">
        <f aca="false">1/(1/'Allometric tree'!I43*'Allometric tree'!BG43/100)</f>
        <v>#NAME?</v>
      </c>
      <c r="O43" s="30" t="e">
        <f aca="false">1/(1/'Allometric tree'!I43*'Allometric tree'!BH43/100)</f>
        <v>#NAME?</v>
      </c>
      <c r="P43" s="30" t="e">
        <f aca="false">1/(1/'Allometric tree'!I43*'Allometric tree'!BI43/100)</f>
        <v>#NAME?</v>
      </c>
      <c r="Q43" s="30" t="e">
        <f aca="false">1/(1/'Allometric tree'!I43*'Allometric tree'!BJ43/100)</f>
        <v>#NAME?</v>
      </c>
      <c r="R43" s="526" t="e">
        <f aca="false">1/(1/'Allometric tree'!I43*'Allometric tree'!BK43/100)</f>
        <v>#NAME?</v>
      </c>
      <c r="S43" s="30" t="e">
        <f aca="false">M43*'Allometric tree'!C43</f>
        <v>#NAME?</v>
      </c>
      <c r="T43" s="30" t="e">
        <f aca="false">N43*'Allometric tree'!C43</f>
        <v>#NAME?</v>
      </c>
      <c r="U43" s="526" t="e">
        <f aca="false">O43*'Allometric tree'!C43</f>
        <v>#NAME?</v>
      </c>
      <c r="V43" s="526" t="e">
        <f aca="false">P43*'Allometric tree'!C43</f>
        <v>#NAME?</v>
      </c>
      <c r="W43" s="526" t="e">
        <f aca="false">Q43*'Allometric tree'!C43</f>
        <v>#NAME?</v>
      </c>
      <c r="X43" s="30" t="e">
        <f aca="false">R43*'Allometric tree'!C43</f>
        <v>#NAME?</v>
      </c>
      <c r="Y43" s="525" t="e">
        <f aca="false">sureau_ini.txt!#ref!</f>
        <v>#NAME?</v>
      </c>
      <c r="Z43" s="527" t="e">
        <f aca="false">AK43/C43</f>
        <v>#NAME?</v>
      </c>
      <c r="AA43" s="525" t="e">
        <f aca="false">sureau_ini.txt!#ref!</f>
        <v>#NAME?</v>
      </c>
      <c r="AB43" s="525" t="e">
        <f aca="false">sureau_ini.txt!#ref!</f>
        <v>#NAME?</v>
      </c>
      <c r="AC43" s="525" t="n">
        <v>1</v>
      </c>
      <c r="AD43" s="72" t="n">
        <v>0.1</v>
      </c>
      <c r="AE43" s="525" t="n">
        <f aca="false">'sureau_ini.txt'!$E$21</f>
        <v>1</v>
      </c>
      <c r="AF43" s="525" t="e">
        <f aca="false">sureau_ini.txt!#ref!+sureau_ini.txt!#ref!</f>
        <v>#NAME?</v>
      </c>
      <c r="AG43" s="525" t="e">
        <f aca="false">sureau_ini.txt!#ref!</f>
        <v>#NAME?</v>
      </c>
      <c r="AH43" s="525" t="e">
        <f aca="false">sureau_ini.txt!#ref!*100</f>
        <v>#NAME?</v>
      </c>
      <c r="AI43" s="75" t="e">
        <f aca="false">AH43/2*Y43</f>
        <v>#NAME?</v>
      </c>
      <c r="AJ43" s="75" t="e">
        <f aca="false">100*(AH43/100-SQRT(AH43/100*AH43/100-4*AW43/1000/AG43/3.1416))/2</f>
        <v>#NAME?</v>
      </c>
      <c r="AK43" s="75" t="e">
        <f aca="false">(3.1416/4*(AH43^2)-3.1416*(AH43/2-AI43)^2)/10000</f>
        <v>#NAME?</v>
      </c>
      <c r="AL43" s="75" t="e">
        <f aca="false">AK43*AF43</f>
        <v>#NAME?</v>
      </c>
      <c r="AM43" s="75" t="e">
        <f aca="false">AL43*AA43*1000</f>
        <v>#NAME?</v>
      </c>
      <c r="AN43" s="75" t="e">
        <f aca="false">AL43*1000*AB43</f>
        <v>#NAME?</v>
      </c>
      <c r="AO43" s="75" t="e">
        <f aca="false">AK43*AG43</f>
        <v>#NAME?</v>
      </c>
      <c r="AP43" s="75" t="e">
        <f aca="false">AH43*AH43*3.1416/4/C43</f>
        <v>#NAME?</v>
      </c>
      <c r="AQ43" s="75" t="e">
        <f aca="false">AK43*10000/C43</f>
        <v>#NAME?</v>
      </c>
      <c r="AR43" s="525" t="e">
        <f aca="false">(sureau_ini.txt!#ref!/2*sureau_ini.txt!#ref!/2*3.1416)</f>
        <v>#NAME?</v>
      </c>
      <c r="AS43" s="525" t="e">
        <f aca="false">C43/AR43</f>
        <v>#NAME?</v>
      </c>
      <c r="AT43" s="75" t="e">
        <f aca="false">10000/AR43</f>
        <v>#NAME?</v>
      </c>
      <c r="AU43" s="75" t="e">
        <f aca="false">AH43*AH43*3.1416/4/10000*AT43</f>
        <v>#NAME?</v>
      </c>
      <c r="AV43" s="528" t="e">
        <f aca="false">AO43*AA43*1000</f>
        <v>#NAME?</v>
      </c>
      <c r="AW43" s="528" t="e">
        <f aca="false">AO43*1000*AB43</f>
        <v>#NAME?</v>
      </c>
      <c r="AX43" s="528" t="e">
        <f aca="false">AM43-AV43</f>
        <v>#NAME?</v>
      </c>
      <c r="AY43" s="528" t="e">
        <f aca="false">AN43-AW43</f>
        <v>#NAME?</v>
      </c>
      <c r="AZ43" s="528" t="e">
        <f aca="false">AM43*AC43</f>
        <v>#NAME?</v>
      </c>
      <c r="BA43" s="528" t="e">
        <f aca="false">AN43*AC43</f>
        <v>#NAME?</v>
      </c>
      <c r="BB43" s="528" t="e">
        <f aca="false">3.1416*AH43*AG43/100</f>
        <v>#NAME?</v>
      </c>
      <c r="BC43" s="528" t="e">
        <f aca="false">C43*AD43</f>
        <v>#NAME?</v>
      </c>
      <c r="BD43" s="528" t="e">
        <f aca="false">C43*AE43</f>
        <v>#NAME?</v>
      </c>
      <c r="BE43" s="528" t="e">
        <f aca="false">BD43+BC43*AC43</f>
        <v>#NAME?</v>
      </c>
      <c r="BF43" s="72" t="n">
        <v>20</v>
      </c>
      <c r="BG43" s="72" t="n">
        <v>20</v>
      </c>
      <c r="BH43" s="72" t="n">
        <v>8</v>
      </c>
      <c r="BI43" s="72" t="n">
        <v>2</v>
      </c>
      <c r="BJ43" s="72" t="n">
        <v>10</v>
      </c>
      <c r="BK43" s="72" t="n">
        <v>40</v>
      </c>
      <c r="BL43" s="75" t="n">
        <f aca="false">SUM(BF43:BI43)</f>
        <v>50</v>
      </c>
      <c r="BM43" s="75" t="n">
        <f aca="false">BJ43+BK43</f>
        <v>50</v>
      </c>
      <c r="BN43" s="75" t="n">
        <f aca="false">SUM(BF43:BK43)</f>
        <v>100</v>
      </c>
      <c r="BO43" s="0" t="e">
        <f aca="false">AV43+AW43+AX43+AY43+AZ43+BA43+C43*sureau_ini.txt!#ref!/1000</f>
        <v>#NAME?</v>
      </c>
      <c r="BP43" s="0" t="e">
        <f aca="false">AV43+AX43+AZ43 +C43*sureau_ini.txt!#ref!*sureau_ini.txt!#ref!/1000</f>
        <v>#NAME?</v>
      </c>
      <c r="BQ43" s="0" t="e">
        <f aca="false">BO43-BP43</f>
        <v>#NAME?</v>
      </c>
    </row>
    <row r="44" customFormat="false" ht="15.75" hidden="false" customHeight="false" outlineLevel="0" collapsed="false">
      <c r="A44" s="0" t="e">
        <f aca="false">sureau_ini.txt!#ref!</f>
        <v>#NAME?</v>
      </c>
      <c r="B44" s="525" t="n">
        <f aca="false">VPD_max</f>
        <v>1.26741256491017</v>
      </c>
      <c r="C44" s="525" t="e">
        <f aca="false">sureau_ini.txt!#ref!</f>
        <v>#NAME?</v>
      </c>
      <c r="D44" s="525" t="e">
        <f aca="false">(1/(1/sureau_ini.txt!#ref!+1/(1.5*(0.00662*(sureau_ini.txt!#ref!/sureau_ini.txt!#ref!*1000)^0.5)*1000*40)+1/sureau_ini.txt!#ref!)*B44/101.6)</f>
        <v>#NAME?</v>
      </c>
      <c r="E44" s="525" t="e">
        <f aca="false">sureau_ini.txt!#ref!/(1/sureau_ini.txt!#ref!+1/(1.5*(0.00662*(sureau_ini.txt!#ref!/sureau_ini.txt!#ref!*1000)^0.5)*1000*40)+1/sureau_ini.txt!#ref!)*B44/101.6 + sureau_ini.txt!#ref!/(1/sureau_ini.txt!#ref!+1/(1.5*(0.00662*(sureau_ini.txt!#ref!/sureau_ini.txt!#ref!*1000)^0.5)*1000*40)+1/sureau_ini.txt!#ref!)*B44/101.6 + sureau_ini.txt!#ref!/(1/sureau_ini.txt!#ref!+1/(1.5*(0.00662*(sureau_ini.txt!#ref!/sureau_ini.txt!#ref!*1000)^0.5)*1000*40)+1/sureau_ini.txt!#ref!)*B44/101.6</f>
        <v>#NAME?</v>
      </c>
      <c r="F44" s="75" t="e">
        <f aca="false">E44/1000*18/AK44/100000*3600*C44</f>
        <v>#NAME?</v>
      </c>
      <c r="G44" s="72" t="n">
        <v>-1.5</v>
      </c>
      <c r="H44" s="72" t="n">
        <v>0</v>
      </c>
      <c r="I44" s="75" t="e">
        <f aca="false">E44/(H44-G44)</f>
        <v>#NAME?</v>
      </c>
      <c r="J44" s="75" t="e">
        <f aca="false">I44*C44</f>
        <v>#NAME?</v>
      </c>
      <c r="K44" s="75" t="e">
        <f aca="false">1/I44</f>
        <v>#NAME?</v>
      </c>
      <c r="L44" s="75" t="e">
        <f aca="false">1/J44</f>
        <v>#NAME?</v>
      </c>
      <c r="M44" s="526" t="e">
        <f aca="false">1/(1/'Allometric tree'!I44*'Allometric tree'!BF44/100)</f>
        <v>#NAME?</v>
      </c>
      <c r="N44" s="526" t="e">
        <f aca="false">1/(1/'Allometric tree'!I44*'Allometric tree'!BG44/100)</f>
        <v>#NAME?</v>
      </c>
      <c r="O44" s="30" t="e">
        <f aca="false">1/(1/'Allometric tree'!I44*'Allometric tree'!BH44/100)</f>
        <v>#NAME?</v>
      </c>
      <c r="P44" s="30" t="e">
        <f aca="false">1/(1/'Allometric tree'!I44*'Allometric tree'!BI44/100)</f>
        <v>#NAME?</v>
      </c>
      <c r="Q44" s="30" t="e">
        <f aca="false">1/(1/'Allometric tree'!I44*'Allometric tree'!BJ44/100)</f>
        <v>#NAME?</v>
      </c>
      <c r="R44" s="526" t="e">
        <f aca="false">1/(1/'Allometric tree'!I44*'Allometric tree'!BK44/100)</f>
        <v>#NAME?</v>
      </c>
      <c r="S44" s="30" t="e">
        <f aca="false">M44*'Allometric tree'!C44</f>
        <v>#NAME?</v>
      </c>
      <c r="T44" s="30" t="e">
        <f aca="false">N44*'Allometric tree'!C44</f>
        <v>#NAME?</v>
      </c>
      <c r="U44" s="526" t="e">
        <f aca="false">O44*'Allometric tree'!C44</f>
        <v>#NAME?</v>
      </c>
      <c r="V44" s="526" t="e">
        <f aca="false">P44*'Allometric tree'!C44</f>
        <v>#NAME?</v>
      </c>
      <c r="W44" s="526" t="e">
        <f aca="false">Q44*'Allometric tree'!C44</f>
        <v>#NAME?</v>
      </c>
      <c r="X44" s="30" t="e">
        <f aca="false">R44*'Allometric tree'!C44</f>
        <v>#NAME?</v>
      </c>
      <c r="Y44" s="525" t="e">
        <f aca="false">sureau_ini.txt!#ref!</f>
        <v>#NAME?</v>
      </c>
      <c r="Z44" s="527" t="e">
        <f aca="false">AK44/C44</f>
        <v>#NAME?</v>
      </c>
      <c r="AA44" s="525" t="e">
        <f aca="false">sureau_ini.txt!#ref!</f>
        <v>#NAME?</v>
      </c>
      <c r="AB44" s="525" t="e">
        <f aca="false">sureau_ini.txt!#ref!</f>
        <v>#NAME?</v>
      </c>
      <c r="AC44" s="525" t="n">
        <v>1</v>
      </c>
      <c r="AD44" s="72" t="n">
        <v>0.1</v>
      </c>
      <c r="AE44" s="525" t="n">
        <f aca="false">'sureau_ini.txt'!$E$21</f>
        <v>1</v>
      </c>
      <c r="AF44" s="525" t="e">
        <f aca="false">sureau_ini.txt!#ref!+sureau_ini.txt!#ref!</f>
        <v>#NAME?</v>
      </c>
      <c r="AG44" s="525" t="e">
        <f aca="false">sureau_ini.txt!#ref!</f>
        <v>#NAME?</v>
      </c>
      <c r="AH44" s="525" t="e">
        <f aca="false">sureau_ini.txt!#ref!*100</f>
        <v>#NAME?</v>
      </c>
      <c r="AI44" s="75" t="e">
        <f aca="false">AH44/2*Y44</f>
        <v>#NAME?</v>
      </c>
      <c r="AJ44" s="75" t="e">
        <f aca="false">100*(AH44/100-SQRT(AH44/100*AH44/100-4*AW44/1000/AG44/3.1416))/2</f>
        <v>#NAME?</v>
      </c>
      <c r="AK44" s="75" t="e">
        <f aca="false">(3.1416/4*(AH44^2)-3.1416*(AH44/2-AI44)^2)/10000</f>
        <v>#NAME?</v>
      </c>
      <c r="AL44" s="75" t="e">
        <f aca="false">AK44*AF44</f>
        <v>#NAME?</v>
      </c>
      <c r="AM44" s="75" t="e">
        <f aca="false">AL44*AA44*1000</f>
        <v>#NAME?</v>
      </c>
      <c r="AN44" s="75" t="e">
        <f aca="false">AL44*1000*AB44</f>
        <v>#NAME?</v>
      </c>
      <c r="AO44" s="75" t="e">
        <f aca="false">AK44*AG44</f>
        <v>#NAME?</v>
      </c>
      <c r="AP44" s="75" t="e">
        <f aca="false">AH44*AH44*3.1416/4/C44</f>
        <v>#NAME?</v>
      </c>
      <c r="AQ44" s="75" t="e">
        <f aca="false">AK44*10000/C44</f>
        <v>#NAME?</v>
      </c>
      <c r="AR44" s="525" t="e">
        <f aca="false">(sureau_ini.txt!#ref!/2*sureau_ini.txt!#ref!/2*3.1416)</f>
        <v>#NAME?</v>
      </c>
      <c r="AS44" s="525" t="e">
        <f aca="false">C44/AR44</f>
        <v>#NAME?</v>
      </c>
      <c r="AT44" s="75" t="e">
        <f aca="false">10000/AR44</f>
        <v>#NAME?</v>
      </c>
      <c r="AU44" s="75" t="e">
        <f aca="false">AH44*AH44*3.1416/4/10000*AT44</f>
        <v>#NAME?</v>
      </c>
      <c r="AV44" s="528" t="e">
        <f aca="false">AO44*AA44*1000</f>
        <v>#NAME?</v>
      </c>
      <c r="AW44" s="528" t="e">
        <f aca="false">AO44*1000*AB44</f>
        <v>#NAME?</v>
      </c>
      <c r="AX44" s="528" t="e">
        <f aca="false">AM44-AV44</f>
        <v>#NAME?</v>
      </c>
      <c r="AY44" s="528" t="e">
        <f aca="false">AN44-AW44</f>
        <v>#NAME?</v>
      </c>
      <c r="AZ44" s="528" t="e">
        <f aca="false">AM44*AC44</f>
        <v>#NAME?</v>
      </c>
      <c r="BA44" s="528" t="e">
        <f aca="false">AN44*AC44</f>
        <v>#NAME?</v>
      </c>
      <c r="BB44" s="528" t="e">
        <f aca="false">3.1416*AH44*AG44/100</f>
        <v>#NAME?</v>
      </c>
      <c r="BC44" s="528" t="e">
        <f aca="false">C44*AD44</f>
        <v>#NAME?</v>
      </c>
      <c r="BD44" s="528" t="e">
        <f aca="false">C44*AE44</f>
        <v>#NAME?</v>
      </c>
      <c r="BE44" s="528" t="e">
        <f aca="false">BD44+BC44*AC44</f>
        <v>#NAME?</v>
      </c>
      <c r="BF44" s="72" t="n">
        <v>20</v>
      </c>
      <c r="BG44" s="72" t="n">
        <v>20</v>
      </c>
      <c r="BH44" s="72" t="n">
        <v>8</v>
      </c>
      <c r="BI44" s="72" t="n">
        <v>2</v>
      </c>
      <c r="BJ44" s="72" t="n">
        <v>10</v>
      </c>
      <c r="BK44" s="72" t="n">
        <v>40</v>
      </c>
      <c r="BL44" s="75" t="n">
        <f aca="false">SUM(BF44:BI44)</f>
        <v>50</v>
      </c>
      <c r="BM44" s="75" t="n">
        <f aca="false">BJ44+BK44</f>
        <v>50</v>
      </c>
      <c r="BN44" s="75" t="n">
        <f aca="false">SUM(BF44:BK44)</f>
        <v>100</v>
      </c>
      <c r="BO44" s="0" t="e">
        <f aca="false">AV44+AW44+AX44+AY44+AZ44+BA44+C44*sureau_ini.txt!#ref!/1000</f>
        <v>#NAME?</v>
      </c>
      <c r="BP44" s="0" t="e">
        <f aca="false">AV44+AX44+AZ44 +C44*sureau_ini.txt!#ref!*sureau_ini.txt!#ref!/1000</f>
        <v>#NAME?</v>
      </c>
      <c r="BQ44" s="0" t="e">
        <f aca="false">BO44-BP44</f>
        <v>#NAME?</v>
      </c>
    </row>
    <row r="45" customFormat="false" ht="15.75" hidden="false" customHeight="false" outlineLevel="0" collapsed="false">
      <c r="A45" s="0" t="e">
        <f aca="false">sureau_ini.txt!#ref!</f>
        <v>#NAME?</v>
      </c>
      <c r="B45" s="525" t="n">
        <f aca="false">VPD_max</f>
        <v>1.26741256491017</v>
      </c>
      <c r="C45" s="525" t="e">
        <f aca="false">sureau_ini.txt!#ref!</f>
        <v>#NAME?</v>
      </c>
      <c r="D45" s="525" t="e">
        <f aca="false">(1/(1/sureau_ini.txt!#ref!+1/(1.5*(0.00662*(sureau_ini.txt!#ref!/sureau_ini.txt!#ref!*1000)^0.5)*1000*40)+1/sureau_ini.txt!#ref!)*B45/101.6)</f>
        <v>#NAME?</v>
      </c>
      <c r="E45" s="525" t="e">
        <f aca="false">sureau_ini.txt!#ref!/(1/sureau_ini.txt!#ref!+1/(1.5*(0.00662*(sureau_ini.txt!#ref!/sureau_ini.txt!#ref!*1000)^0.5)*1000*40)+1/sureau_ini.txt!#ref!)*B45/101.6 + sureau_ini.txt!#ref!/(1/sureau_ini.txt!#ref!+1/(1.5*(0.00662*(sureau_ini.txt!#ref!/sureau_ini.txt!#ref!*1000)^0.5)*1000*40)+1/sureau_ini.txt!#ref!)*B45/101.6 + sureau_ini.txt!#ref!/(1/sureau_ini.txt!#ref!+1/(1.5*(0.00662*(sureau_ini.txt!#ref!/sureau_ini.txt!#ref!*1000)^0.5)*1000*40)+1/sureau_ini.txt!#ref!)*B45/101.6</f>
        <v>#NAME?</v>
      </c>
      <c r="F45" s="75" t="e">
        <f aca="false">E45/1000*18/AK45/100000*3600*C45</f>
        <v>#NAME?</v>
      </c>
      <c r="G45" s="72" t="n">
        <v>-1.5</v>
      </c>
      <c r="H45" s="72" t="n">
        <v>0</v>
      </c>
      <c r="I45" s="75" t="e">
        <f aca="false">E45/(H45-G45)</f>
        <v>#NAME?</v>
      </c>
      <c r="J45" s="75" t="e">
        <f aca="false">I45*C45</f>
        <v>#NAME?</v>
      </c>
      <c r="K45" s="75" t="e">
        <f aca="false">1/I45</f>
        <v>#NAME?</v>
      </c>
      <c r="L45" s="75" t="e">
        <f aca="false">1/J45</f>
        <v>#NAME?</v>
      </c>
      <c r="M45" s="526" t="e">
        <f aca="false">1/(1/'Allometric tree'!I45*'Allometric tree'!BF45/100)</f>
        <v>#NAME?</v>
      </c>
      <c r="N45" s="526" t="e">
        <f aca="false">1/(1/'Allometric tree'!I45*'Allometric tree'!BG45/100)</f>
        <v>#NAME?</v>
      </c>
      <c r="O45" s="30" t="e">
        <f aca="false">1/(1/'Allometric tree'!I45*'Allometric tree'!BH45/100)</f>
        <v>#NAME?</v>
      </c>
      <c r="P45" s="30" t="e">
        <f aca="false">1/(1/'Allometric tree'!I45*'Allometric tree'!BI45/100)</f>
        <v>#NAME?</v>
      </c>
      <c r="Q45" s="30" t="e">
        <f aca="false">1/(1/'Allometric tree'!I45*'Allometric tree'!BJ45/100)</f>
        <v>#NAME?</v>
      </c>
      <c r="R45" s="526" t="e">
        <f aca="false">1/(1/'Allometric tree'!I45*'Allometric tree'!BK45/100)</f>
        <v>#NAME?</v>
      </c>
      <c r="S45" s="30" t="e">
        <f aca="false">M45*'Allometric tree'!C45</f>
        <v>#NAME?</v>
      </c>
      <c r="T45" s="30" t="e">
        <f aca="false">N45*'Allometric tree'!C45</f>
        <v>#NAME?</v>
      </c>
      <c r="U45" s="526" t="e">
        <f aca="false">O45*'Allometric tree'!C45</f>
        <v>#NAME?</v>
      </c>
      <c r="V45" s="526" t="e">
        <f aca="false">P45*'Allometric tree'!C45</f>
        <v>#NAME?</v>
      </c>
      <c r="W45" s="526" t="e">
        <f aca="false">Q45*'Allometric tree'!C45</f>
        <v>#NAME?</v>
      </c>
      <c r="X45" s="30" t="e">
        <f aca="false">R45*'Allometric tree'!C45</f>
        <v>#NAME?</v>
      </c>
      <c r="Y45" s="525" t="e">
        <f aca="false">sureau_ini.txt!#ref!</f>
        <v>#NAME?</v>
      </c>
      <c r="Z45" s="527" t="e">
        <f aca="false">AK45/C45</f>
        <v>#NAME?</v>
      </c>
      <c r="AA45" s="525" t="e">
        <f aca="false">sureau_ini.txt!#ref!</f>
        <v>#NAME?</v>
      </c>
      <c r="AB45" s="525" t="e">
        <f aca="false">sureau_ini.txt!#ref!</f>
        <v>#NAME?</v>
      </c>
      <c r="AC45" s="525" t="n">
        <v>1</v>
      </c>
      <c r="AD45" s="72" t="n">
        <v>0.1</v>
      </c>
      <c r="AE45" s="525" t="n">
        <f aca="false">'sureau_ini.txt'!$E$21</f>
        <v>1</v>
      </c>
      <c r="AF45" s="525" t="e">
        <f aca="false">sureau_ini.txt!#ref!+sureau_ini.txt!#ref!</f>
        <v>#NAME?</v>
      </c>
      <c r="AG45" s="525" t="e">
        <f aca="false">sureau_ini.txt!#ref!</f>
        <v>#NAME?</v>
      </c>
      <c r="AH45" s="525" t="e">
        <f aca="false">sureau_ini.txt!#ref!*100</f>
        <v>#NAME?</v>
      </c>
      <c r="AI45" s="75" t="e">
        <f aca="false">AH45/2*Y45</f>
        <v>#NAME?</v>
      </c>
      <c r="AJ45" s="75" t="e">
        <f aca="false">100*(AH45/100-SQRT(AH45/100*AH45/100-4*AW45/1000/AG45/3.1416))/2</f>
        <v>#NAME?</v>
      </c>
      <c r="AK45" s="75" t="e">
        <f aca="false">(3.1416/4*(AH45^2)-3.1416*(AH45/2-AI45)^2)/10000</f>
        <v>#NAME?</v>
      </c>
      <c r="AL45" s="75" t="e">
        <f aca="false">AK45*AF45</f>
        <v>#NAME?</v>
      </c>
      <c r="AM45" s="75" t="e">
        <f aca="false">AL45*AA45*1000</f>
        <v>#NAME?</v>
      </c>
      <c r="AN45" s="75" t="e">
        <f aca="false">AL45*1000*AB45</f>
        <v>#NAME?</v>
      </c>
      <c r="AO45" s="75" t="e">
        <f aca="false">AK45*AG45</f>
        <v>#NAME?</v>
      </c>
      <c r="AP45" s="75" t="e">
        <f aca="false">AH45*AH45*3.1416/4/C45</f>
        <v>#NAME?</v>
      </c>
      <c r="AQ45" s="75" t="e">
        <f aca="false">AK45*10000/C45</f>
        <v>#NAME?</v>
      </c>
      <c r="AR45" s="525" t="e">
        <f aca="false">(sureau_ini.txt!#ref!/2*sureau_ini.txt!#ref!/2*3.1416)</f>
        <v>#NAME?</v>
      </c>
      <c r="AS45" s="525" t="e">
        <f aca="false">C45/AR45</f>
        <v>#NAME?</v>
      </c>
      <c r="AT45" s="75" t="e">
        <f aca="false">10000/AR45</f>
        <v>#NAME?</v>
      </c>
      <c r="AU45" s="75" t="e">
        <f aca="false">AH45*AH45*3.1416/4/10000*AT45</f>
        <v>#NAME?</v>
      </c>
      <c r="AV45" s="528" t="e">
        <f aca="false">AO45*AA45*1000</f>
        <v>#NAME?</v>
      </c>
      <c r="AW45" s="528" t="e">
        <f aca="false">AO45*1000*AB45</f>
        <v>#NAME?</v>
      </c>
      <c r="AX45" s="528" t="e">
        <f aca="false">AM45-AV45</f>
        <v>#NAME?</v>
      </c>
      <c r="AY45" s="528" t="e">
        <f aca="false">AN45-AW45</f>
        <v>#NAME?</v>
      </c>
      <c r="AZ45" s="528" t="e">
        <f aca="false">AM45*AC45</f>
        <v>#NAME?</v>
      </c>
      <c r="BA45" s="528" t="e">
        <f aca="false">AN45*AC45</f>
        <v>#NAME?</v>
      </c>
      <c r="BB45" s="528" t="e">
        <f aca="false">3.1416*AH45*AG45/100</f>
        <v>#NAME?</v>
      </c>
      <c r="BC45" s="528" t="e">
        <f aca="false">C45*AD45</f>
        <v>#NAME?</v>
      </c>
      <c r="BD45" s="528" t="e">
        <f aca="false">C45*AE45</f>
        <v>#NAME?</v>
      </c>
      <c r="BE45" s="528" t="e">
        <f aca="false">BD45+BC45*AC45</f>
        <v>#NAME?</v>
      </c>
      <c r="BF45" s="72" t="n">
        <v>20</v>
      </c>
      <c r="BG45" s="72" t="n">
        <v>20</v>
      </c>
      <c r="BH45" s="72" t="n">
        <v>8</v>
      </c>
      <c r="BI45" s="72" t="n">
        <v>2</v>
      </c>
      <c r="BJ45" s="72" t="n">
        <v>10</v>
      </c>
      <c r="BK45" s="72" t="n">
        <v>40</v>
      </c>
      <c r="BL45" s="75" t="n">
        <f aca="false">SUM(BF45:BI45)</f>
        <v>50</v>
      </c>
      <c r="BM45" s="75" t="n">
        <f aca="false">BJ45+BK45</f>
        <v>50</v>
      </c>
      <c r="BN45" s="75" t="n">
        <f aca="false">SUM(BF45:BK45)</f>
        <v>100</v>
      </c>
      <c r="BO45" s="0" t="e">
        <f aca="false">AV45+AW45+AX45+AY45+AZ45+BA45+C45*sureau_ini.txt!#ref!/1000</f>
        <v>#NAME?</v>
      </c>
      <c r="BP45" s="0" t="e">
        <f aca="false">AV45+AX45+AZ45 +C45*sureau_ini.txt!#ref!*sureau_ini.txt!#ref!/1000</f>
        <v>#NAME?</v>
      </c>
      <c r="BQ45" s="0" t="e">
        <f aca="false">BO45-BP45</f>
        <v>#NAME?</v>
      </c>
    </row>
    <row r="46" customFormat="false" ht="15.75" hidden="false" customHeight="false" outlineLevel="0" collapsed="false">
      <c r="A46" s="0" t="e">
        <f aca="false">sureau_ini.txt!#ref!</f>
        <v>#NAME?</v>
      </c>
      <c r="B46" s="525" t="n">
        <f aca="false">VPD_max</f>
        <v>1.26741256491017</v>
      </c>
      <c r="C46" s="525" t="e">
        <f aca="false">sureau_ini.txt!#ref!</f>
        <v>#NAME?</v>
      </c>
      <c r="D46" s="525" t="e">
        <f aca="false">(1/(1/sureau_ini.txt!#ref!+1/(1.5*(0.00662*(sureau_ini.txt!#ref!/sureau_ini.txt!#ref!*1000)^0.5)*1000*40)+1/sureau_ini.txt!#ref!)*B46/101.6)</f>
        <v>#NAME?</v>
      </c>
      <c r="E46" s="525" t="e">
        <f aca="false">sureau_ini.txt!#ref!/(1/sureau_ini.txt!#ref!+1/(1.5*(0.00662*(sureau_ini.txt!#ref!/sureau_ini.txt!#ref!*1000)^0.5)*1000*40)+1/sureau_ini.txt!#ref!)*B46/101.6 + sureau_ini.txt!#ref!/(1/sureau_ini.txt!#ref!+1/(1.5*(0.00662*(sureau_ini.txt!#ref!/sureau_ini.txt!#ref!*1000)^0.5)*1000*40)+1/sureau_ini.txt!#ref!)*B46/101.6 + sureau_ini.txt!#ref!/(1/sureau_ini.txt!#ref!+1/(1.5*(0.00662*(sureau_ini.txt!#ref!/sureau_ini.txt!#ref!*1000)^0.5)*1000*40)+1/sureau_ini.txt!#ref!)*B46/101.6</f>
        <v>#NAME?</v>
      </c>
      <c r="F46" s="75" t="e">
        <f aca="false">E46/1000*18/AK46/100000*3600*C46</f>
        <v>#NAME?</v>
      </c>
      <c r="G46" s="72" t="n">
        <v>-1.5</v>
      </c>
      <c r="H46" s="72" t="n">
        <v>0</v>
      </c>
      <c r="I46" s="75" t="e">
        <f aca="false">E46/(H46-G46)</f>
        <v>#NAME?</v>
      </c>
      <c r="J46" s="75" t="e">
        <f aca="false">I46*C46</f>
        <v>#NAME?</v>
      </c>
      <c r="K46" s="75" t="e">
        <f aca="false">1/I46</f>
        <v>#NAME?</v>
      </c>
      <c r="L46" s="75" t="e">
        <f aca="false">1/J46</f>
        <v>#NAME?</v>
      </c>
      <c r="M46" s="526" t="e">
        <f aca="false">1/(1/'Allometric tree'!I46*'Allometric tree'!BF46/100)</f>
        <v>#NAME?</v>
      </c>
      <c r="N46" s="526" t="e">
        <f aca="false">1/(1/'Allometric tree'!I46*'Allometric tree'!BG46/100)</f>
        <v>#NAME?</v>
      </c>
      <c r="O46" s="30" t="e">
        <f aca="false">1/(1/'Allometric tree'!I46*'Allometric tree'!BH46/100)</f>
        <v>#NAME?</v>
      </c>
      <c r="P46" s="30" t="e">
        <f aca="false">1/(1/'Allometric tree'!I46*'Allometric tree'!BI46/100)</f>
        <v>#NAME?</v>
      </c>
      <c r="Q46" s="30" t="e">
        <f aca="false">1/(1/'Allometric tree'!I46*'Allometric tree'!BJ46/100)</f>
        <v>#NAME?</v>
      </c>
      <c r="R46" s="526" t="e">
        <f aca="false">1/(1/'Allometric tree'!I46*'Allometric tree'!BK46/100)</f>
        <v>#NAME?</v>
      </c>
      <c r="S46" s="30" t="e">
        <f aca="false">M46*'Allometric tree'!C46</f>
        <v>#NAME?</v>
      </c>
      <c r="T46" s="30" t="e">
        <f aca="false">N46*'Allometric tree'!C46</f>
        <v>#NAME?</v>
      </c>
      <c r="U46" s="526" t="e">
        <f aca="false">O46*'Allometric tree'!C46</f>
        <v>#NAME?</v>
      </c>
      <c r="V46" s="526" t="e">
        <f aca="false">P46*'Allometric tree'!C46</f>
        <v>#NAME?</v>
      </c>
      <c r="W46" s="526" t="e">
        <f aca="false">Q46*'Allometric tree'!C46</f>
        <v>#NAME?</v>
      </c>
      <c r="X46" s="30" t="e">
        <f aca="false">R46*'Allometric tree'!C46</f>
        <v>#NAME?</v>
      </c>
      <c r="Y46" s="525" t="e">
        <f aca="false">sureau_ini.txt!#ref!</f>
        <v>#NAME?</v>
      </c>
      <c r="Z46" s="527" t="e">
        <f aca="false">AK46/C46</f>
        <v>#NAME?</v>
      </c>
      <c r="AA46" s="525" t="e">
        <f aca="false">sureau_ini.txt!#ref!</f>
        <v>#NAME?</v>
      </c>
      <c r="AB46" s="525" t="e">
        <f aca="false">sureau_ini.txt!#ref!</f>
        <v>#NAME?</v>
      </c>
      <c r="AC46" s="525" t="n">
        <v>1</v>
      </c>
      <c r="AD46" s="72" t="n">
        <v>0.1</v>
      </c>
      <c r="AE46" s="525" t="n">
        <f aca="false">'sureau_ini.txt'!$E$21</f>
        <v>1</v>
      </c>
      <c r="AF46" s="525" t="e">
        <f aca="false">sureau_ini.txt!#ref!+sureau_ini.txt!#ref!</f>
        <v>#NAME?</v>
      </c>
      <c r="AG46" s="525" t="e">
        <f aca="false">sureau_ini.txt!#ref!</f>
        <v>#NAME?</v>
      </c>
      <c r="AH46" s="525" t="e">
        <f aca="false">sureau_ini.txt!#ref!*100</f>
        <v>#NAME?</v>
      </c>
      <c r="AI46" s="75" t="e">
        <f aca="false">AH46/2*Y46</f>
        <v>#NAME?</v>
      </c>
      <c r="AJ46" s="75" t="e">
        <f aca="false">100*(AH46/100-SQRT(AH46/100*AH46/100-4*AW46/1000/AG46/3.1416))/2</f>
        <v>#NAME?</v>
      </c>
      <c r="AK46" s="75" t="e">
        <f aca="false">(3.1416/4*(AH46^2)-3.1416*(AH46/2-AI46)^2)/10000</f>
        <v>#NAME?</v>
      </c>
      <c r="AL46" s="75" t="e">
        <f aca="false">AK46*AF46</f>
        <v>#NAME?</v>
      </c>
      <c r="AM46" s="75" t="e">
        <f aca="false">AL46*AA46*1000</f>
        <v>#NAME?</v>
      </c>
      <c r="AN46" s="75" t="e">
        <f aca="false">AL46*1000*AB46</f>
        <v>#NAME?</v>
      </c>
      <c r="AO46" s="75" t="e">
        <f aca="false">AK46*AG46</f>
        <v>#NAME?</v>
      </c>
      <c r="AP46" s="75" t="e">
        <f aca="false">AH46*AH46*3.1416/4/C46</f>
        <v>#NAME?</v>
      </c>
      <c r="AQ46" s="75" t="e">
        <f aca="false">AK46*10000/C46</f>
        <v>#NAME?</v>
      </c>
      <c r="AR46" s="525" t="e">
        <f aca="false">(sureau_ini.txt!#ref!/2*sureau_ini.txt!#ref!/2*3.1416)</f>
        <v>#NAME?</v>
      </c>
      <c r="AS46" s="525" t="e">
        <f aca="false">C46/AR46</f>
        <v>#NAME?</v>
      </c>
      <c r="AT46" s="75" t="e">
        <f aca="false">10000/AR46</f>
        <v>#NAME?</v>
      </c>
      <c r="AU46" s="75" t="e">
        <f aca="false">AH46*AH46*3.1416/4/10000*AT46</f>
        <v>#NAME?</v>
      </c>
      <c r="AV46" s="528" t="e">
        <f aca="false">AO46*AA46*1000</f>
        <v>#NAME?</v>
      </c>
      <c r="AW46" s="528" t="e">
        <f aca="false">AO46*1000*AB46</f>
        <v>#NAME?</v>
      </c>
      <c r="AX46" s="528" t="e">
        <f aca="false">AM46-AV46</f>
        <v>#NAME?</v>
      </c>
      <c r="AY46" s="528" t="e">
        <f aca="false">AN46-AW46</f>
        <v>#NAME?</v>
      </c>
      <c r="AZ46" s="528" t="e">
        <f aca="false">AM46*AC46</f>
        <v>#NAME?</v>
      </c>
      <c r="BA46" s="528" t="e">
        <f aca="false">AN46*AC46</f>
        <v>#NAME?</v>
      </c>
      <c r="BB46" s="528" t="e">
        <f aca="false">3.1416*AH46*AG46/100</f>
        <v>#NAME?</v>
      </c>
      <c r="BC46" s="528" t="e">
        <f aca="false">C46*AD46</f>
        <v>#NAME?</v>
      </c>
      <c r="BD46" s="528" t="e">
        <f aca="false">C46*AE46</f>
        <v>#NAME?</v>
      </c>
      <c r="BE46" s="528" t="e">
        <f aca="false">BD46+BC46*AC46</f>
        <v>#NAME?</v>
      </c>
      <c r="BF46" s="72" t="n">
        <v>20</v>
      </c>
      <c r="BG46" s="72" t="n">
        <v>20</v>
      </c>
      <c r="BH46" s="72" t="n">
        <v>8</v>
      </c>
      <c r="BI46" s="72" t="n">
        <v>2</v>
      </c>
      <c r="BJ46" s="72" t="n">
        <v>10</v>
      </c>
      <c r="BK46" s="72" t="n">
        <v>40</v>
      </c>
      <c r="BL46" s="75" t="n">
        <f aca="false">SUM(BF46:BI46)</f>
        <v>50</v>
      </c>
      <c r="BM46" s="75" t="n">
        <f aca="false">BJ46+BK46</f>
        <v>50</v>
      </c>
      <c r="BN46" s="75" t="n">
        <f aca="false">SUM(BF46:BK46)</f>
        <v>100</v>
      </c>
      <c r="BO46" s="0" t="e">
        <f aca="false">AV46+AW46+AX46+AY46+AZ46+BA46+C46*sureau_ini.txt!#ref!/1000</f>
        <v>#NAME?</v>
      </c>
      <c r="BP46" s="0" t="e">
        <f aca="false">AV46+AX46+AZ46 +C46*sureau_ini.txt!#ref!*sureau_ini.txt!#ref!/1000</f>
        <v>#NAME?</v>
      </c>
      <c r="BQ46" s="0" t="e">
        <f aca="false">BO46-BP46</f>
        <v>#NAME?</v>
      </c>
    </row>
    <row r="47" customFormat="false" ht="15.75" hidden="false" customHeight="false" outlineLevel="0" collapsed="false">
      <c r="A47" s="0" t="e">
        <f aca="false">sureau_ini.txt!#ref!</f>
        <v>#NAME?</v>
      </c>
      <c r="B47" s="525" t="n">
        <f aca="false">VPD_max</f>
        <v>1.26741256491017</v>
      </c>
      <c r="C47" s="525" t="e">
        <f aca="false">sureau_ini.txt!#ref!</f>
        <v>#NAME?</v>
      </c>
      <c r="D47" s="525" t="e">
        <f aca="false">(1/(1/sureau_ini.txt!#ref!+1/(1.5*(0.00662*(sureau_ini.txt!#ref!/sureau_ini.txt!#ref!*1000)^0.5)*1000*40)+1/sureau_ini.txt!#ref!)*B47/101.6)</f>
        <v>#NAME?</v>
      </c>
      <c r="E47" s="525" t="e">
        <f aca="false">sureau_ini.txt!#ref!/(1/sureau_ini.txt!#ref!+1/(1.5*(0.00662*(sureau_ini.txt!#ref!/sureau_ini.txt!#ref!*1000)^0.5)*1000*40)+1/sureau_ini.txt!#ref!)*B47/101.6 + sureau_ini.txt!#ref!/(1/sureau_ini.txt!#ref!+1/(1.5*(0.00662*(sureau_ini.txt!#ref!/sureau_ini.txt!#ref!*1000)^0.5)*1000*40)+1/sureau_ini.txt!#ref!)*B47/101.6 + sureau_ini.txt!#ref!/(1/sureau_ini.txt!#ref!+1/(1.5*(0.00662*(sureau_ini.txt!#ref!/sureau_ini.txt!#ref!*1000)^0.5)*1000*40)+1/sureau_ini.txt!#ref!)*B47/101.6</f>
        <v>#NAME?</v>
      </c>
      <c r="F47" s="75" t="e">
        <f aca="false">E47/1000*18/AK47/100000*3600*C47</f>
        <v>#NAME?</v>
      </c>
      <c r="G47" s="72" t="n">
        <v>-1.5</v>
      </c>
      <c r="H47" s="72" t="n">
        <v>0</v>
      </c>
      <c r="I47" s="75" t="e">
        <f aca="false">E47/(H47-G47)</f>
        <v>#NAME?</v>
      </c>
      <c r="J47" s="75" t="e">
        <f aca="false">I47*C47</f>
        <v>#NAME?</v>
      </c>
      <c r="K47" s="75" t="e">
        <f aca="false">1/I47</f>
        <v>#NAME?</v>
      </c>
      <c r="L47" s="75" t="e">
        <f aca="false">1/J47</f>
        <v>#NAME?</v>
      </c>
      <c r="M47" s="526" t="e">
        <f aca="false">1/(1/'Allometric tree'!I47*'Allometric tree'!BF47/100)</f>
        <v>#NAME?</v>
      </c>
      <c r="N47" s="526" t="e">
        <f aca="false">1/(1/'Allometric tree'!I47*'Allometric tree'!BG47/100)</f>
        <v>#NAME?</v>
      </c>
      <c r="O47" s="30" t="e">
        <f aca="false">1/(1/'Allometric tree'!I47*'Allometric tree'!BH47/100)</f>
        <v>#NAME?</v>
      </c>
      <c r="P47" s="30" t="e">
        <f aca="false">1/(1/'Allometric tree'!I47*'Allometric tree'!BI47/100)</f>
        <v>#NAME?</v>
      </c>
      <c r="Q47" s="30" t="e">
        <f aca="false">1/(1/'Allometric tree'!I47*'Allometric tree'!BJ47/100)</f>
        <v>#NAME?</v>
      </c>
      <c r="R47" s="526" t="e">
        <f aca="false">1/(1/'Allometric tree'!I47*'Allometric tree'!BK47/100)</f>
        <v>#NAME?</v>
      </c>
      <c r="S47" s="30" t="e">
        <f aca="false">M47*'Allometric tree'!C47</f>
        <v>#NAME?</v>
      </c>
      <c r="T47" s="30" t="e">
        <f aca="false">N47*'Allometric tree'!C47</f>
        <v>#NAME?</v>
      </c>
      <c r="U47" s="526" t="e">
        <f aca="false">O47*'Allometric tree'!C47</f>
        <v>#NAME?</v>
      </c>
      <c r="V47" s="526" t="e">
        <f aca="false">P47*'Allometric tree'!C47</f>
        <v>#NAME?</v>
      </c>
      <c r="W47" s="526" t="e">
        <f aca="false">Q47*'Allometric tree'!C47</f>
        <v>#NAME?</v>
      </c>
      <c r="X47" s="30" t="e">
        <f aca="false">R47*'Allometric tree'!C47</f>
        <v>#NAME?</v>
      </c>
      <c r="Y47" s="525" t="e">
        <f aca="false">sureau_ini.txt!#ref!</f>
        <v>#NAME?</v>
      </c>
      <c r="Z47" s="527" t="e">
        <f aca="false">AK47/C47</f>
        <v>#NAME?</v>
      </c>
      <c r="AA47" s="525" t="e">
        <f aca="false">sureau_ini.txt!#ref!</f>
        <v>#NAME?</v>
      </c>
      <c r="AB47" s="525" t="e">
        <f aca="false">sureau_ini.txt!#ref!</f>
        <v>#NAME?</v>
      </c>
      <c r="AC47" s="525" t="n">
        <v>1</v>
      </c>
      <c r="AD47" s="72" t="n">
        <v>0.1</v>
      </c>
      <c r="AE47" s="525" t="n">
        <f aca="false">'sureau_ini.txt'!$E$21</f>
        <v>1</v>
      </c>
      <c r="AF47" s="525" t="e">
        <f aca="false">sureau_ini.txt!#ref!+sureau_ini.txt!#ref!</f>
        <v>#NAME?</v>
      </c>
      <c r="AG47" s="525" t="e">
        <f aca="false">sureau_ini.txt!#ref!</f>
        <v>#NAME?</v>
      </c>
      <c r="AH47" s="525" t="e">
        <f aca="false">sureau_ini.txt!#ref!*100</f>
        <v>#NAME?</v>
      </c>
      <c r="AI47" s="75" t="e">
        <f aca="false">AH47/2*Y47</f>
        <v>#NAME?</v>
      </c>
      <c r="AJ47" s="75" t="e">
        <f aca="false">100*(AH47/100-SQRT(AH47/100*AH47/100-4*AW47/1000/AG47/3.1416))/2</f>
        <v>#NAME?</v>
      </c>
      <c r="AK47" s="75" t="e">
        <f aca="false">(3.1416/4*(AH47^2)-3.1416*(AH47/2-AI47)^2)/10000</f>
        <v>#NAME?</v>
      </c>
      <c r="AL47" s="75" t="e">
        <f aca="false">AK47*AF47</f>
        <v>#NAME?</v>
      </c>
      <c r="AM47" s="75" t="e">
        <f aca="false">AL47*AA47*1000</f>
        <v>#NAME?</v>
      </c>
      <c r="AN47" s="75" t="e">
        <f aca="false">AL47*1000*AB47</f>
        <v>#NAME?</v>
      </c>
      <c r="AO47" s="75" t="e">
        <f aca="false">AK47*AG47</f>
        <v>#NAME?</v>
      </c>
      <c r="AP47" s="75" t="e">
        <f aca="false">AH47*AH47*3.1416/4/C47</f>
        <v>#NAME?</v>
      </c>
      <c r="AQ47" s="75" t="e">
        <f aca="false">AK47*10000/C47</f>
        <v>#NAME?</v>
      </c>
      <c r="AR47" s="525" t="e">
        <f aca="false">(sureau_ini.txt!#ref!/2*sureau_ini.txt!#ref!/2*3.1416)</f>
        <v>#NAME?</v>
      </c>
      <c r="AS47" s="525" t="e">
        <f aca="false">C47/AR47</f>
        <v>#NAME?</v>
      </c>
      <c r="AT47" s="75" t="e">
        <f aca="false">10000/AR47</f>
        <v>#NAME?</v>
      </c>
      <c r="AU47" s="75" t="e">
        <f aca="false">AH47*AH47*3.1416/4/10000*AT47</f>
        <v>#NAME?</v>
      </c>
      <c r="AV47" s="528" t="e">
        <f aca="false">AO47*AA47*1000</f>
        <v>#NAME?</v>
      </c>
      <c r="AW47" s="528" t="e">
        <f aca="false">AO47*1000*AB47</f>
        <v>#NAME?</v>
      </c>
      <c r="AX47" s="528" t="e">
        <f aca="false">AM47-AV47</f>
        <v>#NAME?</v>
      </c>
      <c r="AY47" s="528" t="e">
        <f aca="false">AN47-AW47</f>
        <v>#NAME?</v>
      </c>
      <c r="AZ47" s="528" t="e">
        <f aca="false">AM47*AC47</f>
        <v>#NAME?</v>
      </c>
      <c r="BA47" s="528" t="e">
        <f aca="false">AN47*AC47</f>
        <v>#NAME?</v>
      </c>
      <c r="BB47" s="528" t="e">
        <f aca="false">3.1416*AH47*AG47/100</f>
        <v>#NAME?</v>
      </c>
      <c r="BC47" s="528" t="e">
        <f aca="false">C47*AD47</f>
        <v>#NAME?</v>
      </c>
      <c r="BD47" s="528" t="e">
        <f aca="false">C47*AE47</f>
        <v>#NAME?</v>
      </c>
      <c r="BE47" s="528" t="e">
        <f aca="false">BD47+BC47*AC47</f>
        <v>#NAME?</v>
      </c>
      <c r="BF47" s="72" t="n">
        <v>20</v>
      </c>
      <c r="BG47" s="72" t="n">
        <v>20</v>
      </c>
      <c r="BH47" s="72" t="n">
        <v>8</v>
      </c>
      <c r="BI47" s="72" t="n">
        <v>2</v>
      </c>
      <c r="BJ47" s="72" t="n">
        <v>10</v>
      </c>
      <c r="BK47" s="72" t="n">
        <v>40</v>
      </c>
      <c r="BL47" s="75" t="n">
        <f aca="false">SUM(BF47:BI47)</f>
        <v>50</v>
      </c>
      <c r="BM47" s="75" t="n">
        <f aca="false">BJ47+BK47</f>
        <v>50</v>
      </c>
      <c r="BN47" s="75" t="n">
        <f aca="false">SUM(BF47:BK47)</f>
        <v>100</v>
      </c>
      <c r="BO47" s="0" t="e">
        <f aca="false">AV47+AW47+AX47+AY47+AZ47+BA47+C47*sureau_ini.txt!#ref!/1000</f>
        <v>#NAME?</v>
      </c>
      <c r="BP47" s="0" t="e">
        <f aca="false">AV47+AX47+AZ47 +C47*sureau_ini.txt!#ref!*sureau_ini.txt!#ref!/1000</f>
        <v>#NAME?</v>
      </c>
      <c r="BQ47" s="0" t="e">
        <f aca="false">BO47-BP47</f>
        <v>#NAME?</v>
      </c>
    </row>
    <row r="48" customFormat="false" ht="15.75" hidden="false" customHeight="false" outlineLevel="0" collapsed="false">
      <c r="A48" s="0" t="e">
        <f aca="false">sureau_ini.txt!#ref!</f>
        <v>#NAME?</v>
      </c>
      <c r="B48" s="525" t="n">
        <f aca="false">VPD_max</f>
        <v>1.26741256491017</v>
      </c>
      <c r="C48" s="525" t="e">
        <f aca="false">sureau_ini.txt!#ref!</f>
        <v>#NAME?</v>
      </c>
      <c r="D48" s="525" t="e">
        <f aca="false">(1/(1/sureau_ini.txt!#ref!+1/(1.5*(0.00662*(sureau_ini.txt!#ref!/sureau_ini.txt!#ref!*1000)^0.5)*1000*40)+1/sureau_ini.txt!#ref!)*B48/101.6)</f>
        <v>#NAME?</v>
      </c>
      <c r="E48" s="525" t="e">
        <f aca="false">sureau_ini.txt!#ref!/(1/sureau_ini.txt!#ref!+1/(1.5*(0.00662*(sureau_ini.txt!#ref!/sureau_ini.txt!#ref!*1000)^0.5)*1000*40)+1/sureau_ini.txt!#ref!)*B48/101.6 + sureau_ini.txt!#ref!/(1/sureau_ini.txt!#ref!+1/(1.5*(0.00662*(sureau_ini.txt!#ref!/sureau_ini.txt!#ref!*1000)^0.5)*1000*40)+1/sureau_ini.txt!#ref!)*B48/101.6 + sureau_ini.txt!#ref!/(1/sureau_ini.txt!#ref!+1/(1.5*(0.00662*(sureau_ini.txt!#ref!/sureau_ini.txt!#ref!*1000)^0.5)*1000*40)+1/sureau_ini.txt!#ref!)*B48/101.6</f>
        <v>#NAME?</v>
      </c>
      <c r="F48" s="75" t="e">
        <f aca="false">E48/1000*18/AK48/100000*3600*C48</f>
        <v>#NAME?</v>
      </c>
      <c r="G48" s="72" t="n">
        <v>-1.5</v>
      </c>
      <c r="H48" s="72" t="n">
        <v>0</v>
      </c>
      <c r="I48" s="75" t="e">
        <f aca="false">E48/(H48-G48)</f>
        <v>#NAME?</v>
      </c>
      <c r="J48" s="75" t="e">
        <f aca="false">I48*C48</f>
        <v>#NAME?</v>
      </c>
      <c r="K48" s="75" t="e">
        <f aca="false">1/I48</f>
        <v>#NAME?</v>
      </c>
      <c r="L48" s="75" t="e">
        <f aca="false">1/J48</f>
        <v>#NAME?</v>
      </c>
      <c r="M48" s="526" t="e">
        <f aca="false">1/(1/'Allometric tree'!I48*'Allometric tree'!BF48/100)</f>
        <v>#NAME?</v>
      </c>
      <c r="N48" s="526" t="e">
        <f aca="false">1/(1/'Allometric tree'!I48*'Allometric tree'!BG48/100)</f>
        <v>#NAME?</v>
      </c>
      <c r="O48" s="30" t="e">
        <f aca="false">1/(1/'Allometric tree'!I48*'Allometric tree'!BH48/100)</f>
        <v>#NAME?</v>
      </c>
      <c r="P48" s="30" t="e">
        <f aca="false">1/(1/'Allometric tree'!I48*'Allometric tree'!BI48/100)</f>
        <v>#NAME?</v>
      </c>
      <c r="Q48" s="30" t="e">
        <f aca="false">1/(1/'Allometric tree'!I48*'Allometric tree'!BJ48/100)</f>
        <v>#NAME?</v>
      </c>
      <c r="R48" s="526" t="e">
        <f aca="false">1/(1/'Allometric tree'!I48*'Allometric tree'!BK48/100)</f>
        <v>#NAME?</v>
      </c>
      <c r="S48" s="30" t="e">
        <f aca="false">M48*'Allometric tree'!C48</f>
        <v>#NAME?</v>
      </c>
      <c r="T48" s="30" t="e">
        <f aca="false">N48*'Allometric tree'!C48</f>
        <v>#NAME?</v>
      </c>
      <c r="U48" s="526" t="e">
        <f aca="false">O48*'Allometric tree'!C48</f>
        <v>#NAME?</v>
      </c>
      <c r="V48" s="526" t="e">
        <f aca="false">P48*'Allometric tree'!C48</f>
        <v>#NAME?</v>
      </c>
      <c r="W48" s="526" t="e">
        <f aca="false">Q48*'Allometric tree'!C48</f>
        <v>#NAME?</v>
      </c>
      <c r="X48" s="30" t="e">
        <f aca="false">R48*'Allometric tree'!C48</f>
        <v>#NAME?</v>
      </c>
      <c r="Y48" s="525" t="e">
        <f aca="false">sureau_ini.txt!#ref!</f>
        <v>#NAME?</v>
      </c>
      <c r="Z48" s="527" t="e">
        <f aca="false">AK48/C48</f>
        <v>#NAME?</v>
      </c>
      <c r="AA48" s="525" t="e">
        <f aca="false">sureau_ini.txt!#ref!</f>
        <v>#NAME?</v>
      </c>
      <c r="AB48" s="525" t="e">
        <f aca="false">sureau_ini.txt!#ref!</f>
        <v>#NAME?</v>
      </c>
      <c r="AC48" s="525" t="n">
        <v>1</v>
      </c>
      <c r="AD48" s="72" t="n">
        <v>0.1</v>
      </c>
      <c r="AE48" s="525" t="n">
        <f aca="false">'sureau_ini.txt'!$E$21</f>
        <v>1</v>
      </c>
      <c r="AF48" s="525" t="e">
        <f aca="false">sureau_ini.txt!#ref!+sureau_ini.txt!#ref!</f>
        <v>#NAME?</v>
      </c>
      <c r="AG48" s="525" t="e">
        <f aca="false">sureau_ini.txt!#ref!</f>
        <v>#NAME?</v>
      </c>
      <c r="AH48" s="525" t="e">
        <f aca="false">sureau_ini.txt!#ref!*100</f>
        <v>#NAME?</v>
      </c>
      <c r="AI48" s="75" t="e">
        <f aca="false">AH48/2*Y48</f>
        <v>#NAME?</v>
      </c>
      <c r="AJ48" s="75" t="e">
        <f aca="false">100*(AH48/100-SQRT(AH48/100*AH48/100-4*AW48/1000/AG48/3.1416))/2</f>
        <v>#NAME?</v>
      </c>
      <c r="AK48" s="75" t="e">
        <f aca="false">(3.1416/4*(AH48^2)-3.1416*(AH48/2-AI48)^2)/10000</f>
        <v>#NAME?</v>
      </c>
      <c r="AL48" s="75" t="e">
        <f aca="false">AK48*AF48</f>
        <v>#NAME?</v>
      </c>
      <c r="AM48" s="75" t="e">
        <f aca="false">AL48*AA48*1000</f>
        <v>#NAME?</v>
      </c>
      <c r="AN48" s="75" t="e">
        <f aca="false">AL48*1000*AB48</f>
        <v>#NAME?</v>
      </c>
      <c r="AO48" s="75" t="e">
        <f aca="false">AK48*AG48</f>
        <v>#NAME?</v>
      </c>
      <c r="AP48" s="75" t="e">
        <f aca="false">AH48*AH48*3.1416/4/C48</f>
        <v>#NAME?</v>
      </c>
      <c r="AQ48" s="75" t="e">
        <f aca="false">AK48*10000/C48</f>
        <v>#NAME?</v>
      </c>
      <c r="AR48" s="525" t="e">
        <f aca="false">(sureau_ini.txt!#ref!/2*sureau_ini.txt!#ref!/2*3.1416)</f>
        <v>#NAME?</v>
      </c>
      <c r="AS48" s="525" t="e">
        <f aca="false">C48/AR48</f>
        <v>#NAME?</v>
      </c>
      <c r="AT48" s="75" t="e">
        <f aca="false">10000/AR48</f>
        <v>#NAME?</v>
      </c>
      <c r="AU48" s="75" t="e">
        <f aca="false">AH48*AH48*3.1416/4/10000*AT48</f>
        <v>#NAME?</v>
      </c>
      <c r="AV48" s="528" t="e">
        <f aca="false">AO48*AA48*1000</f>
        <v>#NAME?</v>
      </c>
      <c r="AW48" s="528" t="e">
        <f aca="false">AO48*1000*AB48</f>
        <v>#NAME?</v>
      </c>
      <c r="AX48" s="528" t="e">
        <f aca="false">AM48-AV48</f>
        <v>#NAME?</v>
      </c>
      <c r="AY48" s="528" t="e">
        <f aca="false">AN48-AW48</f>
        <v>#NAME?</v>
      </c>
      <c r="AZ48" s="528" t="e">
        <f aca="false">AM48*AC48</f>
        <v>#NAME?</v>
      </c>
      <c r="BA48" s="528" t="e">
        <f aca="false">AN48*AC48</f>
        <v>#NAME?</v>
      </c>
      <c r="BB48" s="528" t="e">
        <f aca="false">3.1416*AH48*AG48/100</f>
        <v>#NAME?</v>
      </c>
      <c r="BC48" s="528" t="e">
        <f aca="false">C48*AD48</f>
        <v>#NAME?</v>
      </c>
      <c r="BD48" s="528" t="e">
        <f aca="false">C48*AE48</f>
        <v>#NAME?</v>
      </c>
      <c r="BE48" s="528" t="e">
        <f aca="false">BD48+BC48*AC48</f>
        <v>#NAME?</v>
      </c>
      <c r="BF48" s="72" t="n">
        <v>20</v>
      </c>
      <c r="BG48" s="72" t="n">
        <v>20</v>
      </c>
      <c r="BH48" s="72" t="n">
        <v>8</v>
      </c>
      <c r="BI48" s="72" t="n">
        <v>2</v>
      </c>
      <c r="BJ48" s="72" t="n">
        <v>10</v>
      </c>
      <c r="BK48" s="72" t="n">
        <v>40</v>
      </c>
      <c r="BL48" s="75" t="n">
        <f aca="false">SUM(BF48:BI48)</f>
        <v>50</v>
      </c>
      <c r="BM48" s="75" t="n">
        <f aca="false">BJ48+BK48</f>
        <v>50</v>
      </c>
      <c r="BN48" s="75" t="n">
        <f aca="false">SUM(BF48:BK48)</f>
        <v>100</v>
      </c>
      <c r="BO48" s="0" t="e">
        <f aca="false">AV48+AW48+AX48+AY48+AZ48+BA48+C48*sureau_ini.txt!#ref!/1000</f>
        <v>#NAME?</v>
      </c>
      <c r="BP48" s="0" t="e">
        <f aca="false">AV48+AX48+AZ48 +C48*sureau_ini.txt!#ref!*sureau_ini.txt!#ref!/1000</f>
        <v>#NAME?</v>
      </c>
      <c r="BQ48" s="0" t="e">
        <f aca="false">BO48-BP48</f>
        <v>#NAME?</v>
      </c>
    </row>
    <row r="49" customFormat="false" ht="15.75" hidden="false" customHeight="false" outlineLevel="0" collapsed="false">
      <c r="A49" s="0" t="e">
        <f aca="false">sureau_ini.txt!#ref!</f>
        <v>#NAME?</v>
      </c>
      <c r="B49" s="525" t="n">
        <f aca="false">VPD_max</f>
        <v>1.26741256491017</v>
      </c>
      <c r="C49" s="525" t="e">
        <f aca="false">sureau_ini.txt!#ref!</f>
        <v>#NAME?</v>
      </c>
      <c r="D49" s="525" t="e">
        <f aca="false">(1/(1/sureau_ini.txt!#ref!+1/(1.5*(0.00662*(sureau_ini.txt!#ref!/sureau_ini.txt!#ref!*1000)^0.5)*1000*40)+1/sureau_ini.txt!#ref!)*B49/101.6)</f>
        <v>#NAME?</v>
      </c>
      <c r="E49" s="525" t="e">
        <f aca="false">sureau_ini.txt!#ref!/(1/sureau_ini.txt!#ref!+1/(1.5*(0.00662*(sureau_ini.txt!#ref!/sureau_ini.txt!#ref!*1000)^0.5)*1000*40)+1/sureau_ini.txt!#ref!)*B49/101.6 + sureau_ini.txt!#ref!/(1/sureau_ini.txt!#ref!+1/(1.5*(0.00662*(sureau_ini.txt!#ref!/sureau_ini.txt!#ref!*1000)^0.5)*1000*40)+1/sureau_ini.txt!#ref!)*B49/101.6 + sureau_ini.txt!#ref!/(1/sureau_ini.txt!#ref!+1/(1.5*(0.00662*(sureau_ini.txt!#ref!/sureau_ini.txt!#ref!*1000)^0.5)*1000*40)+1/sureau_ini.txt!#ref!)*B49/101.6</f>
        <v>#NAME?</v>
      </c>
      <c r="F49" s="75" t="e">
        <f aca="false">E49/1000*18/AK49/100000*3600*C49</f>
        <v>#NAME?</v>
      </c>
      <c r="G49" s="72" t="n">
        <v>-1.5</v>
      </c>
      <c r="H49" s="72" t="n">
        <v>0</v>
      </c>
      <c r="I49" s="75" t="e">
        <f aca="false">E49/(H49-G49)</f>
        <v>#NAME?</v>
      </c>
      <c r="J49" s="75" t="e">
        <f aca="false">I49*C49</f>
        <v>#NAME?</v>
      </c>
      <c r="K49" s="75" t="e">
        <f aca="false">1/I49</f>
        <v>#NAME?</v>
      </c>
      <c r="L49" s="75" t="e">
        <f aca="false">1/J49</f>
        <v>#NAME?</v>
      </c>
      <c r="M49" s="526" t="e">
        <f aca="false">1/(1/'Allometric tree'!I49*'Allometric tree'!BF49/100)</f>
        <v>#NAME?</v>
      </c>
      <c r="N49" s="526" t="e">
        <f aca="false">1/(1/'Allometric tree'!I49*'Allometric tree'!BG49/100)</f>
        <v>#NAME?</v>
      </c>
      <c r="O49" s="30" t="e">
        <f aca="false">1/(1/'Allometric tree'!I49*'Allometric tree'!BH49/100)</f>
        <v>#NAME?</v>
      </c>
      <c r="P49" s="30" t="e">
        <f aca="false">1/(1/'Allometric tree'!I49*'Allometric tree'!BI49/100)</f>
        <v>#NAME?</v>
      </c>
      <c r="Q49" s="30" t="e">
        <f aca="false">1/(1/'Allometric tree'!I49*'Allometric tree'!BJ49/100)</f>
        <v>#NAME?</v>
      </c>
      <c r="R49" s="526" t="e">
        <f aca="false">1/(1/'Allometric tree'!I49*'Allometric tree'!BK49/100)</f>
        <v>#NAME?</v>
      </c>
      <c r="S49" s="30" t="e">
        <f aca="false">M49*'Allometric tree'!C49</f>
        <v>#NAME?</v>
      </c>
      <c r="T49" s="30" t="e">
        <f aca="false">N49*'Allometric tree'!C49</f>
        <v>#NAME?</v>
      </c>
      <c r="U49" s="526" t="e">
        <f aca="false">O49*'Allometric tree'!C49</f>
        <v>#NAME?</v>
      </c>
      <c r="V49" s="526" t="e">
        <f aca="false">P49*'Allometric tree'!C49</f>
        <v>#NAME?</v>
      </c>
      <c r="W49" s="526" t="e">
        <f aca="false">Q49*'Allometric tree'!C49</f>
        <v>#NAME?</v>
      </c>
      <c r="X49" s="30" t="e">
        <f aca="false">R49*'Allometric tree'!C49</f>
        <v>#NAME?</v>
      </c>
      <c r="Y49" s="525" t="e">
        <f aca="false">sureau_ini.txt!#ref!</f>
        <v>#NAME?</v>
      </c>
      <c r="Z49" s="527" t="e">
        <f aca="false">AK49/C49</f>
        <v>#NAME?</v>
      </c>
      <c r="AA49" s="525" t="e">
        <f aca="false">sureau_ini.txt!#ref!</f>
        <v>#NAME?</v>
      </c>
      <c r="AB49" s="525" t="e">
        <f aca="false">sureau_ini.txt!#ref!</f>
        <v>#NAME?</v>
      </c>
      <c r="AC49" s="525" t="n">
        <v>1</v>
      </c>
      <c r="AD49" s="72" t="n">
        <v>0.1</v>
      </c>
      <c r="AE49" s="525" t="n">
        <f aca="false">'sureau_ini.txt'!$E$21</f>
        <v>1</v>
      </c>
      <c r="AF49" s="525" t="e">
        <f aca="false">sureau_ini.txt!#ref!+sureau_ini.txt!#ref!</f>
        <v>#NAME?</v>
      </c>
      <c r="AG49" s="525" t="e">
        <f aca="false">sureau_ini.txt!#ref!</f>
        <v>#NAME?</v>
      </c>
      <c r="AH49" s="525" t="e">
        <f aca="false">sureau_ini.txt!#ref!*100</f>
        <v>#NAME?</v>
      </c>
      <c r="AI49" s="75" t="e">
        <f aca="false">AH49/2*Y49</f>
        <v>#NAME?</v>
      </c>
      <c r="AJ49" s="75" t="e">
        <f aca="false">100*(AH49/100-SQRT(AH49/100*AH49/100-4*AW49/1000/AG49/3.1416))/2</f>
        <v>#NAME?</v>
      </c>
      <c r="AK49" s="75" t="e">
        <f aca="false">(3.1416/4*(AH49^2)-3.1416*(AH49/2-AI49)^2)/10000</f>
        <v>#NAME?</v>
      </c>
      <c r="AL49" s="75" t="e">
        <f aca="false">AK49*AF49</f>
        <v>#NAME?</v>
      </c>
      <c r="AM49" s="75" t="e">
        <f aca="false">AL49*AA49*1000</f>
        <v>#NAME?</v>
      </c>
      <c r="AN49" s="75" t="e">
        <f aca="false">AL49*1000*AB49</f>
        <v>#NAME?</v>
      </c>
      <c r="AO49" s="75" t="e">
        <f aca="false">AK49*AG49</f>
        <v>#NAME?</v>
      </c>
      <c r="AP49" s="75" t="e">
        <f aca="false">AH49*AH49*3.1416/4/C49</f>
        <v>#NAME?</v>
      </c>
      <c r="AQ49" s="75" t="e">
        <f aca="false">AK49*10000/C49</f>
        <v>#NAME?</v>
      </c>
      <c r="AR49" s="525" t="e">
        <f aca="false">(sureau_ini.txt!#ref!/2*sureau_ini.txt!#ref!/2*3.1416)</f>
        <v>#NAME?</v>
      </c>
      <c r="AS49" s="525" t="e">
        <f aca="false">C49/AR49</f>
        <v>#NAME?</v>
      </c>
      <c r="AT49" s="75" t="e">
        <f aca="false">10000/AR49</f>
        <v>#NAME?</v>
      </c>
      <c r="AU49" s="75" t="e">
        <f aca="false">AH49*AH49*3.1416/4/10000*AT49</f>
        <v>#NAME?</v>
      </c>
      <c r="AV49" s="528" t="e">
        <f aca="false">AO49*AA49*1000</f>
        <v>#NAME?</v>
      </c>
      <c r="AW49" s="528" t="e">
        <f aca="false">AO49*1000*AB49</f>
        <v>#NAME?</v>
      </c>
      <c r="AX49" s="528" t="e">
        <f aca="false">AM49-AV49</f>
        <v>#NAME?</v>
      </c>
      <c r="AY49" s="528" t="e">
        <f aca="false">AN49-AW49</f>
        <v>#NAME?</v>
      </c>
      <c r="AZ49" s="528" t="e">
        <f aca="false">AM49*AC49</f>
        <v>#NAME?</v>
      </c>
      <c r="BA49" s="528" t="e">
        <f aca="false">AN49*AC49</f>
        <v>#NAME?</v>
      </c>
      <c r="BB49" s="528" t="e">
        <f aca="false">3.1416*AH49*AG49/100</f>
        <v>#NAME?</v>
      </c>
      <c r="BC49" s="528" t="e">
        <f aca="false">C49*AD49</f>
        <v>#NAME?</v>
      </c>
      <c r="BD49" s="528" t="e">
        <f aca="false">C49*AE49</f>
        <v>#NAME?</v>
      </c>
      <c r="BE49" s="528" t="e">
        <f aca="false">BD49+BC49*AC49</f>
        <v>#NAME?</v>
      </c>
      <c r="BF49" s="72" t="n">
        <v>20</v>
      </c>
      <c r="BG49" s="72" t="n">
        <v>20</v>
      </c>
      <c r="BH49" s="72" t="n">
        <v>8</v>
      </c>
      <c r="BI49" s="72" t="n">
        <v>2</v>
      </c>
      <c r="BJ49" s="72" t="n">
        <v>10</v>
      </c>
      <c r="BK49" s="72" t="n">
        <v>40</v>
      </c>
      <c r="BL49" s="75" t="n">
        <f aca="false">SUM(BF49:BI49)</f>
        <v>50</v>
      </c>
      <c r="BM49" s="75" t="n">
        <f aca="false">BJ49+BK49</f>
        <v>50</v>
      </c>
      <c r="BN49" s="75" t="n">
        <f aca="false">SUM(BF49:BK49)</f>
        <v>100</v>
      </c>
      <c r="BO49" s="0" t="e">
        <f aca="false">AV49+AW49+AX49+AY49+AZ49+BA49+C49*sureau_ini.txt!#ref!/1000</f>
        <v>#NAME?</v>
      </c>
      <c r="BP49" s="0" t="e">
        <f aca="false">AV49+AX49+AZ49 +C49*sureau_ini.txt!#ref!*sureau_ini.txt!#ref!/1000</f>
        <v>#NAME?</v>
      </c>
      <c r="BQ49" s="0" t="e">
        <f aca="false">BO49-BP49</f>
        <v>#NAME?</v>
      </c>
    </row>
    <row r="50" customFormat="false" ht="15.75" hidden="false" customHeight="false" outlineLevel="0" collapsed="false">
      <c r="A50" s="0" t="n">
        <f aca="false">'sureau_ini.txt'!A37</f>
        <v>0</v>
      </c>
      <c r="B50" s="525" t="n">
        <f aca="false">VPD_max</f>
        <v>1.26741256491017</v>
      </c>
      <c r="C50" s="525" t="n">
        <f aca="false">'sureau_ini.txt'!DZ37</f>
        <v>0</v>
      </c>
      <c r="D50" s="525" t="e">
        <f aca="false">(1/(1/'sureau_ini.txt'!EU37+1/(1.5*(0.00662*('sureau_ini.txt'!AG37/'sureau_ini.txt'!DU37*1000)^0.5)*1000*40)+1/'sureau_ini.txt'!EN37)*B50/101.6)</f>
        <v>#DIV/0!</v>
      </c>
      <c r="E50" s="525" t="e">
        <f aca="false">'sureau_ini.txt'!CQ37/(1/'sureau_ini.txt'!EU37+1/(1.5*(0.00662*('sureau_ini.txt'!AG37/'sureau_ini.txt'!DU37*1000)^0.5)*1000*40)+1/'sureau_ini.txt'!EN37)*B50/101.6 + 'sureau_ini.txt'!CR37/(1/'sureau_ini.txt'!EV37+1/(1.5*(0.00662*('sureau_ini.txt'!AG37/'sureau_ini.txt'!DU37*1000)^0.5)*1000*40)+1/'sureau_ini.txt'!EN37)*B50/101.6 + 'sureau_ini.txt'!CS37/(1/'sureau_ini.txt'!EW37+1/(1.5*(0.00662*('sureau_ini.txt'!AG37/'sureau_ini.txt'!DU37*1000)^0.5)*1000*40)+1/'sureau_ini.txt'!EN37)*B50/101.6</f>
        <v>#DIV/0!</v>
      </c>
      <c r="F50" s="75" t="e">
        <f aca="false">E50/1000*18/AK50/100000*3600*C50</f>
        <v>#DIV/0!</v>
      </c>
      <c r="G50" s="72" t="n">
        <v>-1.5</v>
      </c>
      <c r="H50" s="72" t="n">
        <v>0</v>
      </c>
      <c r="I50" s="75" t="e">
        <f aca="false">E50/(H50-G50)</f>
        <v>#DIV/0!</v>
      </c>
      <c r="J50" s="75" t="e">
        <f aca="false">I50*C50</f>
        <v>#DIV/0!</v>
      </c>
      <c r="K50" s="75" t="e">
        <f aca="false">1/I50</f>
        <v>#DIV/0!</v>
      </c>
      <c r="L50" s="75" t="e">
        <f aca="false">1/J50</f>
        <v>#DIV/0!</v>
      </c>
      <c r="M50" s="526" t="e">
        <f aca="false">1/(1/'Allometric tree'!I50*'Allometric tree'!BF50/100)</f>
        <v>#DIV/0!</v>
      </c>
      <c r="N50" s="526" t="e">
        <f aca="false">1/(1/'Allometric tree'!I50*'Allometric tree'!BG50/100)</f>
        <v>#DIV/0!</v>
      </c>
      <c r="O50" s="30" t="e">
        <f aca="false">1/(1/'Allometric tree'!I50*'Allometric tree'!BH50/100)</f>
        <v>#DIV/0!</v>
      </c>
      <c r="P50" s="30" t="e">
        <f aca="false">1/(1/'Allometric tree'!I50*'Allometric tree'!BI50/100)</f>
        <v>#DIV/0!</v>
      </c>
      <c r="Q50" s="30" t="e">
        <f aca="false">1/(1/'Allometric tree'!I50*'Allometric tree'!BJ50/100)</f>
        <v>#DIV/0!</v>
      </c>
      <c r="R50" s="526" t="e">
        <f aca="false">1/(1/'Allometric tree'!I50*'Allometric tree'!BK50/100)</f>
        <v>#DIV/0!</v>
      </c>
      <c r="S50" s="30" t="e">
        <f aca="false">M50*'Allometric tree'!C50</f>
        <v>#DIV/0!</v>
      </c>
      <c r="T50" s="30" t="e">
        <f aca="false">N50*'Allometric tree'!C50</f>
        <v>#DIV/0!</v>
      </c>
      <c r="U50" s="526" t="e">
        <f aca="false">O50*'Allometric tree'!C50</f>
        <v>#DIV/0!</v>
      </c>
      <c r="V50" s="526" t="e">
        <f aca="false">P50*'Allometric tree'!C50</f>
        <v>#DIV/0!</v>
      </c>
      <c r="W50" s="526" t="e">
        <f aca="false">Q50*'Allometric tree'!C50</f>
        <v>#DIV/0!</v>
      </c>
      <c r="X50" s="30" t="e">
        <f aca="false">R50*'Allometric tree'!C50</f>
        <v>#DIV/0!</v>
      </c>
      <c r="Y50" s="525" t="n">
        <f aca="false">'sureau_ini.txt'!DG37</f>
        <v>0</v>
      </c>
      <c r="Z50" s="527" t="e">
        <f aca="false">AK50/C50</f>
        <v>#DIV/0!</v>
      </c>
      <c r="AA50" s="525" t="n">
        <f aca="false">'sureau_ini.txt'!DE37</f>
        <v>0</v>
      </c>
      <c r="AB50" s="525" t="n">
        <f aca="false">'sureau_ini.txt'!DF37</f>
        <v>0</v>
      </c>
      <c r="AC50" s="525" t="n">
        <v>1</v>
      </c>
      <c r="AD50" s="72" t="n">
        <v>0.1</v>
      </c>
      <c r="AE50" s="525" t="n">
        <f aca="false">'sureau_ini.txt'!$E$21</f>
        <v>1</v>
      </c>
      <c r="AF50" s="525" t="n">
        <f aca="false">'sureau_ini.txt'!DC37+'sureau_ini.txt'!CU37</f>
        <v>0</v>
      </c>
      <c r="AG50" s="525" t="n">
        <f aca="false">'sureau_ini.txt'!DC37</f>
        <v>0</v>
      </c>
      <c r="AH50" s="525" t="n">
        <f aca="false">'sureau_ini.txt'!DD37*100</f>
        <v>0</v>
      </c>
      <c r="AI50" s="75" t="n">
        <f aca="false">AH50/2*Y50</f>
        <v>0</v>
      </c>
      <c r="AJ50" s="75" t="e">
        <f aca="false">100*(AH50/100-SQRT(AH50/100*AH50/100-4*AW50/1000/AG50/3.1416))/2</f>
        <v>#DIV/0!</v>
      </c>
      <c r="AK50" s="75" t="n">
        <f aca="false">(3.1416/4*(AH50^2)-3.1416*(AH50/2-AI50)^2)/10000</f>
        <v>0</v>
      </c>
      <c r="AL50" s="75" t="n">
        <f aca="false">AK50*AF50</f>
        <v>0</v>
      </c>
      <c r="AM50" s="75" t="n">
        <f aca="false">AL50*AA50*1000</f>
        <v>0</v>
      </c>
      <c r="AN50" s="75" t="n">
        <f aca="false">AL50*1000*AB50</f>
        <v>0</v>
      </c>
      <c r="AO50" s="75" t="n">
        <f aca="false">AK50*AG50</f>
        <v>0</v>
      </c>
      <c r="AP50" s="75" t="e">
        <f aca="false">AH50*AH50*3.1416/4/C50</f>
        <v>#DIV/0!</v>
      </c>
      <c r="AQ50" s="75" t="e">
        <f aca="false">AK50*10000/C50</f>
        <v>#DIV/0!</v>
      </c>
      <c r="AR50" s="525" t="n">
        <f aca="false">('sureau_ini.txt'!CP37/2*'sureau_ini.txt'!CP37/2*3.1416)</f>
        <v>0</v>
      </c>
      <c r="AS50" s="525" t="e">
        <f aca="false">C50/AR50</f>
        <v>#DIV/0!</v>
      </c>
      <c r="AT50" s="75" t="e">
        <f aca="false">10000/AR50</f>
        <v>#DIV/0!</v>
      </c>
      <c r="AU50" s="75" t="e">
        <f aca="false">AH50*AH50*3.1416/4/10000*AT50</f>
        <v>#DIV/0!</v>
      </c>
      <c r="AV50" s="528" t="n">
        <f aca="false">AO50*AA50*1000</f>
        <v>0</v>
      </c>
      <c r="AW50" s="528" t="n">
        <f aca="false">AO50*1000*AB50</f>
        <v>0</v>
      </c>
      <c r="AX50" s="528" t="n">
        <f aca="false">AM50-AV50</f>
        <v>0</v>
      </c>
      <c r="AY50" s="528" t="n">
        <f aca="false">AN50-AW50</f>
        <v>0</v>
      </c>
      <c r="AZ50" s="528" t="n">
        <f aca="false">AM50*AC50</f>
        <v>0</v>
      </c>
      <c r="BA50" s="528" t="n">
        <f aca="false">AN50*AC50</f>
        <v>0</v>
      </c>
      <c r="BB50" s="528" t="n">
        <f aca="false">3.1416*AH50*AG50/100</f>
        <v>0</v>
      </c>
      <c r="BC50" s="528" t="n">
        <f aca="false">C50*AD50</f>
        <v>0</v>
      </c>
      <c r="BD50" s="528" t="n">
        <f aca="false">C50*AE50</f>
        <v>0</v>
      </c>
      <c r="BE50" s="528" t="n">
        <f aca="false">BD50+BC50*AC50</f>
        <v>0</v>
      </c>
      <c r="BF50" s="72" t="n">
        <v>20</v>
      </c>
      <c r="BG50" s="72" t="n">
        <v>20</v>
      </c>
      <c r="BH50" s="72" t="n">
        <v>8</v>
      </c>
      <c r="BI50" s="72" t="n">
        <v>2</v>
      </c>
      <c r="BJ50" s="72" t="n">
        <v>10</v>
      </c>
      <c r="BK50" s="72" t="n">
        <v>40</v>
      </c>
      <c r="BL50" s="75" t="n">
        <f aca="false">SUM(BF50:BI50)</f>
        <v>50</v>
      </c>
      <c r="BM50" s="75" t="n">
        <f aca="false">BJ50+BK50</f>
        <v>50</v>
      </c>
      <c r="BN50" s="75" t="n">
        <f aca="false">SUM(BF50:BK50)</f>
        <v>100</v>
      </c>
      <c r="BO50" s="0" t="n">
        <f aca="false">AV50+AW50+AX50+AY50+AZ50+BA50+C50*'sureau_ini.txt'!EI37/1000</f>
        <v>0</v>
      </c>
      <c r="BP50" s="0" t="n">
        <f aca="false">AV50+AX50+AZ50 +C50*'sureau_ini.txt'!EI37*'sureau_ini.txt'!EJ37/1000</f>
        <v>0</v>
      </c>
      <c r="BQ50" s="0" t="n">
        <f aca="false">BO50-BP50</f>
        <v>0</v>
      </c>
    </row>
    <row r="51" customFormat="false" ht="15.75" hidden="false" customHeight="false" outlineLevel="0" collapsed="false">
      <c r="A51" s="0" t="n">
        <f aca="false">'sureau_ini.txt'!A38</f>
        <v>0</v>
      </c>
      <c r="B51" s="525" t="n">
        <f aca="false">VPD_max</f>
        <v>1.26741256491017</v>
      </c>
      <c r="C51" s="525" t="n">
        <f aca="false">'sureau_ini.txt'!DZ38</f>
        <v>0</v>
      </c>
      <c r="D51" s="525" t="e">
        <f aca="false">(1/(1/'sureau_ini.txt'!EU38+1/(1.5*(0.00662*('sureau_ini.txt'!AG38/'sureau_ini.txt'!DU38*1000)^0.5)*1000*40)+1/'sureau_ini.txt'!EN38)*B51/101.6)</f>
        <v>#DIV/0!</v>
      </c>
      <c r="E51" s="525" t="e">
        <f aca="false">'sureau_ini.txt'!CQ38/(1/'sureau_ini.txt'!EU38+1/(1.5*(0.00662*('sureau_ini.txt'!AG38/'sureau_ini.txt'!DU38*1000)^0.5)*1000*40)+1/'sureau_ini.txt'!EN38)*B51/101.6 + 'sureau_ini.txt'!CR38/(1/'sureau_ini.txt'!EV38+1/(1.5*(0.00662*('sureau_ini.txt'!AG38/'sureau_ini.txt'!DU38*1000)^0.5)*1000*40)+1/'sureau_ini.txt'!EN38)*B51/101.6 + 'sureau_ini.txt'!CS38/(1/'sureau_ini.txt'!EW38+1/(1.5*(0.00662*('sureau_ini.txt'!AG38/'sureau_ini.txt'!DU38*1000)^0.5)*1000*40)+1/'sureau_ini.txt'!EN38)*B51/101.6</f>
        <v>#DIV/0!</v>
      </c>
      <c r="F51" s="75" t="e">
        <f aca="false">E51/1000*18/AK51/100000*3600*C51</f>
        <v>#DIV/0!</v>
      </c>
      <c r="G51" s="72" t="n">
        <v>-1.5</v>
      </c>
      <c r="H51" s="72" t="n">
        <v>0</v>
      </c>
      <c r="I51" s="75" t="e">
        <f aca="false">E51/(H51-G51)</f>
        <v>#DIV/0!</v>
      </c>
      <c r="J51" s="75" t="e">
        <f aca="false">I51*C51</f>
        <v>#DIV/0!</v>
      </c>
      <c r="K51" s="75" t="e">
        <f aca="false">1/I51</f>
        <v>#DIV/0!</v>
      </c>
      <c r="L51" s="75" t="e">
        <f aca="false">1/J51</f>
        <v>#DIV/0!</v>
      </c>
      <c r="M51" s="526" t="e">
        <f aca="false">1/(1/'Allometric tree'!I51*'Allometric tree'!BF51/100)</f>
        <v>#DIV/0!</v>
      </c>
      <c r="N51" s="526" t="e">
        <f aca="false">1/(1/'Allometric tree'!I51*'Allometric tree'!BG51/100)</f>
        <v>#DIV/0!</v>
      </c>
      <c r="O51" s="30" t="e">
        <f aca="false">1/(1/'Allometric tree'!I51*'Allometric tree'!BH51/100)</f>
        <v>#DIV/0!</v>
      </c>
      <c r="P51" s="30" t="e">
        <f aca="false">1/(1/'Allometric tree'!I51*'Allometric tree'!BI51/100)</f>
        <v>#DIV/0!</v>
      </c>
      <c r="Q51" s="30" t="e">
        <f aca="false">1/(1/'Allometric tree'!I51*'Allometric tree'!BJ51/100)</f>
        <v>#DIV/0!</v>
      </c>
      <c r="R51" s="526" t="e">
        <f aca="false">1/(1/'Allometric tree'!I51*'Allometric tree'!BK51/100)</f>
        <v>#DIV/0!</v>
      </c>
      <c r="S51" s="30" t="e">
        <f aca="false">M51*'Allometric tree'!C51</f>
        <v>#DIV/0!</v>
      </c>
      <c r="T51" s="30" t="e">
        <f aca="false">N51*'Allometric tree'!C51</f>
        <v>#DIV/0!</v>
      </c>
      <c r="U51" s="526" t="e">
        <f aca="false">O51*'Allometric tree'!C51</f>
        <v>#DIV/0!</v>
      </c>
      <c r="V51" s="526" t="e">
        <f aca="false">P51*'Allometric tree'!C51</f>
        <v>#DIV/0!</v>
      </c>
      <c r="W51" s="526" t="e">
        <f aca="false">Q51*'Allometric tree'!C51</f>
        <v>#DIV/0!</v>
      </c>
      <c r="X51" s="30" t="e">
        <f aca="false">R51*'Allometric tree'!C51</f>
        <v>#DIV/0!</v>
      </c>
      <c r="Y51" s="525" t="n">
        <f aca="false">'sureau_ini.txt'!DG38</f>
        <v>0</v>
      </c>
      <c r="Z51" s="527" t="e">
        <f aca="false">AK51/C51</f>
        <v>#DIV/0!</v>
      </c>
      <c r="AA51" s="525" t="n">
        <f aca="false">'sureau_ini.txt'!DE38</f>
        <v>0</v>
      </c>
      <c r="AB51" s="525" t="n">
        <f aca="false">'sureau_ini.txt'!DF38</f>
        <v>0</v>
      </c>
      <c r="AC51" s="525" t="n">
        <v>1</v>
      </c>
      <c r="AD51" s="72" t="n">
        <v>0.1</v>
      </c>
      <c r="AE51" s="525" t="n">
        <f aca="false">'sureau_ini.txt'!$E$21</f>
        <v>1</v>
      </c>
      <c r="AF51" s="525" t="n">
        <f aca="false">'sureau_ini.txt'!DC38+'sureau_ini.txt'!CU38</f>
        <v>0</v>
      </c>
      <c r="AG51" s="525" t="n">
        <f aca="false">'sureau_ini.txt'!DC38</f>
        <v>0</v>
      </c>
      <c r="AH51" s="525" t="n">
        <f aca="false">'sureau_ini.txt'!DD38*100</f>
        <v>0</v>
      </c>
      <c r="AI51" s="75" t="n">
        <f aca="false">AH51/2*Y51</f>
        <v>0</v>
      </c>
      <c r="AJ51" s="75" t="e">
        <f aca="false">100*(AH51/100-SQRT(AH51/100*AH51/100-4*AW51/1000/AG51/3.1416))/2</f>
        <v>#DIV/0!</v>
      </c>
      <c r="AK51" s="75" t="n">
        <f aca="false">(3.1416/4*(AH51^2)-3.1416*(AH51/2-AI51)^2)/10000</f>
        <v>0</v>
      </c>
      <c r="AL51" s="75" t="n">
        <f aca="false">AK51*AF51</f>
        <v>0</v>
      </c>
      <c r="AM51" s="75" t="n">
        <f aca="false">AL51*AA51*1000</f>
        <v>0</v>
      </c>
      <c r="AN51" s="75" t="n">
        <f aca="false">AL51*1000*AB51</f>
        <v>0</v>
      </c>
      <c r="AO51" s="75" t="n">
        <f aca="false">AK51*AG51</f>
        <v>0</v>
      </c>
      <c r="AP51" s="75" t="e">
        <f aca="false">AH51*AH51*3.1416/4/C51</f>
        <v>#DIV/0!</v>
      </c>
      <c r="AQ51" s="75" t="e">
        <f aca="false">AK51*10000/C51</f>
        <v>#DIV/0!</v>
      </c>
      <c r="AR51" s="525" t="n">
        <f aca="false">('sureau_ini.txt'!CP38/2*'sureau_ini.txt'!CP38/2*3.1416)</f>
        <v>0</v>
      </c>
      <c r="AS51" s="525" t="e">
        <f aca="false">C51/AR51</f>
        <v>#DIV/0!</v>
      </c>
      <c r="AT51" s="75" t="e">
        <f aca="false">10000/AR51</f>
        <v>#DIV/0!</v>
      </c>
      <c r="AU51" s="75" t="e">
        <f aca="false">AH51*AH51*3.1416/4/10000*AT51</f>
        <v>#DIV/0!</v>
      </c>
      <c r="AV51" s="528" t="n">
        <f aca="false">AO51*AA51*1000</f>
        <v>0</v>
      </c>
      <c r="AW51" s="528" t="n">
        <f aca="false">AO51*1000*AB51</f>
        <v>0</v>
      </c>
      <c r="AX51" s="528" t="n">
        <f aca="false">AM51-AV51</f>
        <v>0</v>
      </c>
      <c r="AY51" s="528" t="n">
        <f aca="false">AN51-AW51</f>
        <v>0</v>
      </c>
      <c r="AZ51" s="528" t="n">
        <f aca="false">AM51*AC51</f>
        <v>0</v>
      </c>
      <c r="BA51" s="528" t="n">
        <f aca="false">AN51*AC51</f>
        <v>0</v>
      </c>
      <c r="BB51" s="528" t="n">
        <f aca="false">3.1416*AH51*AG51/100</f>
        <v>0</v>
      </c>
      <c r="BC51" s="528" t="n">
        <f aca="false">C51*AD51</f>
        <v>0</v>
      </c>
      <c r="BD51" s="528" t="n">
        <f aca="false">C51*AE51</f>
        <v>0</v>
      </c>
      <c r="BE51" s="528" t="n">
        <f aca="false">BD51+BC51*AC51</f>
        <v>0</v>
      </c>
      <c r="BF51" s="72" t="n">
        <v>20</v>
      </c>
      <c r="BG51" s="72" t="n">
        <v>20</v>
      </c>
      <c r="BH51" s="72" t="n">
        <v>8</v>
      </c>
      <c r="BI51" s="72" t="n">
        <v>2</v>
      </c>
      <c r="BJ51" s="72" t="n">
        <v>10</v>
      </c>
      <c r="BK51" s="72" t="n">
        <v>40</v>
      </c>
      <c r="BL51" s="75" t="n">
        <f aca="false">SUM(BF51:BI51)</f>
        <v>50</v>
      </c>
      <c r="BM51" s="75" t="n">
        <f aca="false">BJ51+BK51</f>
        <v>50</v>
      </c>
      <c r="BN51" s="75" t="n">
        <f aca="false">SUM(BF51:BK51)</f>
        <v>100</v>
      </c>
      <c r="BO51" s="0" t="n">
        <f aca="false">AV51+AW51+AX51+AY51+AZ51+BA51+C51*'sureau_ini.txt'!EI38/1000</f>
        <v>0</v>
      </c>
      <c r="BP51" s="0" t="n">
        <f aca="false">AV51+AX51+AZ51 +C51*'sureau_ini.txt'!EI38*'sureau_ini.txt'!EJ38/1000</f>
        <v>0</v>
      </c>
      <c r="BQ51" s="0" t="n">
        <f aca="false">BO51-BP51</f>
        <v>0</v>
      </c>
    </row>
    <row r="52" customFormat="false" ht="15.75" hidden="false" customHeight="false" outlineLevel="0" collapsed="false">
      <c r="A52" s="0" t="n">
        <f aca="false">'sureau_ini.txt'!A39</f>
        <v>0</v>
      </c>
      <c r="B52" s="525" t="n">
        <f aca="false">VPD_max</f>
        <v>1.26741256491017</v>
      </c>
      <c r="C52" s="525" t="n">
        <f aca="false">'sureau_ini.txt'!DZ39</f>
        <v>0</v>
      </c>
      <c r="D52" s="525" t="e">
        <f aca="false">(1/(1/'sureau_ini.txt'!EU39+1/(1.5*(0.00662*('sureau_ini.txt'!AG39/'sureau_ini.txt'!DU39*1000)^0.5)*1000*40)+1/'sureau_ini.txt'!EN39)*B52/101.6)</f>
        <v>#DIV/0!</v>
      </c>
      <c r="E52" s="525" t="e">
        <f aca="false">'sureau_ini.txt'!CQ39/(1/'sureau_ini.txt'!EU39+1/(1.5*(0.00662*('sureau_ini.txt'!AG39/'sureau_ini.txt'!DU39*1000)^0.5)*1000*40)+1/'sureau_ini.txt'!EN39)*B52/101.6 + 'sureau_ini.txt'!CR39/(1/'sureau_ini.txt'!EV39+1/(1.5*(0.00662*('sureau_ini.txt'!AG39/'sureau_ini.txt'!DU39*1000)^0.5)*1000*40)+1/'sureau_ini.txt'!EN39)*B52/101.6 + 'sureau_ini.txt'!CS39/(1/'sureau_ini.txt'!EW39+1/(1.5*(0.00662*('sureau_ini.txt'!AG39/'sureau_ini.txt'!DU39*1000)^0.5)*1000*40)+1/'sureau_ini.txt'!EN39)*B52/101.6</f>
        <v>#DIV/0!</v>
      </c>
      <c r="F52" s="75" t="e">
        <f aca="false">E52/1000*18/AK52/100000*3600*C52</f>
        <v>#DIV/0!</v>
      </c>
      <c r="G52" s="72" t="n">
        <v>-1.5</v>
      </c>
      <c r="H52" s="72" t="n">
        <v>0</v>
      </c>
      <c r="I52" s="75" t="e">
        <f aca="false">E52/(H52-G52)</f>
        <v>#DIV/0!</v>
      </c>
      <c r="J52" s="75" t="e">
        <f aca="false">I52*C52</f>
        <v>#DIV/0!</v>
      </c>
      <c r="K52" s="75" t="e">
        <f aca="false">1/I52</f>
        <v>#DIV/0!</v>
      </c>
      <c r="L52" s="75" t="e">
        <f aca="false">1/J52</f>
        <v>#DIV/0!</v>
      </c>
      <c r="M52" s="526" t="e">
        <f aca="false">1/(1/'Allometric tree'!I52*'Allometric tree'!BF52/100)</f>
        <v>#DIV/0!</v>
      </c>
      <c r="N52" s="526" t="e">
        <f aca="false">1/(1/'Allometric tree'!I52*'Allometric tree'!BG52/100)</f>
        <v>#DIV/0!</v>
      </c>
      <c r="O52" s="30" t="e">
        <f aca="false">1/(1/'Allometric tree'!I52*'Allometric tree'!BH52/100)</f>
        <v>#DIV/0!</v>
      </c>
      <c r="P52" s="30" t="e">
        <f aca="false">1/(1/'Allometric tree'!I52*'Allometric tree'!BI52/100)</f>
        <v>#DIV/0!</v>
      </c>
      <c r="Q52" s="30" t="e">
        <f aca="false">1/(1/'Allometric tree'!I52*'Allometric tree'!BJ52/100)</f>
        <v>#DIV/0!</v>
      </c>
      <c r="R52" s="526" t="e">
        <f aca="false">1/(1/'Allometric tree'!I52*'Allometric tree'!BK52/100)</f>
        <v>#DIV/0!</v>
      </c>
      <c r="S52" s="30" t="e">
        <f aca="false">M52*'Allometric tree'!C52</f>
        <v>#DIV/0!</v>
      </c>
      <c r="T52" s="30" t="e">
        <f aca="false">N52*'Allometric tree'!C52</f>
        <v>#DIV/0!</v>
      </c>
      <c r="U52" s="526" t="e">
        <f aca="false">O52*'Allometric tree'!C52</f>
        <v>#DIV/0!</v>
      </c>
      <c r="V52" s="526" t="e">
        <f aca="false">P52*'Allometric tree'!C52</f>
        <v>#DIV/0!</v>
      </c>
      <c r="W52" s="526" t="e">
        <f aca="false">Q52*'Allometric tree'!C52</f>
        <v>#DIV/0!</v>
      </c>
      <c r="X52" s="30" t="e">
        <f aca="false">R52*'Allometric tree'!C52</f>
        <v>#DIV/0!</v>
      </c>
      <c r="Y52" s="525" t="n">
        <f aca="false">'sureau_ini.txt'!DG39</f>
        <v>0</v>
      </c>
      <c r="Z52" s="527" t="e">
        <f aca="false">AK52/C52</f>
        <v>#DIV/0!</v>
      </c>
      <c r="AA52" s="525" t="n">
        <f aca="false">'sureau_ini.txt'!DE39</f>
        <v>0</v>
      </c>
      <c r="AB52" s="525" t="n">
        <f aca="false">'sureau_ini.txt'!DF39</f>
        <v>0</v>
      </c>
      <c r="AC52" s="525" t="n">
        <v>1</v>
      </c>
      <c r="AD52" s="72" t="n">
        <v>0.1</v>
      </c>
      <c r="AE52" s="525" t="n">
        <f aca="false">'sureau_ini.txt'!$E$21</f>
        <v>1</v>
      </c>
      <c r="AF52" s="525" t="n">
        <f aca="false">'sureau_ini.txt'!DC39+'sureau_ini.txt'!CU39</f>
        <v>0</v>
      </c>
      <c r="AG52" s="525" t="n">
        <f aca="false">'sureau_ini.txt'!DC39</f>
        <v>0</v>
      </c>
      <c r="AH52" s="525" t="n">
        <f aca="false">'sureau_ini.txt'!DD39*100</f>
        <v>0</v>
      </c>
      <c r="AI52" s="75" t="n">
        <f aca="false">AH52/2*Y52</f>
        <v>0</v>
      </c>
      <c r="AJ52" s="75" t="e">
        <f aca="false">100*(AH52/100-SQRT(AH52/100*AH52/100-4*AW52/1000/AG52/3.1416))/2</f>
        <v>#DIV/0!</v>
      </c>
      <c r="AK52" s="75" t="n">
        <f aca="false">(3.1416/4*(AH52^2)-3.1416*(AH52/2-AI52)^2)/10000</f>
        <v>0</v>
      </c>
      <c r="AL52" s="75" t="n">
        <f aca="false">AK52*AF52</f>
        <v>0</v>
      </c>
      <c r="AM52" s="75" t="n">
        <f aca="false">AL52*AA52*1000</f>
        <v>0</v>
      </c>
      <c r="AN52" s="75" t="n">
        <f aca="false">AL52*1000*AB52</f>
        <v>0</v>
      </c>
      <c r="AO52" s="75" t="n">
        <f aca="false">AK52*AG52</f>
        <v>0</v>
      </c>
      <c r="AP52" s="75" t="e">
        <f aca="false">AH52*AH52*3.1416/4/C52</f>
        <v>#DIV/0!</v>
      </c>
      <c r="AQ52" s="75" t="e">
        <f aca="false">AK52*10000/C52</f>
        <v>#DIV/0!</v>
      </c>
      <c r="AR52" s="525" t="n">
        <f aca="false">('sureau_ini.txt'!CP39/2*'sureau_ini.txt'!CP39/2*3.1416)</f>
        <v>0</v>
      </c>
      <c r="AS52" s="525" t="e">
        <f aca="false">C52/AR52</f>
        <v>#DIV/0!</v>
      </c>
      <c r="AT52" s="75" t="e">
        <f aca="false">10000/AR52</f>
        <v>#DIV/0!</v>
      </c>
      <c r="AU52" s="75" t="e">
        <f aca="false">AH52*AH52*3.1416/4/10000*AT52</f>
        <v>#DIV/0!</v>
      </c>
      <c r="AV52" s="528" t="n">
        <f aca="false">AO52*AA52*1000</f>
        <v>0</v>
      </c>
      <c r="AW52" s="528" t="n">
        <f aca="false">AO52*1000*AB52</f>
        <v>0</v>
      </c>
      <c r="AX52" s="528" t="n">
        <f aca="false">AM52-AV52</f>
        <v>0</v>
      </c>
      <c r="AY52" s="528" t="n">
        <f aca="false">AN52-AW52</f>
        <v>0</v>
      </c>
      <c r="AZ52" s="528" t="n">
        <f aca="false">AM52*AC52</f>
        <v>0</v>
      </c>
      <c r="BA52" s="528" t="n">
        <f aca="false">AN52*AC52</f>
        <v>0</v>
      </c>
      <c r="BB52" s="528" t="n">
        <f aca="false">3.1416*AH52*AG52/100</f>
        <v>0</v>
      </c>
      <c r="BC52" s="528" t="n">
        <f aca="false">C52*AD52</f>
        <v>0</v>
      </c>
      <c r="BD52" s="528" t="n">
        <f aca="false">C52*AE52</f>
        <v>0</v>
      </c>
      <c r="BE52" s="528" t="n">
        <f aca="false">BD52+BC52*AC52</f>
        <v>0</v>
      </c>
      <c r="BF52" s="72" t="n">
        <v>20</v>
      </c>
      <c r="BG52" s="72" t="n">
        <v>20</v>
      </c>
      <c r="BH52" s="72" t="n">
        <v>8</v>
      </c>
      <c r="BI52" s="72" t="n">
        <v>2</v>
      </c>
      <c r="BJ52" s="72" t="n">
        <v>10</v>
      </c>
      <c r="BK52" s="72" t="n">
        <v>40</v>
      </c>
      <c r="BL52" s="75" t="n">
        <f aca="false">SUM(BF52:BI52)</f>
        <v>50</v>
      </c>
      <c r="BM52" s="75" t="n">
        <f aca="false">BJ52+BK52</f>
        <v>50</v>
      </c>
      <c r="BN52" s="75" t="n">
        <f aca="false">SUM(BF52:BK52)</f>
        <v>100</v>
      </c>
      <c r="BO52" s="0" t="n">
        <f aca="false">AV52+AW52+AX52+AY52+AZ52+BA52+C52*'sureau_ini.txt'!EI39/1000</f>
        <v>0</v>
      </c>
      <c r="BP52" s="0" t="n">
        <f aca="false">AV52+AX52+AZ52 +C52*'sureau_ini.txt'!EI39*'sureau_ini.txt'!EJ39/1000</f>
        <v>0</v>
      </c>
      <c r="BQ52" s="0" t="n">
        <f aca="false">BO52-BP52</f>
        <v>0</v>
      </c>
    </row>
    <row r="53" customFormat="false" ht="15.75" hidden="false" customHeight="false" outlineLevel="0" collapsed="false">
      <c r="A53" s="0" t="n">
        <f aca="false">'sureau_ini.txt'!A40</f>
        <v>0</v>
      </c>
      <c r="B53" s="525" t="n">
        <f aca="false">VPD_max</f>
        <v>1.26741256491017</v>
      </c>
      <c r="C53" s="525" t="n">
        <f aca="false">'sureau_ini.txt'!DZ40</f>
        <v>0</v>
      </c>
      <c r="D53" s="525" t="e">
        <f aca="false">(1/(1/'sureau_ini.txt'!EU40+1/(1.5*(0.00662*('sureau_ini.txt'!AG40/'sureau_ini.txt'!DU40*1000)^0.5)*1000*40)+1/'sureau_ini.txt'!EN40)*B53/101.6)</f>
        <v>#DIV/0!</v>
      </c>
      <c r="E53" s="525" t="e">
        <f aca="false">'sureau_ini.txt'!CQ40/(1/'sureau_ini.txt'!EU40+1/(1.5*(0.00662*('sureau_ini.txt'!AG40/'sureau_ini.txt'!DU40*1000)^0.5)*1000*40)+1/'sureau_ini.txt'!EN40)*B53/101.6 + 'sureau_ini.txt'!CR40/(1/'sureau_ini.txt'!EV40+1/(1.5*(0.00662*('sureau_ini.txt'!AG40/'sureau_ini.txt'!DU40*1000)^0.5)*1000*40)+1/'sureau_ini.txt'!EN40)*B53/101.6 + 'sureau_ini.txt'!CS40/(1/'sureau_ini.txt'!EW40+1/(1.5*(0.00662*('sureau_ini.txt'!AG40/'sureau_ini.txt'!DU40*1000)^0.5)*1000*40)+1/'sureau_ini.txt'!EN40)*B53/101.6</f>
        <v>#DIV/0!</v>
      </c>
      <c r="F53" s="75" t="e">
        <f aca="false">E53/1000*18/AK53/100000*3600*C53</f>
        <v>#DIV/0!</v>
      </c>
      <c r="G53" s="72" t="n">
        <v>-1.5</v>
      </c>
      <c r="H53" s="72" t="n">
        <v>0</v>
      </c>
      <c r="I53" s="75" t="e">
        <f aca="false">E53/(H53-G53)</f>
        <v>#DIV/0!</v>
      </c>
      <c r="J53" s="75" t="e">
        <f aca="false">I53*C53</f>
        <v>#DIV/0!</v>
      </c>
      <c r="K53" s="75" t="e">
        <f aca="false">1/I53</f>
        <v>#DIV/0!</v>
      </c>
      <c r="L53" s="75" t="e">
        <f aca="false">1/J53</f>
        <v>#DIV/0!</v>
      </c>
      <c r="M53" s="526" t="e">
        <f aca="false">1/(1/'Allometric tree'!I53*'Allometric tree'!BF53/100)</f>
        <v>#DIV/0!</v>
      </c>
      <c r="N53" s="526" t="e">
        <f aca="false">1/(1/'Allometric tree'!I53*'Allometric tree'!BG53/100)</f>
        <v>#DIV/0!</v>
      </c>
      <c r="O53" s="30" t="e">
        <f aca="false">1/(1/'Allometric tree'!I53*'Allometric tree'!BH53/100)</f>
        <v>#DIV/0!</v>
      </c>
      <c r="P53" s="30" t="e">
        <f aca="false">1/(1/'Allometric tree'!I53*'Allometric tree'!BI53/100)</f>
        <v>#DIV/0!</v>
      </c>
      <c r="Q53" s="30" t="e">
        <f aca="false">1/(1/'Allometric tree'!I53*'Allometric tree'!BJ53/100)</f>
        <v>#DIV/0!</v>
      </c>
      <c r="R53" s="526" t="e">
        <f aca="false">1/(1/'Allometric tree'!I53*'Allometric tree'!BK53/100)</f>
        <v>#DIV/0!</v>
      </c>
      <c r="S53" s="30" t="e">
        <f aca="false">M53*'Allometric tree'!C53</f>
        <v>#DIV/0!</v>
      </c>
      <c r="T53" s="30" t="e">
        <f aca="false">N53*'Allometric tree'!C53</f>
        <v>#DIV/0!</v>
      </c>
      <c r="U53" s="526" t="e">
        <f aca="false">O53*'Allometric tree'!C53</f>
        <v>#DIV/0!</v>
      </c>
      <c r="V53" s="526" t="e">
        <f aca="false">P53*'Allometric tree'!C53</f>
        <v>#DIV/0!</v>
      </c>
      <c r="W53" s="526" t="e">
        <f aca="false">Q53*'Allometric tree'!C53</f>
        <v>#DIV/0!</v>
      </c>
      <c r="X53" s="30" t="e">
        <f aca="false">R53*'Allometric tree'!C53</f>
        <v>#DIV/0!</v>
      </c>
      <c r="Y53" s="525" t="n">
        <f aca="false">'sureau_ini.txt'!DG40</f>
        <v>0</v>
      </c>
      <c r="Z53" s="527" t="e">
        <f aca="false">AK53/C53</f>
        <v>#DIV/0!</v>
      </c>
      <c r="AA53" s="525" t="n">
        <f aca="false">'sureau_ini.txt'!DE40</f>
        <v>0</v>
      </c>
      <c r="AB53" s="525" t="n">
        <f aca="false">'sureau_ini.txt'!DF40</f>
        <v>0</v>
      </c>
      <c r="AC53" s="525" t="n">
        <v>1</v>
      </c>
      <c r="AD53" s="72" t="n">
        <v>0.1</v>
      </c>
      <c r="AE53" s="525" t="n">
        <f aca="false">'sureau_ini.txt'!$E$21</f>
        <v>1</v>
      </c>
      <c r="AF53" s="525" t="n">
        <f aca="false">'sureau_ini.txt'!DC40+'sureau_ini.txt'!CU40</f>
        <v>0</v>
      </c>
      <c r="AG53" s="525" t="n">
        <f aca="false">'sureau_ini.txt'!DC40</f>
        <v>0</v>
      </c>
      <c r="AH53" s="525" t="n">
        <f aca="false">'sureau_ini.txt'!DD40*100</f>
        <v>0</v>
      </c>
      <c r="AI53" s="75" t="n">
        <f aca="false">AH53/2*Y53</f>
        <v>0</v>
      </c>
      <c r="AJ53" s="75" t="e">
        <f aca="false">100*(AH53/100-SQRT(AH53/100*AH53/100-4*AW53/1000/AG53/3.1416))/2</f>
        <v>#DIV/0!</v>
      </c>
      <c r="AK53" s="75" t="n">
        <f aca="false">(3.1416/4*(AH53^2)-3.1416*(AH53/2-AI53)^2)/10000</f>
        <v>0</v>
      </c>
      <c r="AL53" s="75" t="n">
        <f aca="false">AK53*AF53</f>
        <v>0</v>
      </c>
      <c r="AM53" s="75" t="n">
        <f aca="false">AL53*AA53*1000</f>
        <v>0</v>
      </c>
      <c r="AN53" s="75" t="n">
        <f aca="false">AL53*1000*AB53</f>
        <v>0</v>
      </c>
      <c r="AO53" s="75" t="n">
        <f aca="false">AK53*AG53</f>
        <v>0</v>
      </c>
      <c r="AP53" s="75" t="e">
        <f aca="false">AH53*AH53*3.1416/4/C53</f>
        <v>#DIV/0!</v>
      </c>
      <c r="AQ53" s="75" t="e">
        <f aca="false">AK53*10000/C53</f>
        <v>#DIV/0!</v>
      </c>
      <c r="AR53" s="525" t="n">
        <f aca="false">('sureau_ini.txt'!CP40/2*'sureau_ini.txt'!CP40/2*3.1416)</f>
        <v>0</v>
      </c>
      <c r="AS53" s="525" t="e">
        <f aca="false">C53/AR53</f>
        <v>#DIV/0!</v>
      </c>
      <c r="AT53" s="75" t="e">
        <f aca="false">10000/AR53</f>
        <v>#DIV/0!</v>
      </c>
      <c r="AU53" s="75" t="e">
        <f aca="false">AH53*AH53*3.1416/4/10000*AT53</f>
        <v>#DIV/0!</v>
      </c>
      <c r="AV53" s="528" t="n">
        <f aca="false">AO53*AA53*1000</f>
        <v>0</v>
      </c>
      <c r="AW53" s="528" t="n">
        <f aca="false">AO53*1000*AB53</f>
        <v>0</v>
      </c>
      <c r="AX53" s="528" t="n">
        <f aca="false">AM53-AV53</f>
        <v>0</v>
      </c>
      <c r="AY53" s="528" t="n">
        <f aca="false">AN53-AW53</f>
        <v>0</v>
      </c>
      <c r="AZ53" s="528" t="n">
        <f aca="false">AM53*AC53</f>
        <v>0</v>
      </c>
      <c r="BA53" s="528" t="n">
        <f aca="false">AN53*AC53</f>
        <v>0</v>
      </c>
      <c r="BB53" s="528" t="n">
        <f aca="false">3.1416*AH53*AG53/100</f>
        <v>0</v>
      </c>
      <c r="BC53" s="528" t="n">
        <f aca="false">C53*AD53</f>
        <v>0</v>
      </c>
      <c r="BD53" s="528" t="n">
        <f aca="false">C53*AE53</f>
        <v>0</v>
      </c>
      <c r="BE53" s="528" t="n">
        <f aca="false">BD53+BC53*AC53</f>
        <v>0</v>
      </c>
      <c r="BF53" s="72" t="n">
        <v>20</v>
      </c>
      <c r="BG53" s="72" t="n">
        <v>20</v>
      </c>
      <c r="BH53" s="72" t="n">
        <v>8</v>
      </c>
      <c r="BI53" s="72" t="n">
        <v>2</v>
      </c>
      <c r="BJ53" s="72" t="n">
        <v>10</v>
      </c>
      <c r="BK53" s="72" t="n">
        <v>40</v>
      </c>
      <c r="BL53" s="75" t="n">
        <f aca="false">SUM(BF53:BI53)</f>
        <v>50</v>
      </c>
      <c r="BM53" s="75" t="n">
        <f aca="false">BJ53+BK53</f>
        <v>50</v>
      </c>
      <c r="BN53" s="75" t="n">
        <f aca="false">SUM(BF53:BK53)</f>
        <v>100</v>
      </c>
      <c r="BO53" s="0" t="n">
        <f aca="false">AV53+AW53+AX53+AY53+AZ53+BA53+C53*'sureau_ini.txt'!EI40/1000</f>
        <v>0</v>
      </c>
      <c r="BP53" s="0" t="n">
        <f aca="false">AV53+AX53+AZ53 +C53*'sureau_ini.txt'!EI40*'sureau_ini.txt'!EJ40/1000</f>
        <v>0</v>
      </c>
      <c r="BQ53" s="0" t="n">
        <f aca="false">BO53-BP53</f>
        <v>0</v>
      </c>
    </row>
    <row r="54" customFormat="false" ht="15.75" hidden="false" customHeight="false" outlineLevel="0" collapsed="false">
      <c r="A54" s="0" t="n">
        <f aca="false">'sureau_ini.txt'!A41</f>
        <v>0</v>
      </c>
      <c r="B54" s="525" t="n">
        <f aca="false">VPD_max</f>
        <v>1.26741256491017</v>
      </c>
      <c r="C54" s="525" t="n">
        <f aca="false">'sureau_ini.txt'!DZ41</f>
        <v>0</v>
      </c>
      <c r="D54" s="525" t="e">
        <f aca="false">(1/(1/'sureau_ini.txt'!EU41+1/(1.5*(0.00662*('sureau_ini.txt'!AG41/'sureau_ini.txt'!DU41*1000)^0.5)*1000*40)+1/'sureau_ini.txt'!EN41)*B54/101.6)</f>
        <v>#DIV/0!</v>
      </c>
      <c r="E54" s="525" t="e">
        <f aca="false">'sureau_ini.txt'!CQ41/(1/'sureau_ini.txt'!EU41+1/(1.5*(0.00662*('sureau_ini.txt'!AG41/'sureau_ini.txt'!DU41*1000)^0.5)*1000*40)+1/'sureau_ini.txt'!EN41)*B54/101.6 + 'sureau_ini.txt'!CR41/(1/'sureau_ini.txt'!EV41+1/(1.5*(0.00662*('sureau_ini.txt'!AG41/'sureau_ini.txt'!DU41*1000)^0.5)*1000*40)+1/'sureau_ini.txt'!EN41)*B54/101.6 + 'sureau_ini.txt'!CS41/(1/'sureau_ini.txt'!EW41+1/(1.5*(0.00662*('sureau_ini.txt'!AG41/'sureau_ini.txt'!DU41*1000)^0.5)*1000*40)+1/'sureau_ini.txt'!EN41)*B54/101.6</f>
        <v>#DIV/0!</v>
      </c>
      <c r="F54" s="75" t="e">
        <f aca="false">E54/1000*18/AK54/100000*3600*C54</f>
        <v>#DIV/0!</v>
      </c>
      <c r="G54" s="72" t="n">
        <v>-1.5</v>
      </c>
      <c r="H54" s="72" t="n">
        <v>0</v>
      </c>
      <c r="I54" s="75" t="e">
        <f aca="false">E54/(H54-G54)</f>
        <v>#DIV/0!</v>
      </c>
      <c r="J54" s="75" t="e">
        <f aca="false">I54*C54</f>
        <v>#DIV/0!</v>
      </c>
      <c r="K54" s="75" t="e">
        <f aca="false">1/I54</f>
        <v>#DIV/0!</v>
      </c>
      <c r="L54" s="75" t="e">
        <f aca="false">1/J54</f>
        <v>#DIV/0!</v>
      </c>
      <c r="M54" s="526" t="e">
        <f aca="false">1/(1/'Allometric tree'!I54*'Allometric tree'!BF54/100)</f>
        <v>#DIV/0!</v>
      </c>
      <c r="N54" s="526" t="e">
        <f aca="false">1/(1/'Allometric tree'!I54*'Allometric tree'!BG54/100)</f>
        <v>#DIV/0!</v>
      </c>
      <c r="O54" s="30" t="e">
        <f aca="false">1/(1/'Allometric tree'!I54*'Allometric tree'!BH54/100)</f>
        <v>#DIV/0!</v>
      </c>
      <c r="P54" s="30" t="e">
        <f aca="false">1/(1/'Allometric tree'!I54*'Allometric tree'!BI54/100)</f>
        <v>#DIV/0!</v>
      </c>
      <c r="Q54" s="30" t="e">
        <f aca="false">1/(1/'Allometric tree'!I54*'Allometric tree'!BJ54/100)</f>
        <v>#DIV/0!</v>
      </c>
      <c r="R54" s="526" t="e">
        <f aca="false">1/(1/'Allometric tree'!I54*'Allometric tree'!BK54/100)</f>
        <v>#DIV/0!</v>
      </c>
      <c r="S54" s="30" t="e">
        <f aca="false">M54*'Allometric tree'!C54</f>
        <v>#DIV/0!</v>
      </c>
      <c r="T54" s="30" t="e">
        <f aca="false">N54*'Allometric tree'!C54</f>
        <v>#DIV/0!</v>
      </c>
      <c r="U54" s="526" t="e">
        <f aca="false">O54*'Allometric tree'!C54</f>
        <v>#DIV/0!</v>
      </c>
      <c r="V54" s="526" t="e">
        <f aca="false">P54*'Allometric tree'!C54</f>
        <v>#DIV/0!</v>
      </c>
      <c r="W54" s="526" t="e">
        <f aca="false">Q54*'Allometric tree'!C54</f>
        <v>#DIV/0!</v>
      </c>
      <c r="X54" s="30" t="e">
        <f aca="false">R54*'Allometric tree'!C54</f>
        <v>#DIV/0!</v>
      </c>
      <c r="Y54" s="525" t="n">
        <f aca="false">'sureau_ini.txt'!DG41</f>
        <v>0</v>
      </c>
      <c r="Z54" s="527" t="e">
        <f aca="false">AK54/C54</f>
        <v>#DIV/0!</v>
      </c>
      <c r="AA54" s="525" t="n">
        <f aca="false">'sureau_ini.txt'!DE41</f>
        <v>0</v>
      </c>
      <c r="AB54" s="525" t="n">
        <f aca="false">'sureau_ini.txt'!DF41</f>
        <v>0</v>
      </c>
      <c r="AC54" s="525" t="n">
        <v>1</v>
      </c>
      <c r="AD54" s="72" t="n">
        <v>0.1</v>
      </c>
      <c r="AE54" s="525" t="n">
        <f aca="false">'sureau_ini.txt'!$E$21</f>
        <v>1</v>
      </c>
      <c r="AF54" s="525" t="n">
        <f aca="false">'sureau_ini.txt'!DC41+'sureau_ini.txt'!CU41</f>
        <v>0</v>
      </c>
      <c r="AG54" s="525" t="n">
        <f aca="false">'sureau_ini.txt'!DC41</f>
        <v>0</v>
      </c>
      <c r="AH54" s="525" t="n">
        <f aca="false">'sureau_ini.txt'!DD41*100</f>
        <v>0</v>
      </c>
      <c r="AI54" s="75" t="n">
        <f aca="false">AH54/2*Y54</f>
        <v>0</v>
      </c>
      <c r="AJ54" s="75" t="e">
        <f aca="false">100*(AH54/100-SQRT(AH54/100*AH54/100-4*AW54/1000/AG54/3.1416))/2</f>
        <v>#DIV/0!</v>
      </c>
      <c r="AK54" s="75" t="n">
        <f aca="false">(3.1416/4*(AH54^2)-3.1416*(AH54/2-AI54)^2)/10000</f>
        <v>0</v>
      </c>
      <c r="AL54" s="75" t="n">
        <f aca="false">AK54*AF54</f>
        <v>0</v>
      </c>
      <c r="AM54" s="75" t="n">
        <f aca="false">AL54*AA54*1000</f>
        <v>0</v>
      </c>
      <c r="AN54" s="75" t="n">
        <f aca="false">AL54*1000*AB54</f>
        <v>0</v>
      </c>
      <c r="AO54" s="75" t="n">
        <f aca="false">AK54*AG54</f>
        <v>0</v>
      </c>
      <c r="AP54" s="75" t="e">
        <f aca="false">AH54*AH54*3.1416/4/C54</f>
        <v>#DIV/0!</v>
      </c>
      <c r="AQ54" s="75" t="e">
        <f aca="false">AK54*10000/C54</f>
        <v>#DIV/0!</v>
      </c>
      <c r="AR54" s="525" t="n">
        <f aca="false">('sureau_ini.txt'!CP41/2*'sureau_ini.txt'!CP41/2*3.1416)</f>
        <v>0</v>
      </c>
      <c r="AS54" s="525" t="e">
        <f aca="false">C54/AR54</f>
        <v>#DIV/0!</v>
      </c>
      <c r="AT54" s="75" t="e">
        <f aca="false">10000/AR54</f>
        <v>#DIV/0!</v>
      </c>
      <c r="AU54" s="75" t="e">
        <f aca="false">AH54*AH54*3.1416/4/10000*AT54</f>
        <v>#DIV/0!</v>
      </c>
      <c r="AV54" s="528" t="n">
        <f aca="false">AO54*AA54*1000</f>
        <v>0</v>
      </c>
      <c r="AW54" s="528" t="n">
        <f aca="false">AO54*1000*AB54</f>
        <v>0</v>
      </c>
      <c r="AX54" s="528" t="n">
        <f aca="false">AM54-AV54</f>
        <v>0</v>
      </c>
      <c r="AY54" s="528" t="n">
        <f aca="false">AN54-AW54</f>
        <v>0</v>
      </c>
      <c r="AZ54" s="528" t="n">
        <f aca="false">AM54*AC54</f>
        <v>0</v>
      </c>
      <c r="BA54" s="528" t="n">
        <f aca="false">AN54*AC54</f>
        <v>0</v>
      </c>
      <c r="BB54" s="528" t="n">
        <f aca="false">3.1416*AH54*AG54/100</f>
        <v>0</v>
      </c>
      <c r="BC54" s="528" t="n">
        <f aca="false">C54*AD54</f>
        <v>0</v>
      </c>
      <c r="BD54" s="528" t="n">
        <f aca="false">C54*AE54</f>
        <v>0</v>
      </c>
      <c r="BE54" s="528" t="n">
        <f aca="false">BD54+BC54*AC54</f>
        <v>0</v>
      </c>
      <c r="BF54" s="72" t="n">
        <v>20</v>
      </c>
      <c r="BG54" s="72" t="n">
        <v>20</v>
      </c>
      <c r="BH54" s="72" t="n">
        <v>8</v>
      </c>
      <c r="BI54" s="72" t="n">
        <v>2</v>
      </c>
      <c r="BJ54" s="72" t="n">
        <v>10</v>
      </c>
      <c r="BK54" s="72" t="n">
        <v>40</v>
      </c>
      <c r="BL54" s="75" t="n">
        <f aca="false">SUM(BF54:BI54)</f>
        <v>50</v>
      </c>
      <c r="BM54" s="75" t="n">
        <f aca="false">BJ54+BK54</f>
        <v>50</v>
      </c>
      <c r="BN54" s="75" t="n">
        <f aca="false">SUM(BF54:BK54)</f>
        <v>100</v>
      </c>
      <c r="BO54" s="0" t="n">
        <f aca="false">AV54+AW54+AX54+AY54+AZ54+BA54+C54*'sureau_ini.txt'!EI41/1000</f>
        <v>0</v>
      </c>
      <c r="BP54" s="0" t="n">
        <f aca="false">AV54+AX54+AZ54 +C54*'sureau_ini.txt'!EI41*'sureau_ini.txt'!EJ41/1000</f>
        <v>0</v>
      </c>
      <c r="BQ54" s="0" t="n">
        <f aca="false">BO54-BP54</f>
        <v>0</v>
      </c>
    </row>
    <row r="55" customFormat="false" ht="15.75" hidden="false" customHeight="false" outlineLevel="0" collapsed="false">
      <c r="A55" s="0" t="n">
        <f aca="false">'sureau_ini.txt'!A42</f>
        <v>0</v>
      </c>
      <c r="B55" s="525" t="n">
        <f aca="false">VPD_max</f>
        <v>1.26741256491017</v>
      </c>
      <c r="C55" s="525" t="n">
        <f aca="false">'sureau_ini.txt'!DZ42</f>
        <v>0</v>
      </c>
      <c r="D55" s="525" t="e">
        <f aca="false">(1/(1/'sureau_ini.txt'!EU42+1/(1.5*(0.00662*('sureau_ini.txt'!AG42/'sureau_ini.txt'!DU42*1000)^0.5)*1000*40)+1/'sureau_ini.txt'!EN42)*B55/101.6)</f>
        <v>#DIV/0!</v>
      </c>
      <c r="E55" s="525" t="e">
        <f aca="false">'sureau_ini.txt'!CQ42/(1/'sureau_ini.txt'!EU42+1/(1.5*(0.00662*('sureau_ini.txt'!AG42/'sureau_ini.txt'!DU42*1000)^0.5)*1000*40)+1/'sureau_ini.txt'!EN42)*B55/101.6 + 'sureau_ini.txt'!CR42/(1/'sureau_ini.txt'!EV42+1/(1.5*(0.00662*('sureau_ini.txt'!AG42/'sureau_ini.txt'!DU42*1000)^0.5)*1000*40)+1/'sureau_ini.txt'!EN42)*B55/101.6 + 'sureau_ini.txt'!CS42/(1/'sureau_ini.txt'!EW42+1/(1.5*(0.00662*('sureau_ini.txt'!AG42/'sureau_ini.txt'!DU42*1000)^0.5)*1000*40)+1/'sureau_ini.txt'!EN42)*B55/101.6</f>
        <v>#DIV/0!</v>
      </c>
      <c r="F55" s="75" t="e">
        <f aca="false">E55/1000*18/AK55/100000*3600*C55</f>
        <v>#DIV/0!</v>
      </c>
      <c r="G55" s="72" t="n">
        <v>-1.5</v>
      </c>
      <c r="H55" s="72" t="n">
        <v>0</v>
      </c>
      <c r="I55" s="75" t="e">
        <f aca="false">E55/(H55-G55)</f>
        <v>#DIV/0!</v>
      </c>
      <c r="J55" s="75" t="e">
        <f aca="false">I55*C55</f>
        <v>#DIV/0!</v>
      </c>
      <c r="K55" s="75" t="e">
        <f aca="false">1/I55</f>
        <v>#DIV/0!</v>
      </c>
      <c r="L55" s="75" t="e">
        <f aca="false">1/J55</f>
        <v>#DIV/0!</v>
      </c>
      <c r="M55" s="526" t="e">
        <f aca="false">1/(1/'Allometric tree'!I55*'Allometric tree'!BF55/100)</f>
        <v>#DIV/0!</v>
      </c>
      <c r="N55" s="526" t="e">
        <f aca="false">1/(1/'Allometric tree'!I55*'Allometric tree'!BG55/100)</f>
        <v>#DIV/0!</v>
      </c>
      <c r="O55" s="30" t="e">
        <f aca="false">1/(1/'Allometric tree'!I55*'Allometric tree'!BH55/100)</f>
        <v>#DIV/0!</v>
      </c>
      <c r="P55" s="30" t="e">
        <f aca="false">1/(1/'Allometric tree'!I55*'Allometric tree'!BI55/100)</f>
        <v>#DIV/0!</v>
      </c>
      <c r="Q55" s="30" t="e">
        <f aca="false">1/(1/'Allometric tree'!I55*'Allometric tree'!BJ55/100)</f>
        <v>#DIV/0!</v>
      </c>
      <c r="R55" s="526" t="e">
        <f aca="false">1/(1/'Allometric tree'!I55*'Allometric tree'!BK55/100)</f>
        <v>#DIV/0!</v>
      </c>
      <c r="S55" s="30" t="e">
        <f aca="false">M55*'Allometric tree'!C55</f>
        <v>#DIV/0!</v>
      </c>
      <c r="T55" s="30" t="e">
        <f aca="false">N55*'Allometric tree'!C55</f>
        <v>#DIV/0!</v>
      </c>
      <c r="U55" s="526" t="e">
        <f aca="false">O55*'Allometric tree'!C55</f>
        <v>#DIV/0!</v>
      </c>
      <c r="V55" s="526" t="e">
        <f aca="false">P55*'Allometric tree'!C55</f>
        <v>#DIV/0!</v>
      </c>
      <c r="W55" s="526" t="e">
        <f aca="false">Q55*'Allometric tree'!C55</f>
        <v>#DIV/0!</v>
      </c>
      <c r="X55" s="30" t="e">
        <f aca="false">R55*'Allometric tree'!C55</f>
        <v>#DIV/0!</v>
      </c>
      <c r="Y55" s="525" t="n">
        <f aca="false">'sureau_ini.txt'!DG42</f>
        <v>0</v>
      </c>
      <c r="Z55" s="527" t="e">
        <f aca="false">AK55/C55</f>
        <v>#DIV/0!</v>
      </c>
      <c r="AA55" s="525" t="n">
        <f aca="false">'sureau_ini.txt'!DE42</f>
        <v>0</v>
      </c>
      <c r="AB55" s="525" t="n">
        <f aca="false">'sureau_ini.txt'!DF42</f>
        <v>0</v>
      </c>
      <c r="AC55" s="525" t="n">
        <v>1</v>
      </c>
      <c r="AD55" s="72" t="n">
        <v>0.1</v>
      </c>
      <c r="AE55" s="525" t="n">
        <f aca="false">'sureau_ini.txt'!$E$21</f>
        <v>1</v>
      </c>
      <c r="AF55" s="525" t="n">
        <f aca="false">'sureau_ini.txt'!DC42+'sureau_ini.txt'!CU42</f>
        <v>0</v>
      </c>
      <c r="AG55" s="525" t="n">
        <f aca="false">'sureau_ini.txt'!DC42</f>
        <v>0</v>
      </c>
      <c r="AH55" s="525" t="n">
        <f aca="false">'sureau_ini.txt'!DD42*100</f>
        <v>0</v>
      </c>
      <c r="AI55" s="75" t="n">
        <f aca="false">AH55/2*Y55</f>
        <v>0</v>
      </c>
      <c r="AJ55" s="75" t="e">
        <f aca="false">100*(AH55/100-SQRT(AH55/100*AH55/100-4*AW55/1000/AG55/3.1416))/2</f>
        <v>#DIV/0!</v>
      </c>
      <c r="AK55" s="75" t="n">
        <f aca="false">(3.1416/4*(AH55^2)-3.1416*(AH55/2-AI55)^2)/10000</f>
        <v>0</v>
      </c>
      <c r="AL55" s="75" t="n">
        <f aca="false">AK55*AF55</f>
        <v>0</v>
      </c>
      <c r="AM55" s="75" t="n">
        <f aca="false">AL55*AA55*1000</f>
        <v>0</v>
      </c>
      <c r="AN55" s="75" t="n">
        <f aca="false">AL55*1000*AB55</f>
        <v>0</v>
      </c>
      <c r="AO55" s="75" t="n">
        <f aca="false">AK55*AG55</f>
        <v>0</v>
      </c>
      <c r="AP55" s="75" t="e">
        <f aca="false">AH55*AH55*3.1416/4/C55</f>
        <v>#DIV/0!</v>
      </c>
      <c r="AQ55" s="75" t="e">
        <f aca="false">AK55*10000/C55</f>
        <v>#DIV/0!</v>
      </c>
      <c r="AR55" s="525" t="n">
        <f aca="false">('sureau_ini.txt'!CP42/2*'sureau_ini.txt'!CP42/2*3.1416)</f>
        <v>0</v>
      </c>
      <c r="AS55" s="525" t="e">
        <f aca="false">C55/AR55</f>
        <v>#DIV/0!</v>
      </c>
      <c r="AT55" s="75" t="e">
        <f aca="false">10000/AR55</f>
        <v>#DIV/0!</v>
      </c>
      <c r="AU55" s="75" t="e">
        <f aca="false">AH55*AH55*3.1416/4/10000*AT55</f>
        <v>#DIV/0!</v>
      </c>
      <c r="AV55" s="528" t="n">
        <f aca="false">AO55*AA55*1000</f>
        <v>0</v>
      </c>
      <c r="AW55" s="528" t="n">
        <f aca="false">AO55*1000*AB55</f>
        <v>0</v>
      </c>
      <c r="AX55" s="528" t="n">
        <f aca="false">AM55-AV55</f>
        <v>0</v>
      </c>
      <c r="AY55" s="528" t="n">
        <f aca="false">AN55-AW55</f>
        <v>0</v>
      </c>
      <c r="AZ55" s="528" t="n">
        <f aca="false">AM55*AC55</f>
        <v>0</v>
      </c>
      <c r="BA55" s="528" t="n">
        <f aca="false">AN55*AC55</f>
        <v>0</v>
      </c>
      <c r="BB55" s="528" t="n">
        <f aca="false">3.1416*AH55*AG55/100</f>
        <v>0</v>
      </c>
      <c r="BC55" s="528" t="n">
        <f aca="false">C55*AD55</f>
        <v>0</v>
      </c>
      <c r="BD55" s="528" t="n">
        <f aca="false">C55*AE55</f>
        <v>0</v>
      </c>
      <c r="BE55" s="528" t="n">
        <f aca="false">BD55+BC55*AC55</f>
        <v>0</v>
      </c>
      <c r="BF55" s="72" t="n">
        <v>20</v>
      </c>
      <c r="BG55" s="72" t="n">
        <v>20</v>
      </c>
      <c r="BH55" s="72" t="n">
        <v>8</v>
      </c>
      <c r="BI55" s="72" t="n">
        <v>2</v>
      </c>
      <c r="BJ55" s="72" t="n">
        <v>10</v>
      </c>
      <c r="BK55" s="72" t="n">
        <v>40</v>
      </c>
      <c r="BL55" s="75" t="n">
        <f aca="false">SUM(BF55:BI55)</f>
        <v>50</v>
      </c>
      <c r="BM55" s="75" t="n">
        <f aca="false">BJ55+BK55</f>
        <v>50</v>
      </c>
      <c r="BN55" s="75" t="n">
        <f aca="false">SUM(BF55:BK55)</f>
        <v>100</v>
      </c>
      <c r="BO55" s="0" t="n">
        <f aca="false">AV55+AW55+AX55+AY55+AZ55+BA55+C55*'sureau_ini.txt'!EI42/1000</f>
        <v>0</v>
      </c>
      <c r="BP55" s="0" t="n">
        <f aca="false">AV55+AX55+AZ55 +C55*'sureau_ini.txt'!EI42*'sureau_ini.txt'!EJ42/1000</f>
        <v>0</v>
      </c>
      <c r="BQ55" s="0" t="n">
        <f aca="false">BO55-BP55</f>
        <v>0</v>
      </c>
    </row>
    <row r="56" customFormat="false" ht="15.75" hidden="false" customHeight="false" outlineLevel="0" collapsed="false">
      <c r="A56" s="0" t="n">
        <f aca="false">'sureau_ini.txt'!A43</f>
        <v>0</v>
      </c>
      <c r="B56" s="525" t="n">
        <f aca="false">VPD_max</f>
        <v>1.26741256491017</v>
      </c>
      <c r="C56" s="525" t="n">
        <f aca="false">'sureau_ini.txt'!DZ43</f>
        <v>0</v>
      </c>
      <c r="D56" s="525" t="e">
        <f aca="false">(1/(1/'sureau_ini.txt'!EU43+1/(1.5*(0.00662*('sureau_ini.txt'!AG43/'sureau_ini.txt'!DU43*1000)^0.5)*1000*40)+1/'sureau_ini.txt'!EN43)*B56/101.6)</f>
        <v>#DIV/0!</v>
      </c>
      <c r="E56" s="525" t="e">
        <f aca="false">'sureau_ini.txt'!CQ43/(1/'sureau_ini.txt'!EU43+1/(1.5*(0.00662*('sureau_ini.txt'!AG43/'sureau_ini.txt'!DU43*1000)^0.5)*1000*40)+1/'sureau_ini.txt'!EN43)*B56/101.6 + 'sureau_ini.txt'!CR43/(1/'sureau_ini.txt'!EV43+1/(1.5*(0.00662*('sureau_ini.txt'!AG43/'sureau_ini.txt'!DU43*1000)^0.5)*1000*40)+1/'sureau_ini.txt'!EN43)*B56/101.6 + 'sureau_ini.txt'!CS43/(1/'sureau_ini.txt'!EW43+1/(1.5*(0.00662*('sureau_ini.txt'!AG43/'sureau_ini.txt'!DU43*1000)^0.5)*1000*40)+1/'sureau_ini.txt'!EN43)*B56/101.6</f>
        <v>#DIV/0!</v>
      </c>
      <c r="F56" s="75" t="e">
        <f aca="false">E56/1000*18/AK56/100000*3600*C56</f>
        <v>#DIV/0!</v>
      </c>
      <c r="G56" s="72" t="n">
        <v>-1.5</v>
      </c>
      <c r="H56" s="72" t="n">
        <v>0</v>
      </c>
      <c r="I56" s="75" t="e">
        <f aca="false">E56/(H56-G56)</f>
        <v>#DIV/0!</v>
      </c>
      <c r="J56" s="75" t="e">
        <f aca="false">I56*C56</f>
        <v>#DIV/0!</v>
      </c>
      <c r="K56" s="75" t="e">
        <f aca="false">1/I56</f>
        <v>#DIV/0!</v>
      </c>
      <c r="L56" s="75" t="e">
        <f aca="false">1/J56</f>
        <v>#DIV/0!</v>
      </c>
      <c r="M56" s="526" t="e">
        <f aca="false">1/(1/'Allometric tree'!I56*'Allometric tree'!BF56/100)</f>
        <v>#DIV/0!</v>
      </c>
      <c r="N56" s="526" t="e">
        <f aca="false">1/(1/'Allometric tree'!I56*'Allometric tree'!BG56/100)</f>
        <v>#DIV/0!</v>
      </c>
      <c r="O56" s="30" t="e">
        <f aca="false">1/(1/'Allometric tree'!I56*'Allometric tree'!BH56/100)</f>
        <v>#DIV/0!</v>
      </c>
      <c r="P56" s="30" t="e">
        <f aca="false">1/(1/'Allometric tree'!I56*'Allometric tree'!BI56/100)</f>
        <v>#DIV/0!</v>
      </c>
      <c r="Q56" s="30" t="e">
        <f aca="false">1/(1/'Allometric tree'!I56*'Allometric tree'!BJ56/100)</f>
        <v>#DIV/0!</v>
      </c>
      <c r="R56" s="526" t="e">
        <f aca="false">1/(1/'Allometric tree'!I56*'Allometric tree'!BK56/100)</f>
        <v>#DIV/0!</v>
      </c>
      <c r="S56" s="30" t="e">
        <f aca="false">M56*'Allometric tree'!C56</f>
        <v>#DIV/0!</v>
      </c>
      <c r="T56" s="30" t="e">
        <f aca="false">N56*'Allometric tree'!C56</f>
        <v>#DIV/0!</v>
      </c>
      <c r="U56" s="526" t="e">
        <f aca="false">O56*'Allometric tree'!C56</f>
        <v>#DIV/0!</v>
      </c>
      <c r="V56" s="526" t="e">
        <f aca="false">P56*'Allometric tree'!C56</f>
        <v>#DIV/0!</v>
      </c>
      <c r="W56" s="526" t="e">
        <f aca="false">Q56*'Allometric tree'!C56</f>
        <v>#DIV/0!</v>
      </c>
      <c r="X56" s="30" t="e">
        <f aca="false">R56*'Allometric tree'!C56</f>
        <v>#DIV/0!</v>
      </c>
      <c r="Y56" s="525" t="n">
        <f aca="false">'sureau_ini.txt'!DG43</f>
        <v>0</v>
      </c>
      <c r="Z56" s="527" t="e">
        <f aca="false">AK56/C56</f>
        <v>#DIV/0!</v>
      </c>
      <c r="AA56" s="525" t="n">
        <f aca="false">'sureau_ini.txt'!DE43</f>
        <v>0</v>
      </c>
      <c r="AB56" s="525" t="n">
        <f aca="false">'sureau_ini.txt'!DF43</f>
        <v>0</v>
      </c>
      <c r="AC56" s="525" t="n">
        <v>1</v>
      </c>
      <c r="AD56" s="72" t="n">
        <v>0.1</v>
      </c>
      <c r="AE56" s="525" t="n">
        <f aca="false">'sureau_ini.txt'!$E$21</f>
        <v>1</v>
      </c>
      <c r="AF56" s="525" t="n">
        <f aca="false">'sureau_ini.txt'!DC43+'sureau_ini.txt'!CU43</f>
        <v>0</v>
      </c>
      <c r="AG56" s="525" t="n">
        <f aca="false">'sureau_ini.txt'!DC43</f>
        <v>0</v>
      </c>
      <c r="AH56" s="525" t="n">
        <f aca="false">'sureau_ini.txt'!DD43*100</f>
        <v>0</v>
      </c>
      <c r="AI56" s="75" t="n">
        <f aca="false">AH56/2*Y56</f>
        <v>0</v>
      </c>
      <c r="AJ56" s="75" t="e">
        <f aca="false">100*(AH56/100-SQRT(AH56/100*AH56/100-4*AW56/1000/AG56/3.1416))/2</f>
        <v>#DIV/0!</v>
      </c>
      <c r="AK56" s="75" t="n">
        <f aca="false">(3.1416/4*(AH56^2)-3.1416*(AH56/2-AI56)^2)/10000</f>
        <v>0</v>
      </c>
      <c r="AL56" s="75" t="n">
        <f aca="false">AK56*AF56</f>
        <v>0</v>
      </c>
      <c r="AM56" s="75" t="n">
        <f aca="false">AL56*AA56*1000</f>
        <v>0</v>
      </c>
      <c r="AN56" s="75" t="n">
        <f aca="false">AL56*1000*AB56</f>
        <v>0</v>
      </c>
      <c r="AO56" s="75" t="n">
        <f aca="false">AK56*AG56</f>
        <v>0</v>
      </c>
      <c r="AP56" s="75" t="e">
        <f aca="false">AH56*AH56*3.1416/4/C56</f>
        <v>#DIV/0!</v>
      </c>
      <c r="AQ56" s="75" t="e">
        <f aca="false">AK56*10000/C56</f>
        <v>#DIV/0!</v>
      </c>
      <c r="AR56" s="525" t="n">
        <f aca="false">('sureau_ini.txt'!CP43/2*'sureau_ini.txt'!CP43/2*3.1416)</f>
        <v>0</v>
      </c>
      <c r="AS56" s="525" t="e">
        <f aca="false">C56/AR56</f>
        <v>#DIV/0!</v>
      </c>
      <c r="AT56" s="75" t="e">
        <f aca="false">10000/AR56</f>
        <v>#DIV/0!</v>
      </c>
      <c r="AU56" s="75" t="e">
        <f aca="false">AH56*AH56*3.1416/4/10000*AT56</f>
        <v>#DIV/0!</v>
      </c>
      <c r="AV56" s="528" t="n">
        <f aca="false">AO56*AA56*1000</f>
        <v>0</v>
      </c>
      <c r="AW56" s="528" t="n">
        <f aca="false">AO56*1000*AB56</f>
        <v>0</v>
      </c>
      <c r="AX56" s="528" t="n">
        <f aca="false">AM56-AV56</f>
        <v>0</v>
      </c>
      <c r="AY56" s="528" t="n">
        <f aca="false">AN56-AW56</f>
        <v>0</v>
      </c>
      <c r="AZ56" s="528" t="n">
        <f aca="false">AM56*AC56</f>
        <v>0</v>
      </c>
      <c r="BA56" s="528" t="n">
        <f aca="false">AN56*AC56</f>
        <v>0</v>
      </c>
      <c r="BB56" s="528" t="n">
        <f aca="false">3.1416*AH56*AG56/100</f>
        <v>0</v>
      </c>
      <c r="BC56" s="528" t="n">
        <f aca="false">C56*AD56</f>
        <v>0</v>
      </c>
      <c r="BD56" s="528" t="n">
        <f aca="false">C56*AE56</f>
        <v>0</v>
      </c>
      <c r="BE56" s="528" t="n">
        <f aca="false">BD56+BC56*AC56</f>
        <v>0</v>
      </c>
      <c r="BF56" s="72" t="n">
        <v>20</v>
      </c>
      <c r="BG56" s="72" t="n">
        <v>20</v>
      </c>
      <c r="BH56" s="72" t="n">
        <v>8</v>
      </c>
      <c r="BI56" s="72" t="n">
        <v>2</v>
      </c>
      <c r="BJ56" s="72" t="n">
        <v>10</v>
      </c>
      <c r="BK56" s="72" t="n">
        <v>40</v>
      </c>
      <c r="BL56" s="75" t="n">
        <f aca="false">SUM(BF56:BI56)</f>
        <v>50</v>
      </c>
      <c r="BM56" s="75" t="n">
        <f aca="false">BJ56+BK56</f>
        <v>50</v>
      </c>
      <c r="BN56" s="75" t="n">
        <f aca="false">SUM(BF56:BK56)</f>
        <v>100</v>
      </c>
      <c r="BO56" s="0" t="n">
        <f aca="false">AV56+AW56+AX56+AY56+AZ56+BA56+C56*'sureau_ini.txt'!EI43/1000</f>
        <v>0</v>
      </c>
      <c r="BP56" s="0" t="n">
        <f aca="false">AV56+AX56+AZ56 +C56*'sureau_ini.txt'!EI43*'sureau_ini.txt'!EJ43/1000</f>
        <v>0</v>
      </c>
      <c r="BQ56" s="0" t="n">
        <f aca="false">BO56-BP56</f>
        <v>0</v>
      </c>
    </row>
    <row r="57" customFormat="false" ht="15.75" hidden="false" customHeight="false" outlineLevel="0" collapsed="false">
      <c r="A57" s="0" t="n">
        <f aca="false">'sureau_ini.txt'!A44</f>
        <v>0</v>
      </c>
      <c r="B57" s="525" t="n">
        <f aca="false">VPD_max</f>
        <v>1.26741256491017</v>
      </c>
      <c r="C57" s="525" t="n">
        <f aca="false">'sureau_ini.txt'!DZ44</f>
        <v>0</v>
      </c>
      <c r="D57" s="525" t="e">
        <f aca="false">(1/(1/'sureau_ini.txt'!EU44+1/(1.5*(0.00662*('sureau_ini.txt'!AG44/'sureau_ini.txt'!DU44*1000)^0.5)*1000*40)+1/'sureau_ini.txt'!EN44)*B57/101.6)</f>
        <v>#DIV/0!</v>
      </c>
      <c r="E57" s="525" t="e">
        <f aca="false">'sureau_ini.txt'!CQ44/(1/'sureau_ini.txt'!EU44+1/(1.5*(0.00662*('sureau_ini.txt'!AG44/'sureau_ini.txt'!DU44*1000)^0.5)*1000*40)+1/'sureau_ini.txt'!EN44)*B57/101.6 + 'sureau_ini.txt'!CR44/(1/'sureau_ini.txt'!EV44+1/(1.5*(0.00662*('sureau_ini.txt'!AG44/'sureau_ini.txt'!DU44*1000)^0.5)*1000*40)+1/'sureau_ini.txt'!EN44)*B57/101.6 + 'sureau_ini.txt'!CS44/(1/'sureau_ini.txt'!EW44+1/(1.5*(0.00662*('sureau_ini.txt'!AG44/'sureau_ini.txt'!DU44*1000)^0.5)*1000*40)+1/'sureau_ini.txt'!EN44)*B57/101.6</f>
        <v>#DIV/0!</v>
      </c>
      <c r="F57" s="75" t="e">
        <f aca="false">E57/1000*18/AK57/100000*3600*C57</f>
        <v>#DIV/0!</v>
      </c>
      <c r="G57" s="72" t="n">
        <v>-1.5</v>
      </c>
      <c r="H57" s="72" t="n">
        <v>0</v>
      </c>
      <c r="I57" s="75" t="e">
        <f aca="false">E57/(H57-G57)</f>
        <v>#DIV/0!</v>
      </c>
      <c r="J57" s="75" t="e">
        <f aca="false">I57*C57</f>
        <v>#DIV/0!</v>
      </c>
      <c r="K57" s="75" t="e">
        <f aca="false">1/I57</f>
        <v>#DIV/0!</v>
      </c>
      <c r="L57" s="75" t="e">
        <f aca="false">1/J57</f>
        <v>#DIV/0!</v>
      </c>
      <c r="M57" s="526" t="e">
        <f aca="false">1/(1/'Allometric tree'!I57*'Allometric tree'!BF57/100)</f>
        <v>#DIV/0!</v>
      </c>
      <c r="N57" s="526" t="e">
        <f aca="false">1/(1/'Allometric tree'!I57*'Allometric tree'!BG57/100)</f>
        <v>#DIV/0!</v>
      </c>
      <c r="O57" s="30" t="e">
        <f aca="false">1/(1/'Allometric tree'!I57*'Allometric tree'!BH57/100)</f>
        <v>#DIV/0!</v>
      </c>
      <c r="P57" s="30" t="e">
        <f aca="false">1/(1/'Allometric tree'!I57*'Allometric tree'!BI57/100)</f>
        <v>#DIV/0!</v>
      </c>
      <c r="Q57" s="30" t="e">
        <f aca="false">1/(1/'Allometric tree'!I57*'Allometric tree'!BJ57/100)</f>
        <v>#DIV/0!</v>
      </c>
      <c r="R57" s="526" t="e">
        <f aca="false">1/(1/'Allometric tree'!I57*'Allometric tree'!BK57/100)</f>
        <v>#DIV/0!</v>
      </c>
      <c r="S57" s="30" t="e">
        <f aca="false">M57*'Allometric tree'!C57</f>
        <v>#DIV/0!</v>
      </c>
      <c r="T57" s="30" t="e">
        <f aca="false">N57*'Allometric tree'!C57</f>
        <v>#DIV/0!</v>
      </c>
      <c r="U57" s="526" t="e">
        <f aca="false">O57*'Allometric tree'!C57</f>
        <v>#DIV/0!</v>
      </c>
      <c r="V57" s="526" t="e">
        <f aca="false">P57*'Allometric tree'!C57</f>
        <v>#DIV/0!</v>
      </c>
      <c r="W57" s="526" t="e">
        <f aca="false">Q57*'Allometric tree'!C57</f>
        <v>#DIV/0!</v>
      </c>
      <c r="X57" s="30" t="e">
        <f aca="false">R57*'Allometric tree'!C57</f>
        <v>#DIV/0!</v>
      </c>
      <c r="Y57" s="525" t="n">
        <f aca="false">'sureau_ini.txt'!DG44</f>
        <v>0</v>
      </c>
      <c r="Z57" s="527" t="e">
        <f aca="false">AK57/C57</f>
        <v>#DIV/0!</v>
      </c>
      <c r="AA57" s="525" t="n">
        <f aca="false">'sureau_ini.txt'!DE44</f>
        <v>0</v>
      </c>
      <c r="AB57" s="525" t="n">
        <f aca="false">'sureau_ini.txt'!DF44</f>
        <v>0</v>
      </c>
      <c r="AC57" s="525" t="n">
        <v>1</v>
      </c>
      <c r="AD57" s="72" t="n">
        <v>0.1</v>
      </c>
      <c r="AE57" s="525" t="n">
        <f aca="false">'sureau_ini.txt'!$E$21</f>
        <v>1</v>
      </c>
      <c r="AF57" s="525" t="n">
        <f aca="false">'sureau_ini.txt'!DC44+'sureau_ini.txt'!CU44</f>
        <v>0</v>
      </c>
      <c r="AG57" s="525" t="n">
        <f aca="false">'sureau_ini.txt'!DC44</f>
        <v>0</v>
      </c>
      <c r="AH57" s="525" t="n">
        <f aca="false">'sureau_ini.txt'!DD44*100</f>
        <v>0</v>
      </c>
      <c r="AI57" s="75" t="n">
        <f aca="false">AH57/2*Y57</f>
        <v>0</v>
      </c>
      <c r="AJ57" s="75" t="e">
        <f aca="false">100*(AH57/100-SQRT(AH57/100*AH57/100-4*AW57/1000/AG57/3.1416))/2</f>
        <v>#DIV/0!</v>
      </c>
      <c r="AK57" s="75" t="n">
        <f aca="false">(3.1416/4*(AH57^2)-3.1416*(AH57/2-AI57)^2)/10000</f>
        <v>0</v>
      </c>
      <c r="AL57" s="75" t="n">
        <f aca="false">AK57*AF57</f>
        <v>0</v>
      </c>
      <c r="AM57" s="75" t="n">
        <f aca="false">AL57*AA57*1000</f>
        <v>0</v>
      </c>
      <c r="AN57" s="75" t="n">
        <f aca="false">AL57*1000*AB57</f>
        <v>0</v>
      </c>
      <c r="AO57" s="75" t="n">
        <f aca="false">AK57*AG57</f>
        <v>0</v>
      </c>
      <c r="AP57" s="75" t="e">
        <f aca="false">AH57*AH57*3.1416/4/C57</f>
        <v>#DIV/0!</v>
      </c>
      <c r="AQ57" s="75" t="e">
        <f aca="false">AK57*10000/C57</f>
        <v>#DIV/0!</v>
      </c>
      <c r="AR57" s="525" t="n">
        <f aca="false">('sureau_ini.txt'!CP44/2*'sureau_ini.txt'!CP44/2*3.1416)</f>
        <v>0</v>
      </c>
      <c r="AS57" s="525" t="e">
        <f aca="false">C57/AR57</f>
        <v>#DIV/0!</v>
      </c>
      <c r="AT57" s="75" t="e">
        <f aca="false">10000/AR57</f>
        <v>#DIV/0!</v>
      </c>
      <c r="AU57" s="75" t="e">
        <f aca="false">AH57*AH57*3.1416/4/10000*AT57</f>
        <v>#DIV/0!</v>
      </c>
      <c r="AV57" s="528" t="n">
        <f aca="false">AO57*AA57*1000</f>
        <v>0</v>
      </c>
      <c r="AW57" s="528" t="n">
        <f aca="false">AO57*1000*AB57</f>
        <v>0</v>
      </c>
      <c r="AX57" s="528" t="n">
        <f aca="false">AM57-AV57</f>
        <v>0</v>
      </c>
      <c r="AY57" s="528" t="n">
        <f aca="false">AN57-AW57</f>
        <v>0</v>
      </c>
      <c r="AZ57" s="528" t="n">
        <f aca="false">AM57*AC57</f>
        <v>0</v>
      </c>
      <c r="BA57" s="528" t="n">
        <f aca="false">AN57*AC57</f>
        <v>0</v>
      </c>
      <c r="BB57" s="528" t="n">
        <f aca="false">3.1416*AH57*AG57/100</f>
        <v>0</v>
      </c>
      <c r="BC57" s="528" t="n">
        <f aca="false">C57*AD57</f>
        <v>0</v>
      </c>
      <c r="BD57" s="528" t="n">
        <f aca="false">C57*AE57</f>
        <v>0</v>
      </c>
      <c r="BE57" s="528" t="n">
        <f aca="false">BD57+BC57*AC57</f>
        <v>0</v>
      </c>
      <c r="BF57" s="72" t="n">
        <v>20</v>
      </c>
      <c r="BG57" s="72" t="n">
        <v>20</v>
      </c>
      <c r="BH57" s="72" t="n">
        <v>8</v>
      </c>
      <c r="BI57" s="72" t="n">
        <v>2</v>
      </c>
      <c r="BJ57" s="72" t="n">
        <v>10</v>
      </c>
      <c r="BK57" s="72" t="n">
        <v>40</v>
      </c>
      <c r="BL57" s="75" t="n">
        <f aca="false">SUM(BF57:BI57)</f>
        <v>50</v>
      </c>
      <c r="BM57" s="75" t="n">
        <f aca="false">BJ57+BK57</f>
        <v>50</v>
      </c>
      <c r="BN57" s="75" t="n">
        <f aca="false">SUM(BF57:BK57)</f>
        <v>100</v>
      </c>
      <c r="BO57" s="0" t="n">
        <f aca="false">AV57+AW57+AX57+AY57+AZ57+BA57+C57*'sureau_ini.txt'!EI44/1000</f>
        <v>0</v>
      </c>
      <c r="BP57" s="0" t="n">
        <f aca="false">AV57+AX57+AZ57 +C57*'sureau_ini.txt'!EI44*'sureau_ini.txt'!EJ44/1000</f>
        <v>0</v>
      </c>
      <c r="BQ57" s="0" t="n">
        <f aca="false">BO57-BP57</f>
        <v>0</v>
      </c>
    </row>
    <row r="58" customFormat="false" ht="15.75" hidden="false" customHeight="false" outlineLevel="0" collapsed="false">
      <c r="A58" s="0" t="n">
        <f aca="false">'sureau_ini.txt'!A45</f>
        <v>0</v>
      </c>
      <c r="B58" s="525" t="n">
        <f aca="false">VPD_max</f>
        <v>1.26741256491017</v>
      </c>
      <c r="C58" s="525" t="n">
        <f aca="false">'sureau_ini.txt'!DZ45</f>
        <v>0</v>
      </c>
      <c r="D58" s="525" t="e">
        <f aca="false">(1/(1/'sureau_ini.txt'!EU45+1/(1.5*(0.00662*('sureau_ini.txt'!AG45/'sureau_ini.txt'!DU45*1000)^0.5)*1000*40)+1/'sureau_ini.txt'!EN45)*B58/101.6)</f>
        <v>#DIV/0!</v>
      </c>
      <c r="E58" s="525" t="e">
        <f aca="false">'sureau_ini.txt'!CQ45/(1/'sureau_ini.txt'!EU45+1/(1.5*(0.00662*('sureau_ini.txt'!AG45/'sureau_ini.txt'!DU45*1000)^0.5)*1000*40)+1/'sureau_ini.txt'!EN45)*B58/101.6 + 'sureau_ini.txt'!CR45/(1/'sureau_ini.txt'!EV45+1/(1.5*(0.00662*('sureau_ini.txt'!AG45/'sureau_ini.txt'!DU45*1000)^0.5)*1000*40)+1/'sureau_ini.txt'!EN45)*B58/101.6 + 'sureau_ini.txt'!CS45/(1/'sureau_ini.txt'!EW45+1/(1.5*(0.00662*('sureau_ini.txt'!AG45/'sureau_ini.txt'!DU45*1000)^0.5)*1000*40)+1/'sureau_ini.txt'!EN45)*B58/101.6</f>
        <v>#DIV/0!</v>
      </c>
      <c r="F58" s="75" t="e">
        <f aca="false">E58/1000*18/AK58/100000*3600*C58</f>
        <v>#DIV/0!</v>
      </c>
      <c r="G58" s="72" t="n">
        <v>-1.5</v>
      </c>
      <c r="H58" s="72" t="n">
        <v>0</v>
      </c>
      <c r="I58" s="75" t="e">
        <f aca="false">E58/(H58-G58)</f>
        <v>#DIV/0!</v>
      </c>
      <c r="J58" s="75" t="e">
        <f aca="false">I58*C58</f>
        <v>#DIV/0!</v>
      </c>
      <c r="K58" s="75" t="e">
        <f aca="false">1/I58</f>
        <v>#DIV/0!</v>
      </c>
      <c r="L58" s="75" t="e">
        <f aca="false">1/J58</f>
        <v>#DIV/0!</v>
      </c>
      <c r="M58" s="526" t="e">
        <f aca="false">1/(1/'Allometric tree'!I58*'Allometric tree'!BF58/100)</f>
        <v>#DIV/0!</v>
      </c>
      <c r="N58" s="526" t="e">
        <f aca="false">1/(1/'Allometric tree'!I58*'Allometric tree'!BG58/100)</f>
        <v>#DIV/0!</v>
      </c>
      <c r="O58" s="30" t="e">
        <f aca="false">1/(1/'Allometric tree'!I58*'Allometric tree'!BH58/100)</f>
        <v>#DIV/0!</v>
      </c>
      <c r="P58" s="30" t="e">
        <f aca="false">1/(1/'Allometric tree'!I58*'Allometric tree'!BI58/100)</f>
        <v>#DIV/0!</v>
      </c>
      <c r="Q58" s="30" t="e">
        <f aca="false">1/(1/'Allometric tree'!I58*'Allometric tree'!BJ58/100)</f>
        <v>#DIV/0!</v>
      </c>
      <c r="R58" s="526" t="e">
        <f aca="false">1/(1/'Allometric tree'!I58*'Allometric tree'!BK58/100)</f>
        <v>#DIV/0!</v>
      </c>
      <c r="S58" s="30" t="e">
        <f aca="false">M58*'Allometric tree'!C58</f>
        <v>#DIV/0!</v>
      </c>
      <c r="T58" s="30" t="e">
        <f aca="false">N58*'Allometric tree'!C58</f>
        <v>#DIV/0!</v>
      </c>
      <c r="U58" s="526" t="e">
        <f aca="false">O58*'Allometric tree'!C58</f>
        <v>#DIV/0!</v>
      </c>
      <c r="V58" s="526" t="e">
        <f aca="false">P58*'Allometric tree'!C58</f>
        <v>#DIV/0!</v>
      </c>
      <c r="W58" s="526" t="e">
        <f aca="false">Q58*'Allometric tree'!C58</f>
        <v>#DIV/0!</v>
      </c>
      <c r="X58" s="30" t="e">
        <f aca="false">R58*'Allometric tree'!C58</f>
        <v>#DIV/0!</v>
      </c>
      <c r="Y58" s="525" t="n">
        <f aca="false">'sureau_ini.txt'!DG45</f>
        <v>0</v>
      </c>
      <c r="Z58" s="527" t="e">
        <f aca="false">AK58/C58</f>
        <v>#DIV/0!</v>
      </c>
      <c r="AA58" s="525" t="n">
        <f aca="false">'sureau_ini.txt'!DE45</f>
        <v>0</v>
      </c>
      <c r="AB58" s="525" t="n">
        <f aca="false">'sureau_ini.txt'!DF45</f>
        <v>0</v>
      </c>
      <c r="AC58" s="525" t="n">
        <v>1</v>
      </c>
      <c r="AD58" s="72" t="n">
        <v>0.1</v>
      </c>
      <c r="AE58" s="525" t="n">
        <f aca="false">'sureau_ini.txt'!$E$21</f>
        <v>1</v>
      </c>
      <c r="AF58" s="525" t="n">
        <f aca="false">'sureau_ini.txt'!DC45+'sureau_ini.txt'!CU45</f>
        <v>0</v>
      </c>
      <c r="AG58" s="525" t="n">
        <f aca="false">'sureau_ini.txt'!DC45</f>
        <v>0</v>
      </c>
      <c r="AH58" s="525" t="n">
        <f aca="false">'sureau_ini.txt'!DD45*100</f>
        <v>0</v>
      </c>
      <c r="AI58" s="75" t="n">
        <f aca="false">AH58/2*Y58</f>
        <v>0</v>
      </c>
      <c r="AJ58" s="75" t="e">
        <f aca="false">100*(AH58/100-SQRT(AH58/100*AH58/100-4*AW58/1000/AG58/3.1416))/2</f>
        <v>#DIV/0!</v>
      </c>
      <c r="AK58" s="75" t="n">
        <f aca="false">(3.1416/4*(AH58^2)-3.1416*(AH58/2-AI58)^2)/10000</f>
        <v>0</v>
      </c>
      <c r="AL58" s="75" t="n">
        <f aca="false">AK58*AF58</f>
        <v>0</v>
      </c>
      <c r="AM58" s="75" t="n">
        <f aca="false">AL58*AA58*1000</f>
        <v>0</v>
      </c>
      <c r="AN58" s="75" t="n">
        <f aca="false">AL58*1000*AB58</f>
        <v>0</v>
      </c>
      <c r="AO58" s="75" t="n">
        <f aca="false">AK58*AG58</f>
        <v>0</v>
      </c>
      <c r="AP58" s="75" t="e">
        <f aca="false">AH58*AH58*3.1416/4/C58</f>
        <v>#DIV/0!</v>
      </c>
      <c r="AQ58" s="75" t="e">
        <f aca="false">AK58*10000/C58</f>
        <v>#DIV/0!</v>
      </c>
      <c r="AR58" s="525" t="n">
        <f aca="false">('sureau_ini.txt'!CP45/2*'sureau_ini.txt'!CP45/2*3.1416)</f>
        <v>0</v>
      </c>
      <c r="AS58" s="525" t="e">
        <f aca="false">C58/AR58</f>
        <v>#DIV/0!</v>
      </c>
      <c r="AT58" s="75" t="e">
        <f aca="false">10000/AR58</f>
        <v>#DIV/0!</v>
      </c>
      <c r="AU58" s="75" t="e">
        <f aca="false">AH58*AH58*3.1416/4/10000*AT58</f>
        <v>#DIV/0!</v>
      </c>
      <c r="AV58" s="528" t="n">
        <f aca="false">AO58*AA58*1000</f>
        <v>0</v>
      </c>
      <c r="AW58" s="528" t="n">
        <f aca="false">AO58*1000*AB58</f>
        <v>0</v>
      </c>
      <c r="AX58" s="528" t="n">
        <f aca="false">AM58-AV58</f>
        <v>0</v>
      </c>
      <c r="AY58" s="528" t="n">
        <f aca="false">AN58-AW58</f>
        <v>0</v>
      </c>
      <c r="AZ58" s="528" t="n">
        <f aca="false">AM58*AC58</f>
        <v>0</v>
      </c>
      <c r="BA58" s="528" t="n">
        <f aca="false">AN58*AC58</f>
        <v>0</v>
      </c>
      <c r="BB58" s="528" t="n">
        <f aca="false">3.1416*AH58*AG58/100</f>
        <v>0</v>
      </c>
      <c r="BC58" s="528" t="n">
        <f aca="false">C58*AD58</f>
        <v>0</v>
      </c>
      <c r="BD58" s="528" t="n">
        <f aca="false">C58*AE58</f>
        <v>0</v>
      </c>
      <c r="BE58" s="528" t="n">
        <f aca="false">BD58+BC58*AC58</f>
        <v>0</v>
      </c>
      <c r="BF58" s="72" t="n">
        <v>20</v>
      </c>
      <c r="BG58" s="72" t="n">
        <v>20</v>
      </c>
      <c r="BH58" s="72" t="n">
        <v>8</v>
      </c>
      <c r="BI58" s="72" t="n">
        <v>2</v>
      </c>
      <c r="BJ58" s="72" t="n">
        <v>10</v>
      </c>
      <c r="BK58" s="72" t="n">
        <v>40</v>
      </c>
      <c r="BL58" s="75" t="n">
        <f aca="false">SUM(BF58:BI58)</f>
        <v>50</v>
      </c>
      <c r="BM58" s="75" t="n">
        <f aca="false">BJ58+BK58</f>
        <v>50</v>
      </c>
      <c r="BN58" s="75" t="n">
        <f aca="false">SUM(BF58:BK58)</f>
        <v>100</v>
      </c>
      <c r="BO58" s="0" t="n">
        <f aca="false">AV58+AW58+AX58+AY58+AZ58+BA58+C58*'sureau_ini.txt'!EI45/1000</f>
        <v>0</v>
      </c>
      <c r="BP58" s="0" t="n">
        <f aca="false">AV58+AX58+AZ58 +C58*'sureau_ini.txt'!EI45*'sureau_ini.txt'!EJ45/1000</f>
        <v>0</v>
      </c>
      <c r="BQ58" s="0" t="n">
        <f aca="false">BO58-BP58</f>
        <v>0</v>
      </c>
    </row>
    <row r="59" customFormat="false" ht="15.75" hidden="false" customHeight="false" outlineLevel="0" collapsed="false">
      <c r="A59" s="0" t="n">
        <f aca="false">'sureau_ini.txt'!A46</f>
        <v>0</v>
      </c>
      <c r="B59" s="525" t="n">
        <f aca="false">VPD_max</f>
        <v>1.26741256491017</v>
      </c>
      <c r="C59" s="525" t="n">
        <f aca="false">'sureau_ini.txt'!DZ46</f>
        <v>0</v>
      </c>
      <c r="D59" s="525" t="e">
        <f aca="false">(1/(1/'sureau_ini.txt'!EU46+1/(1.5*(0.00662*('sureau_ini.txt'!AG46/'sureau_ini.txt'!DU46*1000)^0.5)*1000*40)+1/'sureau_ini.txt'!EN46)*B59/101.6)</f>
        <v>#DIV/0!</v>
      </c>
      <c r="E59" s="525" t="e">
        <f aca="false">'sureau_ini.txt'!CQ46/(1/'sureau_ini.txt'!EU46+1/(1.5*(0.00662*('sureau_ini.txt'!AG46/'sureau_ini.txt'!DU46*1000)^0.5)*1000*40)+1/'sureau_ini.txt'!EN46)*B59/101.6 + 'sureau_ini.txt'!CR46/(1/'sureau_ini.txt'!EV46+1/(1.5*(0.00662*('sureau_ini.txt'!AG46/'sureau_ini.txt'!DU46*1000)^0.5)*1000*40)+1/'sureau_ini.txt'!EN46)*B59/101.6 + 'sureau_ini.txt'!CS46/(1/'sureau_ini.txt'!EW46+1/(1.5*(0.00662*('sureau_ini.txt'!AG46/'sureau_ini.txt'!DU46*1000)^0.5)*1000*40)+1/'sureau_ini.txt'!EN46)*B59/101.6</f>
        <v>#DIV/0!</v>
      </c>
      <c r="F59" s="75" t="e">
        <f aca="false">E59/1000*18/AK59/100000*3600*C59</f>
        <v>#DIV/0!</v>
      </c>
      <c r="G59" s="72" t="n">
        <v>-1.5</v>
      </c>
      <c r="H59" s="72" t="n">
        <v>0</v>
      </c>
      <c r="I59" s="75" t="e">
        <f aca="false">E59/(H59-G59)</f>
        <v>#DIV/0!</v>
      </c>
      <c r="J59" s="75" t="e">
        <f aca="false">I59*C59</f>
        <v>#DIV/0!</v>
      </c>
      <c r="K59" s="75" t="e">
        <f aca="false">1/I59</f>
        <v>#DIV/0!</v>
      </c>
      <c r="L59" s="75" t="e">
        <f aca="false">1/J59</f>
        <v>#DIV/0!</v>
      </c>
      <c r="M59" s="526" t="e">
        <f aca="false">1/(1/'Allometric tree'!I59*'Allometric tree'!BF59/100)</f>
        <v>#DIV/0!</v>
      </c>
      <c r="N59" s="526" t="e">
        <f aca="false">1/(1/'Allometric tree'!I59*'Allometric tree'!BG59/100)</f>
        <v>#DIV/0!</v>
      </c>
      <c r="O59" s="30" t="e">
        <f aca="false">1/(1/'Allometric tree'!I59*'Allometric tree'!BH59/100)</f>
        <v>#DIV/0!</v>
      </c>
      <c r="P59" s="30" t="e">
        <f aca="false">1/(1/'Allometric tree'!I59*'Allometric tree'!BI59/100)</f>
        <v>#DIV/0!</v>
      </c>
      <c r="Q59" s="30" t="e">
        <f aca="false">1/(1/'Allometric tree'!I59*'Allometric tree'!BJ59/100)</f>
        <v>#DIV/0!</v>
      </c>
      <c r="R59" s="526" t="e">
        <f aca="false">1/(1/'Allometric tree'!I59*'Allometric tree'!BK59/100)</f>
        <v>#DIV/0!</v>
      </c>
      <c r="S59" s="30" t="e">
        <f aca="false">M59*'Allometric tree'!C59</f>
        <v>#DIV/0!</v>
      </c>
      <c r="T59" s="30" t="e">
        <f aca="false">N59*'Allometric tree'!C59</f>
        <v>#DIV/0!</v>
      </c>
      <c r="U59" s="526" t="e">
        <f aca="false">O59*'Allometric tree'!C59</f>
        <v>#DIV/0!</v>
      </c>
      <c r="V59" s="526" t="e">
        <f aca="false">P59*'Allometric tree'!C59</f>
        <v>#DIV/0!</v>
      </c>
      <c r="W59" s="526" t="e">
        <f aca="false">Q59*'Allometric tree'!C59</f>
        <v>#DIV/0!</v>
      </c>
      <c r="X59" s="30" t="e">
        <f aca="false">R59*'Allometric tree'!C59</f>
        <v>#DIV/0!</v>
      </c>
      <c r="Y59" s="525" t="n">
        <f aca="false">'sureau_ini.txt'!DG46</f>
        <v>0</v>
      </c>
      <c r="Z59" s="527" t="e">
        <f aca="false">AK59/C59</f>
        <v>#DIV/0!</v>
      </c>
      <c r="AA59" s="525" t="n">
        <f aca="false">'sureau_ini.txt'!DE46</f>
        <v>0</v>
      </c>
      <c r="AB59" s="525" t="n">
        <f aca="false">'sureau_ini.txt'!DF46</f>
        <v>0</v>
      </c>
      <c r="AC59" s="525" t="n">
        <v>1</v>
      </c>
      <c r="AD59" s="72" t="n">
        <v>0.1</v>
      </c>
      <c r="AE59" s="525" t="n">
        <f aca="false">'sureau_ini.txt'!$E$21</f>
        <v>1</v>
      </c>
      <c r="AF59" s="525" t="n">
        <f aca="false">'sureau_ini.txt'!DC46+'sureau_ini.txt'!CU46</f>
        <v>0</v>
      </c>
      <c r="AG59" s="525" t="n">
        <f aca="false">'sureau_ini.txt'!DC46</f>
        <v>0</v>
      </c>
      <c r="AH59" s="525" t="n">
        <f aca="false">'sureau_ini.txt'!DD46*100</f>
        <v>0</v>
      </c>
      <c r="AI59" s="75" t="n">
        <f aca="false">AH59/2*Y59</f>
        <v>0</v>
      </c>
      <c r="AJ59" s="75" t="e">
        <f aca="false">100*(AH59/100-SQRT(AH59/100*AH59/100-4*AW59/1000/AG59/3.1416))/2</f>
        <v>#DIV/0!</v>
      </c>
      <c r="AK59" s="75" t="n">
        <f aca="false">(3.1416/4*(AH59^2)-3.1416*(AH59/2-AI59)^2)/10000</f>
        <v>0</v>
      </c>
      <c r="AL59" s="75" t="n">
        <f aca="false">AK59*AF59</f>
        <v>0</v>
      </c>
      <c r="AM59" s="75" t="n">
        <f aca="false">AL59*AA59*1000</f>
        <v>0</v>
      </c>
      <c r="AN59" s="75" t="n">
        <f aca="false">AL59*1000*AB59</f>
        <v>0</v>
      </c>
      <c r="AO59" s="75" t="n">
        <f aca="false">AK59*AG59</f>
        <v>0</v>
      </c>
      <c r="AP59" s="75" t="e">
        <f aca="false">AH59*AH59*3.1416/4/C59</f>
        <v>#DIV/0!</v>
      </c>
      <c r="AQ59" s="75" t="e">
        <f aca="false">AK59*10000/C59</f>
        <v>#DIV/0!</v>
      </c>
      <c r="AR59" s="525" t="n">
        <f aca="false">('sureau_ini.txt'!CP46/2*'sureau_ini.txt'!CP46/2*3.1416)</f>
        <v>0</v>
      </c>
      <c r="AS59" s="525" t="e">
        <f aca="false">C59/AR59</f>
        <v>#DIV/0!</v>
      </c>
      <c r="AT59" s="75" t="e">
        <f aca="false">10000/AR59</f>
        <v>#DIV/0!</v>
      </c>
      <c r="AU59" s="75" t="e">
        <f aca="false">AH59*AH59*3.1416/4/10000*AT59</f>
        <v>#DIV/0!</v>
      </c>
      <c r="AV59" s="528" t="n">
        <f aca="false">AO59*AA59*1000</f>
        <v>0</v>
      </c>
      <c r="AW59" s="528" t="n">
        <f aca="false">AO59*1000*AB59</f>
        <v>0</v>
      </c>
      <c r="AX59" s="528" t="n">
        <f aca="false">AM59-AV59</f>
        <v>0</v>
      </c>
      <c r="AY59" s="528" t="n">
        <f aca="false">AN59-AW59</f>
        <v>0</v>
      </c>
      <c r="AZ59" s="528" t="n">
        <f aca="false">AM59*AC59</f>
        <v>0</v>
      </c>
      <c r="BA59" s="528" t="n">
        <f aca="false">AN59*AC59</f>
        <v>0</v>
      </c>
      <c r="BB59" s="528" t="n">
        <f aca="false">3.1416*AH59*AG59/100</f>
        <v>0</v>
      </c>
      <c r="BC59" s="528" t="n">
        <f aca="false">C59*AD59</f>
        <v>0</v>
      </c>
      <c r="BD59" s="528" t="n">
        <f aca="false">C59*AE59</f>
        <v>0</v>
      </c>
      <c r="BE59" s="528" t="n">
        <f aca="false">BD59+BC59*AC59</f>
        <v>0</v>
      </c>
      <c r="BF59" s="72" t="n">
        <v>20</v>
      </c>
      <c r="BG59" s="72" t="n">
        <v>20</v>
      </c>
      <c r="BH59" s="72" t="n">
        <v>8</v>
      </c>
      <c r="BI59" s="72" t="n">
        <v>2</v>
      </c>
      <c r="BJ59" s="72" t="n">
        <v>10</v>
      </c>
      <c r="BK59" s="72" t="n">
        <v>40</v>
      </c>
      <c r="BL59" s="75" t="n">
        <f aca="false">SUM(BF59:BI59)</f>
        <v>50</v>
      </c>
      <c r="BM59" s="75" t="n">
        <f aca="false">BJ59+BK59</f>
        <v>50</v>
      </c>
      <c r="BN59" s="75" t="n">
        <f aca="false">SUM(BF59:BK59)</f>
        <v>100</v>
      </c>
      <c r="BO59" s="0" t="n">
        <f aca="false">AV59+AW59+AX59+AY59+AZ59+BA59+C59*'sureau_ini.txt'!EI46/1000</f>
        <v>0</v>
      </c>
      <c r="BP59" s="0" t="n">
        <f aca="false">AV59+AX59+AZ59 +C59*'sureau_ini.txt'!EI46*'sureau_ini.txt'!EJ46/1000</f>
        <v>0</v>
      </c>
      <c r="BQ59" s="0" t="n">
        <f aca="false">BO59-BP59</f>
        <v>0</v>
      </c>
    </row>
    <row r="60" customFormat="false" ht="15.75" hidden="false" customHeight="false" outlineLevel="0" collapsed="false">
      <c r="A60" s="0" t="n">
        <f aca="false">'sureau_ini.txt'!A47</f>
        <v>0</v>
      </c>
      <c r="B60" s="525" t="n">
        <f aca="false">VPD_max</f>
        <v>1.26741256491017</v>
      </c>
      <c r="C60" s="525" t="n">
        <f aca="false">'sureau_ini.txt'!DZ47</f>
        <v>0</v>
      </c>
      <c r="D60" s="525" t="e">
        <f aca="false">(1/(1/'sureau_ini.txt'!EU47+1/(1.5*(0.00662*('sureau_ini.txt'!AG47/'sureau_ini.txt'!DU47*1000)^0.5)*1000*40)+1/'sureau_ini.txt'!EN47)*B60/101.6)</f>
        <v>#DIV/0!</v>
      </c>
      <c r="E60" s="525" t="e">
        <f aca="false">'sureau_ini.txt'!CQ47/(1/'sureau_ini.txt'!EU47+1/(1.5*(0.00662*('sureau_ini.txt'!AG47/'sureau_ini.txt'!DU47*1000)^0.5)*1000*40)+1/'sureau_ini.txt'!EN47)*B60/101.6 + 'sureau_ini.txt'!CR47/(1/'sureau_ini.txt'!EV47+1/(1.5*(0.00662*('sureau_ini.txt'!AG47/'sureau_ini.txt'!DU47*1000)^0.5)*1000*40)+1/'sureau_ini.txt'!EN47)*B60/101.6 + 'sureau_ini.txt'!CS47/(1/'sureau_ini.txt'!EW47+1/(1.5*(0.00662*('sureau_ini.txt'!AG47/'sureau_ini.txt'!DU47*1000)^0.5)*1000*40)+1/'sureau_ini.txt'!EN47)*B60/101.6</f>
        <v>#DIV/0!</v>
      </c>
      <c r="F60" s="75" t="e">
        <f aca="false">E60/1000*18/AK60/100000*3600*C60</f>
        <v>#DIV/0!</v>
      </c>
      <c r="G60" s="72" t="n">
        <v>-1.5</v>
      </c>
      <c r="H60" s="72" t="n">
        <v>0</v>
      </c>
      <c r="I60" s="75" t="e">
        <f aca="false">E60/(H60-G60)</f>
        <v>#DIV/0!</v>
      </c>
      <c r="J60" s="75" t="e">
        <f aca="false">I60*C60</f>
        <v>#DIV/0!</v>
      </c>
      <c r="K60" s="75" t="e">
        <f aca="false">1/I60</f>
        <v>#DIV/0!</v>
      </c>
      <c r="L60" s="75" t="e">
        <f aca="false">1/J60</f>
        <v>#DIV/0!</v>
      </c>
      <c r="M60" s="526" t="e">
        <f aca="false">1/(1/'Allometric tree'!I60*'Allometric tree'!BF60/100)</f>
        <v>#DIV/0!</v>
      </c>
      <c r="N60" s="526" t="e">
        <f aca="false">1/(1/'Allometric tree'!I60*'Allometric tree'!BG60/100)</f>
        <v>#DIV/0!</v>
      </c>
      <c r="O60" s="30" t="e">
        <f aca="false">1/(1/'Allometric tree'!I60*'Allometric tree'!BH60/100)</f>
        <v>#DIV/0!</v>
      </c>
      <c r="P60" s="30" t="e">
        <f aca="false">1/(1/'Allometric tree'!I60*'Allometric tree'!BI60/100)</f>
        <v>#DIV/0!</v>
      </c>
      <c r="Q60" s="30" t="e">
        <f aca="false">1/(1/'Allometric tree'!I60*'Allometric tree'!BJ60/100)</f>
        <v>#DIV/0!</v>
      </c>
      <c r="R60" s="526" t="e">
        <f aca="false">1/(1/'Allometric tree'!I60*'Allometric tree'!BK60/100)</f>
        <v>#DIV/0!</v>
      </c>
      <c r="S60" s="30" t="e">
        <f aca="false">M60*'Allometric tree'!C60</f>
        <v>#DIV/0!</v>
      </c>
      <c r="T60" s="30" t="e">
        <f aca="false">N60*'Allometric tree'!C60</f>
        <v>#DIV/0!</v>
      </c>
      <c r="U60" s="526" t="e">
        <f aca="false">O60*'Allometric tree'!C60</f>
        <v>#DIV/0!</v>
      </c>
      <c r="V60" s="526" t="e">
        <f aca="false">P60*'Allometric tree'!C60</f>
        <v>#DIV/0!</v>
      </c>
      <c r="W60" s="526" t="e">
        <f aca="false">Q60*'Allometric tree'!C60</f>
        <v>#DIV/0!</v>
      </c>
      <c r="X60" s="30" t="e">
        <f aca="false">R60*'Allometric tree'!C60</f>
        <v>#DIV/0!</v>
      </c>
      <c r="Y60" s="525" t="n">
        <f aca="false">'sureau_ini.txt'!DG47</f>
        <v>0</v>
      </c>
      <c r="Z60" s="527" t="e">
        <f aca="false">AK60/C60</f>
        <v>#DIV/0!</v>
      </c>
      <c r="AA60" s="525" t="n">
        <f aca="false">'sureau_ini.txt'!DE47</f>
        <v>0</v>
      </c>
      <c r="AB60" s="525" t="n">
        <f aca="false">'sureau_ini.txt'!DF47</f>
        <v>0</v>
      </c>
      <c r="AC60" s="525" t="n">
        <v>1</v>
      </c>
      <c r="AD60" s="72" t="n">
        <v>0.1</v>
      </c>
      <c r="AE60" s="525" t="n">
        <f aca="false">'sureau_ini.txt'!$E$21</f>
        <v>1</v>
      </c>
      <c r="AF60" s="525" t="n">
        <f aca="false">'sureau_ini.txt'!DC47+'sureau_ini.txt'!CU47</f>
        <v>0</v>
      </c>
      <c r="AG60" s="525" t="n">
        <f aca="false">'sureau_ini.txt'!DC47</f>
        <v>0</v>
      </c>
      <c r="AH60" s="525" t="n">
        <f aca="false">'sureau_ini.txt'!DD47*100</f>
        <v>0</v>
      </c>
      <c r="AI60" s="75" t="n">
        <f aca="false">AH60/2*Y60</f>
        <v>0</v>
      </c>
      <c r="AJ60" s="75" t="e">
        <f aca="false">100*(AH60/100-SQRT(AH60/100*AH60/100-4*AW60/1000/AG60/3.1416))/2</f>
        <v>#DIV/0!</v>
      </c>
      <c r="AK60" s="75" t="n">
        <f aca="false">(3.1416/4*(AH60^2)-3.1416*(AH60/2-AI60)^2)/10000</f>
        <v>0</v>
      </c>
      <c r="AL60" s="75" t="n">
        <f aca="false">AK60*AF60</f>
        <v>0</v>
      </c>
      <c r="AM60" s="75" t="n">
        <f aca="false">AL60*AA60*1000</f>
        <v>0</v>
      </c>
      <c r="AN60" s="75" t="n">
        <f aca="false">AL60*1000*AB60</f>
        <v>0</v>
      </c>
      <c r="AO60" s="75" t="n">
        <f aca="false">AK60*AG60</f>
        <v>0</v>
      </c>
      <c r="AP60" s="75" t="e">
        <f aca="false">AH60*AH60*3.1416/4/C60</f>
        <v>#DIV/0!</v>
      </c>
      <c r="AQ60" s="75" t="e">
        <f aca="false">AK60*10000/C60</f>
        <v>#DIV/0!</v>
      </c>
      <c r="AR60" s="525" t="n">
        <f aca="false">('sureau_ini.txt'!CP47/2*'sureau_ini.txt'!CP47/2*3.1416)</f>
        <v>0</v>
      </c>
      <c r="AS60" s="525" t="e">
        <f aca="false">C60/AR60</f>
        <v>#DIV/0!</v>
      </c>
      <c r="AT60" s="75" t="e">
        <f aca="false">10000/AR60</f>
        <v>#DIV/0!</v>
      </c>
      <c r="AU60" s="75" t="e">
        <f aca="false">AH60*AH60*3.1416/4/10000*AT60</f>
        <v>#DIV/0!</v>
      </c>
      <c r="AV60" s="528" t="n">
        <f aca="false">AO60*AA60*1000</f>
        <v>0</v>
      </c>
      <c r="AW60" s="528" t="n">
        <f aca="false">AO60*1000*AB60</f>
        <v>0</v>
      </c>
      <c r="AX60" s="528" t="n">
        <f aca="false">AM60-AV60</f>
        <v>0</v>
      </c>
      <c r="AY60" s="528" t="n">
        <f aca="false">AN60-AW60</f>
        <v>0</v>
      </c>
      <c r="AZ60" s="528" t="n">
        <f aca="false">AM60*AC60</f>
        <v>0</v>
      </c>
      <c r="BA60" s="528" t="n">
        <f aca="false">AN60*AC60</f>
        <v>0</v>
      </c>
      <c r="BB60" s="528" t="n">
        <f aca="false">3.1416*AH60*AG60/100</f>
        <v>0</v>
      </c>
      <c r="BC60" s="528" t="n">
        <f aca="false">C60*AD60</f>
        <v>0</v>
      </c>
      <c r="BD60" s="528" t="n">
        <f aca="false">C60*AE60</f>
        <v>0</v>
      </c>
      <c r="BE60" s="528" t="n">
        <f aca="false">BD60+BC60*AC60</f>
        <v>0</v>
      </c>
      <c r="BF60" s="72" t="n">
        <v>20</v>
      </c>
      <c r="BG60" s="72" t="n">
        <v>20</v>
      </c>
      <c r="BH60" s="72" t="n">
        <v>8</v>
      </c>
      <c r="BI60" s="72" t="n">
        <v>2</v>
      </c>
      <c r="BJ60" s="72" t="n">
        <v>10</v>
      </c>
      <c r="BK60" s="72" t="n">
        <v>40</v>
      </c>
      <c r="BL60" s="75" t="n">
        <f aca="false">SUM(BF60:BI60)</f>
        <v>50</v>
      </c>
      <c r="BM60" s="75" t="n">
        <f aca="false">BJ60+BK60</f>
        <v>50</v>
      </c>
      <c r="BN60" s="75" t="n">
        <f aca="false">SUM(BF60:BK60)</f>
        <v>100</v>
      </c>
      <c r="BO60" s="0" t="n">
        <f aca="false">AV60+AW60+AX60+AY60+AZ60+BA60+C60*'sureau_ini.txt'!EI47/1000</f>
        <v>0</v>
      </c>
      <c r="BP60" s="0" t="n">
        <f aca="false">AV60+AX60+AZ60 +C60*'sureau_ini.txt'!EI47*'sureau_ini.txt'!EJ47/1000</f>
        <v>0</v>
      </c>
      <c r="BQ60" s="0" t="n">
        <f aca="false">BO60-BP60</f>
        <v>0</v>
      </c>
    </row>
    <row r="61" customFormat="false" ht="15.75" hidden="false" customHeight="false" outlineLevel="0" collapsed="false">
      <c r="A61" s="0" t="n">
        <f aca="false">'sureau_ini.txt'!A48</f>
        <v>0</v>
      </c>
      <c r="B61" s="525" t="n">
        <f aca="false">VPD_max</f>
        <v>1.26741256491017</v>
      </c>
      <c r="C61" s="525" t="n">
        <f aca="false">'sureau_ini.txt'!DZ48</f>
        <v>0</v>
      </c>
      <c r="D61" s="525" t="e">
        <f aca="false">(1/(1/'sureau_ini.txt'!EU48+1/(1.5*(0.00662*('sureau_ini.txt'!AG48/'sureau_ini.txt'!DU48*1000)^0.5)*1000*40)+1/'sureau_ini.txt'!EN48)*B61/101.6)</f>
        <v>#DIV/0!</v>
      </c>
      <c r="E61" s="525" t="e">
        <f aca="false">'sureau_ini.txt'!CQ48/(1/'sureau_ini.txt'!EU48+1/(1.5*(0.00662*('sureau_ini.txt'!AG48/'sureau_ini.txt'!DU48*1000)^0.5)*1000*40)+1/'sureau_ini.txt'!EN48)*B61/101.6 + 'sureau_ini.txt'!CR48/(1/'sureau_ini.txt'!EV48+1/(1.5*(0.00662*('sureau_ini.txt'!AG48/'sureau_ini.txt'!DU48*1000)^0.5)*1000*40)+1/'sureau_ini.txt'!EN48)*B61/101.6 + 'sureau_ini.txt'!CS48/(1/'sureau_ini.txt'!EW48+1/(1.5*(0.00662*('sureau_ini.txt'!AG48/'sureau_ini.txt'!DU48*1000)^0.5)*1000*40)+1/'sureau_ini.txt'!EN48)*B61/101.6</f>
        <v>#DIV/0!</v>
      </c>
      <c r="F61" s="75" t="e">
        <f aca="false">E61/1000*18/AK61/100000*3600*C61</f>
        <v>#DIV/0!</v>
      </c>
      <c r="G61" s="72" t="n">
        <v>-1.5</v>
      </c>
      <c r="H61" s="72" t="n">
        <v>0</v>
      </c>
      <c r="I61" s="75" t="e">
        <f aca="false">E61/(H61-G61)</f>
        <v>#DIV/0!</v>
      </c>
      <c r="J61" s="75" t="e">
        <f aca="false">I61*C61</f>
        <v>#DIV/0!</v>
      </c>
      <c r="K61" s="75" t="e">
        <f aca="false">1/I61</f>
        <v>#DIV/0!</v>
      </c>
      <c r="L61" s="75" t="e">
        <f aca="false">1/J61</f>
        <v>#DIV/0!</v>
      </c>
      <c r="M61" s="526" t="e">
        <f aca="false">1/(1/'Allometric tree'!I61*'Allometric tree'!BF61/100)</f>
        <v>#DIV/0!</v>
      </c>
      <c r="N61" s="526" t="e">
        <f aca="false">1/(1/'Allometric tree'!I61*'Allometric tree'!BG61/100)</f>
        <v>#DIV/0!</v>
      </c>
      <c r="O61" s="30" t="e">
        <f aca="false">1/(1/'Allometric tree'!I61*'Allometric tree'!BH61/100)</f>
        <v>#DIV/0!</v>
      </c>
      <c r="P61" s="30" t="e">
        <f aca="false">1/(1/'Allometric tree'!I61*'Allometric tree'!BI61/100)</f>
        <v>#DIV/0!</v>
      </c>
      <c r="Q61" s="30" t="e">
        <f aca="false">1/(1/'Allometric tree'!I61*'Allometric tree'!BJ61/100)</f>
        <v>#DIV/0!</v>
      </c>
      <c r="R61" s="526" t="e">
        <f aca="false">1/(1/'Allometric tree'!I61*'Allometric tree'!BK61/100)</f>
        <v>#DIV/0!</v>
      </c>
      <c r="S61" s="30" t="e">
        <f aca="false">M61*'Allometric tree'!C61</f>
        <v>#DIV/0!</v>
      </c>
      <c r="T61" s="30" t="e">
        <f aca="false">N61*'Allometric tree'!C61</f>
        <v>#DIV/0!</v>
      </c>
      <c r="U61" s="526" t="e">
        <f aca="false">O61*'Allometric tree'!C61</f>
        <v>#DIV/0!</v>
      </c>
      <c r="V61" s="526" t="e">
        <f aca="false">P61*'Allometric tree'!C61</f>
        <v>#DIV/0!</v>
      </c>
      <c r="W61" s="526" t="e">
        <f aca="false">Q61*'Allometric tree'!C61</f>
        <v>#DIV/0!</v>
      </c>
      <c r="X61" s="30" t="e">
        <f aca="false">R61*'Allometric tree'!C61</f>
        <v>#DIV/0!</v>
      </c>
      <c r="Y61" s="525" t="n">
        <f aca="false">'sureau_ini.txt'!DG48</f>
        <v>0</v>
      </c>
      <c r="Z61" s="527" t="e">
        <f aca="false">AK61/C61</f>
        <v>#DIV/0!</v>
      </c>
      <c r="AA61" s="525" t="n">
        <f aca="false">'sureau_ini.txt'!DE48</f>
        <v>0</v>
      </c>
      <c r="AB61" s="525" t="n">
        <f aca="false">'sureau_ini.txt'!DF48</f>
        <v>0</v>
      </c>
      <c r="AC61" s="525" t="n">
        <v>1</v>
      </c>
      <c r="AD61" s="72" t="n">
        <v>0.1</v>
      </c>
      <c r="AE61" s="525" t="n">
        <f aca="false">'sureau_ini.txt'!$E$21</f>
        <v>1</v>
      </c>
      <c r="AF61" s="525" t="n">
        <f aca="false">'sureau_ini.txt'!DC48+'sureau_ini.txt'!CU48</f>
        <v>0</v>
      </c>
      <c r="AG61" s="525" t="n">
        <f aca="false">'sureau_ini.txt'!DC48</f>
        <v>0</v>
      </c>
      <c r="AH61" s="525" t="n">
        <f aca="false">'sureau_ini.txt'!DD48*100</f>
        <v>0</v>
      </c>
      <c r="AI61" s="75" t="n">
        <f aca="false">AH61/2*Y61</f>
        <v>0</v>
      </c>
      <c r="AJ61" s="75" t="e">
        <f aca="false">100*(AH61/100-SQRT(AH61/100*AH61/100-4*AW61/1000/AG61/3.1416))/2</f>
        <v>#DIV/0!</v>
      </c>
      <c r="AK61" s="75" t="n">
        <f aca="false">(3.1416/4*(AH61^2)-3.1416*(AH61/2-AI61)^2)/10000</f>
        <v>0</v>
      </c>
      <c r="AL61" s="75" t="n">
        <f aca="false">AK61*AF61</f>
        <v>0</v>
      </c>
      <c r="AM61" s="75" t="n">
        <f aca="false">AL61*AA61*1000</f>
        <v>0</v>
      </c>
      <c r="AN61" s="75" t="n">
        <f aca="false">AL61*1000*AB61</f>
        <v>0</v>
      </c>
      <c r="AO61" s="75" t="n">
        <f aca="false">AK61*AG61</f>
        <v>0</v>
      </c>
      <c r="AP61" s="75" t="e">
        <f aca="false">AH61*AH61*3.1416/4/C61</f>
        <v>#DIV/0!</v>
      </c>
      <c r="AQ61" s="75" t="e">
        <f aca="false">AK61*10000/C61</f>
        <v>#DIV/0!</v>
      </c>
      <c r="AR61" s="525" t="n">
        <f aca="false">('sureau_ini.txt'!CP48/2*'sureau_ini.txt'!CP48/2*3.1416)</f>
        <v>0</v>
      </c>
      <c r="AS61" s="525" t="e">
        <f aca="false">C61/AR61</f>
        <v>#DIV/0!</v>
      </c>
      <c r="AT61" s="75" t="e">
        <f aca="false">10000/AR61</f>
        <v>#DIV/0!</v>
      </c>
      <c r="AU61" s="75" t="e">
        <f aca="false">AH61*AH61*3.1416/4/10000*AT61</f>
        <v>#DIV/0!</v>
      </c>
      <c r="AV61" s="528" t="n">
        <f aca="false">AO61*AA61*1000</f>
        <v>0</v>
      </c>
      <c r="AW61" s="528" t="n">
        <f aca="false">AO61*1000*AB61</f>
        <v>0</v>
      </c>
      <c r="AX61" s="528" t="n">
        <f aca="false">AM61-AV61</f>
        <v>0</v>
      </c>
      <c r="AY61" s="528" t="n">
        <f aca="false">AN61-AW61</f>
        <v>0</v>
      </c>
      <c r="AZ61" s="528" t="n">
        <f aca="false">AM61*AC61</f>
        <v>0</v>
      </c>
      <c r="BA61" s="528" t="n">
        <f aca="false">AN61*AC61</f>
        <v>0</v>
      </c>
      <c r="BB61" s="528" t="n">
        <f aca="false">3.1416*AH61*AG61/100</f>
        <v>0</v>
      </c>
      <c r="BC61" s="528" t="n">
        <f aca="false">C61*AD61</f>
        <v>0</v>
      </c>
      <c r="BD61" s="528" t="n">
        <f aca="false">C61*AE61</f>
        <v>0</v>
      </c>
      <c r="BE61" s="528" t="n">
        <f aca="false">BD61+BC61*AC61</f>
        <v>0</v>
      </c>
      <c r="BF61" s="72" t="n">
        <v>20</v>
      </c>
      <c r="BG61" s="72" t="n">
        <v>20</v>
      </c>
      <c r="BH61" s="72" t="n">
        <v>8</v>
      </c>
      <c r="BI61" s="72" t="n">
        <v>2</v>
      </c>
      <c r="BJ61" s="72" t="n">
        <v>10</v>
      </c>
      <c r="BK61" s="72" t="n">
        <v>40</v>
      </c>
      <c r="BL61" s="75" t="n">
        <f aca="false">SUM(BF61:BI61)</f>
        <v>50</v>
      </c>
      <c r="BM61" s="75" t="n">
        <f aca="false">BJ61+BK61</f>
        <v>50</v>
      </c>
      <c r="BN61" s="75" t="n">
        <f aca="false">SUM(BF61:BK61)</f>
        <v>100</v>
      </c>
      <c r="BO61" s="0" t="n">
        <f aca="false">AV61+AW61+AX61+AY61+AZ61+BA61+C61*'sureau_ini.txt'!EI48/1000</f>
        <v>0</v>
      </c>
      <c r="BP61" s="0" t="n">
        <f aca="false">AV61+AX61+AZ61 +C61*'sureau_ini.txt'!EI48*'sureau_ini.txt'!EJ48/1000</f>
        <v>0</v>
      </c>
      <c r="BQ61" s="0" t="n">
        <f aca="false">BO61-BP61</f>
        <v>0</v>
      </c>
    </row>
    <row r="62" customFormat="false" ht="15.75" hidden="false" customHeight="false" outlineLevel="0" collapsed="false">
      <c r="A62" s="0" t="n">
        <f aca="false">'sureau_ini.txt'!A49</f>
        <v>0</v>
      </c>
      <c r="B62" s="525" t="n">
        <f aca="false">VPD_max</f>
        <v>1.26741256491017</v>
      </c>
      <c r="C62" s="525" t="n">
        <f aca="false">'sureau_ini.txt'!DZ49</f>
        <v>0</v>
      </c>
      <c r="D62" s="525" t="e">
        <f aca="false">(1/(1/'sureau_ini.txt'!EU49+1/(1.5*(0.00662*('sureau_ini.txt'!AG49/'sureau_ini.txt'!DU49*1000)^0.5)*1000*40)+1/'sureau_ini.txt'!EN49)*B62/101.6)</f>
        <v>#DIV/0!</v>
      </c>
      <c r="E62" s="525" t="e">
        <f aca="false">'sureau_ini.txt'!CQ49/(1/'sureau_ini.txt'!EU49+1/(1.5*(0.00662*('sureau_ini.txt'!AG49/'sureau_ini.txt'!DU49*1000)^0.5)*1000*40)+1/'sureau_ini.txt'!EN49)*B62/101.6 + 'sureau_ini.txt'!CR49/(1/'sureau_ini.txt'!EV49+1/(1.5*(0.00662*('sureau_ini.txt'!AG49/'sureau_ini.txt'!DU49*1000)^0.5)*1000*40)+1/'sureau_ini.txt'!EN49)*B62/101.6 + 'sureau_ini.txt'!CS49/(1/'sureau_ini.txt'!EW49+1/(1.5*(0.00662*('sureau_ini.txt'!AG49/'sureau_ini.txt'!DU49*1000)^0.5)*1000*40)+1/'sureau_ini.txt'!EN49)*B62/101.6</f>
        <v>#DIV/0!</v>
      </c>
      <c r="F62" s="75" t="e">
        <f aca="false">E62/1000*18/AK62/100000*3600*C62</f>
        <v>#DIV/0!</v>
      </c>
      <c r="G62" s="72" t="n">
        <v>-1.5</v>
      </c>
      <c r="H62" s="72" t="n">
        <v>0</v>
      </c>
      <c r="I62" s="75" t="e">
        <f aca="false">E62/(H62-G62)</f>
        <v>#DIV/0!</v>
      </c>
      <c r="J62" s="75" t="e">
        <f aca="false">I62*C62</f>
        <v>#DIV/0!</v>
      </c>
      <c r="K62" s="75" t="e">
        <f aca="false">1/I62</f>
        <v>#DIV/0!</v>
      </c>
      <c r="L62" s="75" t="e">
        <f aca="false">1/J62</f>
        <v>#DIV/0!</v>
      </c>
      <c r="M62" s="526" t="e">
        <f aca="false">1/(1/'Allometric tree'!I62*'Allometric tree'!BF62/100)</f>
        <v>#DIV/0!</v>
      </c>
      <c r="N62" s="526" t="e">
        <f aca="false">1/(1/'Allometric tree'!I62*'Allometric tree'!BG62/100)</f>
        <v>#DIV/0!</v>
      </c>
      <c r="O62" s="30" t="e">
        <f aca="false">1/(1/'Allometric tree'!I62*'Allometric tree'!BH62/100)</f>
        <v>#DIV/0!</v>
      </c>
      <c r="P62" s="30" t="e">
        <f aca="false">1/(1/'Allometric tree'!I62*'Allometric tree'!BI62/100)</f>
        <v>#DIV/0!</v>
      </c>
      <c r="Q62" s="30" t="e">
        <f aca="false">1/(1/'Allometric tree'!I62*'Allometric tree'!BJ62/100)</f>
        <v>#DIV/0!</v>
      </c>
      <c r="R62" s="526" t="e">
        <f aca="false">1/(1/'Allometric tree'!I62*'Allometric tree'!BK62/100)</f>
        <v>#DIV/0!</v>
      </c>
      <c r="S62" s="30" t="e">
        <f aca="false">M62*'Allometric tree'!C62</f>
        <v>#DIV/0!</v>
      </c>
      <c r="T62" s="30" t="e">
        <f aca="false">N62*'Allometric tree'!C62</f>
        <v>#DIV/0!</v>
      </c>
      <c r="U62" s="526" t="e">
        <f aca="false">O62*'Allometric tree'!C62</f>
        <v>#DIV/0!</v>
      </c>
      <c r="V62" s="526" t="e">
        <f aca="false">P62*'Allometric tree'!C62</f>
        <v>#DIV/0!</v>
      </c>
      <c r="W62" s="526" t="e">
        <f aca="false">Q62*'Allometric tree'!C62</f>
        <v>#DIV/0!</v>
      </c>
      <c r="X62" s="30" t="e">
        <f aca="false">R62*'Allometric tree'!C62</f>
        <v>#DIV/0!</v>
      </c>
      <c r="Y62" s="525" t="n">
        <f aca="false">'sureau_ini.txt'!DG49</f>
        <v>0</v>
      </c>
      <c r="Z62" s="527" t="e">
        <f aca="false">AK62/C62</f>
        <v>#DIV/0!</v>
      </c>
      <c r="AA62" s="525" t="n">
        <f aca="false">'sureau_ini.txt'!DE49</f>
        <v>0</v>
      </c>
      <c r="AB62" s="525" t="n">
        <f aca="false">'sureau_ini.txt'!DF49</f>
        <v>0</v>
      </c>
      <c r="AC62" s="525" t="n">
        <v>1</v>
      </c>
      <c r="AD62" s="72" t="n">
        <v>0.1</v>
      </c>
      <c r="AE62" s="525" t="n">
        <f aca="false">'sureau_ini.txt'!$E$21</f>
        <v>1</v>
      </c>
      <c r="AF62" s="525" t="n">
        <f aca="false">'sureau_ini.txt'!DC49+'sureau_ini.txt'!CU49</f>
        <v>0</v>
      </c>
      <c r="AG62" s="525" t="n">
        <f aca="false">'sureau_ini.txt'!DC49</f>
        <v>0</v>
      </c>
      <c r="AH62" s="525" t="n">
        <f aca="false">'sureau_ini.txt'!DD49*100</f>
        <v>0</v>
      </c>
      <c r="AI62" s="75" t="n">
        <f aca="false">AH62/2*Y62</f>
        <v>0</v>
      </c>
      <c r="AJ62" s="75" t="e">
        <f aca="false">100*(AH62/100-SQRT(AH62/100*AH62/100-4*AW62/1000/AG62/3.1416))/2</f>
        <v>#DIV/0!</v>
      </c>
      <c r="AK62" s="75" t="n">
        <f aca="false">(3.1416/4*(AH62^2)-3.1416*(AH62/2-AI62)^2)/10000</f>
        <v>0</v>
      </c>
      <c r="AL62" s="75" t="n">
        <f aca="false">AK62*AF62</f>
        <v>0</v>
      </c>
      <c r="AM62" s="75" t="n">
        <f aca="false">AL62*AA62*1000</f>
        <v>0</v>
      </c>
      <c r="AN62" s="75" t="n">
        <f aca="false">AL62*1000*AB62</f>
        <v>0</v>
      </c>
      <c r="AO62" s="75" t="n">
        <f aca="false">AK62*AG62</f>
        <v>0</v>
      </c>
      <c r="AP62" s="75" t="e">
        <f aca="false">AH62*AH62*3.1416/4/C62</f>
        <v>#DIV/0!</v>
      </c>
      <c r="AQ62" s="75" t="e">
        <f aca="false">AK62*10000/C62</f>
        <v>#DIV/0!</v>
      </c>
      <c r="AR62" s="525" t="n">
        <f aca="false">('sureau_ini.txt'!CP49/2*'sureau_ini.txt'!CP49/2*3.1416)</f>
        <v>0</v>
      </c>
      <c r="AS62" s="525" t="e">
        <f aca="false">C62/AR62</f>
        <v>#DIV/0!</v>
      </c>
      <c r="AT62" s="75" t="e">
        <f aca="false">10000/AR62</f>
        <v>#DIV/0!</v>
      </c>
      <c r="AU62" s="75" t="e">
        <f aca="false">AH62*AH62*3.1416/4/10000*AT62</f>
        <v>#DIV/0!</v>
      </c>
      <c r="AV62" s="528" t="n">
        <f aca="false">AO62*AA62*1000</f>
        <v>0</v>
      </c>
      <c r="AW62" s="528" t="n">
        <f aca="false">AO62*1000*AB62</f>
        <v>0</v>
      </c>
      <c r="AX62" s="528" t="n">
        <f aca="false">AM62-AV62</f>
        <v>0</v>
      </c>
      <c r="AY62" s="528" t="n">
        <f aca="false">AN62-AW62</f>
        <v>0</v>
      </c>
      <c r="AZ62" s="528" t="n">
        <f aca="false">AM62*AC62</f>
        <v>0</v>
      </c>
      <c r="BA62" s="528" t="n">
        <f aca="false">AN62*AC62</f>
        <v>0</v>
      </c>
      <c r="BB62" s="528" t="n">
        <f aca="false">3.1416*AH62*AG62/100</f>
        <v>0</v>
      </c>
      <c r="BC62" s="528" t="n">
        <f aca="false">C62*AD62</f>
        <v>0</v>
      </c>
      <c r="BD62" s="528" t="n">
        <f aca="false">C62*AE62</f>
        <v>0</v>
      </c>
      <c r="BE62" s="528" t="n">
        <f aca="false">BD62+BC62*AC62</f>
        <v>0</v>
      </c>
      <c r="BF62" s="72" t="n">
        <v>20</v>
      </c>
      <c r="BG62" s="72" t="n">
        <v>20</v>
      </c>
      <c r="BH62" s="72" t="n">
        <v>8</v>
      </c>
      <c r="BI62" s="72" t="n">
        <v>2</v>
      </c>
      <c r="BJ62" s="72" t="n">
        <v>10</v>
      </c>
      <c r="BK62" s="72" t="n">
        <v>40</v>
      </c>
      <c r="BL62" s="75" t="n">
        <f aca="false">SUM(BF62:BI62)</f>
        <v>50</v>
      </c>
      <c r="BM62" s="75" t="n">
        <f aca="false">BJ62+BK62</f>
        <v>50</v>
      </c>
      <c r="BN62" s="75" t="n">
        <f aca="false">SUM(BF62:BK62)</f>
        <v>100</v>
      </c>
      <c r="BO62" s="0" t="n">
        <f aca="false">AV62+AW62+AX62+AY62+AZ62+BA62+C62*'sureau_ini.txt'!EI49/1000</f>
        <v>0</v>
      </c>
      <c r="BP62" s="0" t="n">
        <f aca="false">AV62+AX62+AZ62 +C62*'sureau_ini.txt'!EI49*'sureau_ini.txt'!EJ49/1000</f>
        <v>0</v>
      </c>
      <c r="BQ62" s="0" t="n">
        <f aca="false">BO62-BP62</f>
        <v>0</v>
      </c>
    </row>
    <row r="63" customFormat="false" ht="15.75" hidden="false" customHeight="false" outlineLevel="0" collapsed="false">
      <c r="A63" s="0" t="n">
        <f aca="false">'sureau_ini.txt'!A50</f>
        <v>0</v>
      </c>
      <c r="B63" s="525" t="n">
        <f aca="false">VPD_max</f>
        <v>1.26741256491017</v>
      </c>
      <c r="C63" s="525" t="n">
        <f aca="false">'sureau_ini.txt'!DZ50</f>
        <v>0</v>
      </c>
      <c r="D63" s="525" t="e">
        <f aca="false">(1/(1/'sureau_ini.txt'!EU50+1/(1.5*(0.00662*('sureau_ini.txt'!AG50/'sureau_ini.txt'!DU50*1000)^0.5)*1000*40)+1/'sureau_ini.txt'!EN50)*B63/101.6)</f>
        <v>#DIV/0!</v>
      </c>
      <c r="E63" s="525" t="e">
        <f aca="false">'sureau_ini.txt'!CQ50/(1/'sureau_ini.txt'!EU50+1/(1.5*(0.00662*('sureau_ini.txt'!AG50/'sureau_ini.txt'!DU50*1000)^0.5)*1000*40)+1/'sureau_ini.txt'!EN50)*B63/101.6 + 'sureau_ini.txt'!CR50/(1/'sureau_ini.txt'!EV50+1/(1.5*(0.00662*('sureau_ini.txt'!AG50/'sureau_ini.txt'!DU50*1000)^0.5)*1000*40)+1/'sureau_ini.txt'!EN50)*B63/101.6 + 'sureau_ini.txt'!CS50/(1/'sureau_ini.txt'!EW50+1/(1.5*(0.00662*('sureau_ini.txt'!AG50/'sureau_ini.txt'!DU50*1000)^0.5)*1000*40)+1/'sureau_ini.txt'!EN50)*B63/101.6</f>
        <v>#DIV/0!</v>
      </c>
      <c r="F63" s="75" t="e">
        <f aca="false">E63/1000*18/AK63/100000*3600*C63</f>
        <v>#DIV/0!</v>
      </c>
      <c r="G63" s="72" t="n">
        <v>-1.5</v>
      </c>
      <c r="H63" s="72" t="n">
        <v>0</v>
      </c>
      <c r="I63" s="75" t="e">
        <f aca="false">E63/(H63-G63)</f>
        <v>#DIV/0!</v>
      </c>
      <c r="J63" s="75" t="e">
        <f aca="false">I63*C63</f>
        <v>#DIV/0!</v>
      </c>
      <c r="K63" s="75" t="e">
        <f aca="false">1/I63</f>
        <v>#DIV/0!</v>
      </c>
      <c r="L63" s="75" t="e">
        <f aca="false">1/J63</f>
        <v>#DIV/0!</v>
      </c>
      <c r="M63" s="526" t="e">
        <f aca="false">1/(1/'Allometric tree'!I63*'Allometric tree'!BF63/100)</f>
        <v>#DIV/0!</v>
      </c>
      <c r="N63" s="526" t="e">
        <f aca="false">1/(1/'Allometric tree'!I63*'Allometric tree'!BG63/100)</f>
        <v>#DIV/0!</v>
      </c>
      <c r="O63" s="30" t="e">
        <f aca="false">1/(1/'Allometric tree'!I63*'Allometric tree'!BH63/100)</f>
        <v>#DIV/0!</v>
      </c>
      <c r="P63" s="30" t="e">
        <f aca="false">1/(1/'Allometric tree'!I63*'Allometric tree'!BI63/100)</f>
        <v>#DIV/0!</v>
      </c>
      <c r="Q63" s="30" t="e">
        <f aca="false">1/(1/'Allometric tree'!I63*'Allometric tree'!BJ63/100)</f>
        <v>#DIV/0!</v>
      </c>
      <c r="R63" s="526" t="e">
        <f aca="false">1/(1/'Allometric tree'!I63*'Allometric tree'!BK63/100)</f>
        <v>#DIV/0!</v>
      </c>
      <c r="S63" s="30" t="e">
        <f aca="false">M63*'Allometric tree'!C63</f>
        <v>#DIV/0!</v>
      </c>
      <c r="T63" s="30" t="e">
        <f aca="false">N63*'Allometric tree'!C63</f>
        <v>#DIV/0!</v>
      </c>
      <c r="U63" s="526" t="e">
        <f aca="false">O63*'Allometric tree'!C63</f>
        <v>#DIV/0!</v>
      </c>
      <c r="V63" s="526" t="e">
        <f aca="false">P63*'Allometric tree'!C63</f>
        <v>#DIV/0!</v>
      </c>
      <c r="W63" s="526" t="e">
        <f aca="false">Q63*'Allometric tree'!C63</f>
        <v>#DIV/0!</v>
      </c>
      <c r="X63" s="30" t="e">
        <f aca="false">R63*'Allometric tree'!C63</f>
        <v>#DIV/0!</v>
      </c>
      <c r="Y63" s="525" t="n">
        <f aca="false">'sureau_ini.txt'!DG50</f>
        <v>0</v>
      </c>
      <c r="Z63" s="527" t="e">
        <f aca="false">AK63/C63</f>
        <v>#DIV/0!</v>
      </c>
      <c r="AA63" s="525" t="n">
        <f aca="false">'sureau_ini.txt'!DE50</f>
        <v>0</v>
      </c>
      <c r="AB63" s="525" t="n">
        <f aca="false">'sureau_ini.txt'!DF50</f>
        <v>0</v>
      </c>
      <c r="AC63" s="525" t="n">
        <v>1</v>
      </c>
      <c r="AD63" s="72" t="n">
        <v>0.1</v>
      </c>
      <c r="AE63" s="525" t="n">
        <f aca="false">'sureau_ini.txt'!$E$21</f>
        <v>1</v>
      </c>
      <c r="AF63" s="525" t="n">
        <f aca="false">'sureau_ini.txt'!DC50+'sureau_ini.txt'!CU50</f>
        <v>0</v>
      </c>
      <c r="AG63" s="525" t="n">
        <f aca="false">'sureau_ini.txt'!DC50</f>
        <v>0</v>
      </c>
      <c r="AH63" s="525" t="n">
        <f aca="false">'sureau_ini.txt'!DD50*100</f>
        <v>0</v>
      </c>
      <c r="AI63" s="75" t="n">
        <f aca="false">AH63/2*Y63</f>
        <v>0</v>
      </c>
      <c r="AJ63" s="75" t="e">
        <f aca="false">100*(AH63/100-SQRT(AH63/100*AH63/100-4*AW63/1000/AG63/3.1416))/2</f>
        <v>#DIV/0!</v>
      </c>
      <c r="AK63" s="75" t="n">
        <f aca="false">(3.1416/4*(AH63^2)-3.1416*(AH63/2-AI63)^2)/10000</f>
        <v>0</v>
      </c>
      <c r="AL63" s="75" t="n">
        <f aca="false">AK63*AF63</f>
        <v>0</v>
      </c>
      <c r="AM63" s="75" t="n">
        <f aca="false">AL63*AA63*1000</f>
        <v>0</v>
      </c>
      <c r="AN63" s="75" t="n">
        <f aca="false">AL63*1000*AB63</f>
        <v>0</v>
      </c>
      <c r="AO63" s="75" t="n">
        <f aca="false">AK63*AG63</f>
        <v>0</v>
      </c>
      <c r="AP63" s="75" t="e">
        <f aca="false">AH63*AH63*3.1416/4/C63</f>
        <v>#DIV/0!</v>
      </c>
      <c r="AQ63" s="75" t="e">
        <f aca="false">AK63*10000/C63</f>
        <v>#DIV/0!</v>
      </c>
      <c r="AR63" s="525" t="n">
        <f aca="false">('sureau_ini.txt'!CP50/2*'sureau_ini.txt'!CP50/2*3.1416)</f>
        <v>0</v>
      </c>
      <c r="AS63" s="525" t="e">
        <f aca="false">C63/AR63</f>
        <v>#DIV/0!</v>
      </c>
      <c r="AT63" s="75" t="e">
        <f aca="false">10000/AR63</f>
        <v>#DIV/0!</v>
      </c>
      <c r="AU63" s="75" t="e">
        <f aca="false">AH63*AH63*3.1416/4/10000*AT63</f>
        <v>#DIV/0!</v>
      </c>
      <c r="AV63" s="528" t="n">
        <f aca="false">AO63*AA63*1000</f>
        <v>0</v>
      </c>
      <c r="AW63" s="528" t="n">
        <f aca="false">AO63*1000*AB63</f>
        <v>0</v>
      </c>
      <c r="AX63" s="528" t="n">
        <f aca="false">AM63-AV63</f>
        <v>0</v>
      </c>
      <c r="AY63" s="528" t="n">
        <f aca="false">AN63-AW63</f>
        <v>0</v>
      </c>
      <c r="AZ63" s="528" t="n">
        <f aca="false">AM63*AC63</f>
        <v>0</v>
      </c>
      <c r="BA63" s="528" t="n">
        <f aca="false">AN63*AC63</f>
        <v>0</v>
      </c>
      <c r="BB63" s="528" t="n">
        <f aca="false">3.1416*AH63*AG63/100</f>
        <v>0</v>
      </c>
      <c r="BC63" s="528" t="n">
        <f aca="false">C63*AD63</f>
        <v>0</v>
      </c>
      <c r="BD63" s="528" t="n">
        <f aca="false">C63*AE63</f>
        <v>0</v>
      </c>
      <c r="BE63" s="528" t="n">
        <f aca="false">BD63+BC63*AC63</f>
        <v>0</v>
      </c>
      <c r="BF63" s="72" t="n">
        <v>20</v>
      </c>
      <c r="BG63" s="72" t="n">
        <v>20</v>
      </c>
      <c r="BH63" s="72" t="n">
        <v>8</v>
      </c>
      <c r="BI63" s="72" t="n">
        <v>2</v>
      </c>
      <c r="BJ63" s="72" t="n">
        <v>10</v>
      </c>
      <c r="BK63" s="72" t="n">
        <v>40</v>
      </c>
      <c r="BL63" s="75" t="n">
        <f aca="false">SUM(BF63:BI63)</f>
        <v>50</v>
      </c>
      <c r="BM63" s="75" t="n">
        <f aca="false">BJ63+BK63</f>
        <v>50</v>
      </c>
      <c r="BN63" s="75" t="n">
        <f aca="false">SUM(BF63:BK63)</f>
        <v>100</v>
      </c>
      <c r="BO63" s="0" t="n">
        <f aca="false">AV63+AW63+AX63+AY63+AZ63+BA63+C63*'sureau_ini.txt'!EI50/1000</f>
        <v>0</v>
      </c>
      <c r="BP63" s="0" t="n">
        <f aca="false">AV63+AX63+AZ63 +C63*'sureau_ini.txt'!EI50*'sureau_ini.txt'!EJ50/1000</f>
        <v>0</v>
      </c>
      <c r="BQ63" s="0" t="n">
        <f aca="false">BO63-BP63</f>
        <v>0</v>
      </c>
    </row>
    <row r="64" customFormat="false" ht="15.75" hidden="false" customHeight="false" outlineLevel="0" collapsed="false">
      <c r="A64" s="0" t="n">
        <f aca="false">'sureau_ini.txt'!A51</f>
        <v>0</v>
      </c>
      <c r="B64" s="525" t="n">
        <f aca="false">VPD_max</f>
        <v>1.26741256491017</v>
      </c>
      <c r="C64" s="525" t="n">
        <f aca="false">'sureau_ini.txt'!DZ51</f>
        <v>0</v>
      </c>
      <c r="D64" s="525" t="e">
        <f aca="false">(1/(1/'sureau_ini.txt'!EU51+1/(1.5*(0.00662*('sureau_ini.txt'!AG51/'sureau_ini.txt'!DU51*1000)^0.5)*1000*40)+1/'sureau_ini.txt'!EN51)*B64/101.6)</f>
        <v>#DIV/0!</v>
      </c>
      <c r="E64" s="525" t="e">
        <f aca="false">'sureau_ini.txt'!CQ51/(1/'sureau_ini.txt'!EU51+1/(1.5*(0.00662*('sureau_ini.txt'!AG51/'sureau_ini.txt'!DU51*1000)^0.5)*1000*40)+1/'sureau_ini.txt'!EN51)*B64/101.6 + 'sureau_ini.txt'!CR51/(1/'sureau_ini.txt'!EV51+1/(1.5*(0.00662*('sureau_ini.txt'!AG51/'sureau_ini.txt'!DU51*1000)^0.5)*1000*40)+1/'sureau_ini.txt'!EN51)*B64/101.6 + 'sureau_ini.txt'!CS51/(1/'sureau_ini.txt'!EW51+1/(1.5*(0.00662*('sureau_ini.txt'!AG51/'sureau_ini.txt'!DU51*1000)^0.5)*1000*40)+1/'sureau_ini.txt'!EN51)*B64/101.6</f>
        <v>#DIV/0!</v>
      </c>
      <c r="F64" s="75" t="e">
        <f aca="false">E64/1000*18/AK64/100000*3600*C64</f>
        <v>#DIV/0!</v>
      </c>
      <c r="G64" s="72" t="n">
        <v>-1.5</v>
      </c>
      <c r="H64" s="72" t="n">
        <v>0</v>
      </c>
      <c r="I64" s="75" t="e">
        <f aca="false">E64/(H64-G64)</f>
        <v>#DIV/0!</v>
      </c>
      <c r="J64" s="75" t="e">
        <f aca="false">I64*C64</f>
        <v>#DIV/0!</v>
      </c>
      <c r="K64" s="75" t="e">
        <f aca="false">1/I64</f>
        <v>#DIV/0!</v>
      </c>
      <c r="L64" s="75" t="e">
        <f aca="false">1/J64</f>
        <v>#DIV/0!</v>
      </c>
      <c r="M64" s="526" t="e">
        <f aca="false">1/(1/'Allometric tree'!I64*'Allometric tree'!BF64/100)</f>
        <v>#DIV/0!</v>
      </c>
      <c r="N64" s="526" t="e">
        <f aca="false">1/(1/'Allometric tree'!I64*'Allometric tree'!BG64/100)</f>
        <v>#DIV/0!</v>
      </c>
      <c r="O64" s="30" t="e">
        <f aca="false">1/(1/'Allometric tree'!I64*'Allometric tree'!BH64/100)</f>
        <v>#DIV/0!</v>
      </c>
      <c r="P64" s="30" t="e">
        <f aca="false">1/(1/'Allometric tree'!I64*'Allometric tree'!BI64/100)</f>
        <v>#DIV/0!</v>
      </c>
      <c r="Q64" s="30" t="e">
        <f aca="false">1/(1/'Allometric tree'!I64*'Allometric tree'!BJ64/100)</f>
        <v>#DIV/0!</v>
      </c>
      <c r="R64" s="526" t="e">
        <f aca="false">1/(1/'Allometric tree'!I64*'Allometric tree'!BK64/100)</f>
        <v>#DIV/0!</v>
      </c>
      <c r="S64" s="30" t="e">
        <f aca="false">M64*'Allometric tree'!C64</f>
        <v>#DIV/0!</v>
      </c>
      <c r="T64" s="30" t="e">
        <f aca="false">N64*'Allometric tree'!C64</f>
        <v>#DIV/0!</v>
      </c>
      <c r="U64" s="526" t="e">
        <f aca="false">O64*'Allometric tree'!C64</f>
        <v>#DIV/0!</v>
      </c>
      <c r="V64" s="526" t="e">
        <f aca="false">P64*'Allometric tree'!C64</f>
        <v>#DIV/0!</v>
      </c>
      <c r="W64" s="526" t="e">
        <f aca="false">Q64*'Allometric tree'!C64</f>
        <v>#DIV/0!</v>
      </c>
      <c r="X64" s="30" t="e">
        <f aca="false">R64*'Allometric tree'!C64</f>
        <v>#DIV/0!</v>
      </c>
      <c r="Y64" s="525" t="n">
        <f aca="false">'sureau_ini.txt'!DG51</f>
        <v>0</v>
      </c>
      <c r="Z64" s="527" t="e">
        <f aca="false">AK64/C64</f>
        <v>#DIV/0!</v>
      </c>
      <c r="AA64" s="525" t="n">
        <f aca="false">'sureau_ini.txt'!DE51</f>
        <v>0</v>
      </c>
      <c r="AB64" s="525" t="n">
        <f aca="false">'sureau_ini.txt'!DF51</f>
        <v>0</v>
      </c>
      <c r="AC64" s="525" t="n">
        <v>1</v>
      </c>
      <c r="AD64" s="72" t="n">
        <v>0.1</v>
      </c>
      <c r="AE64" s="525" t="n">
        <f aca="false">'sureau_ini.txt'!$E$21</f>
        <v>1</v>
      </c>
      <c r="AF64" s="525" t="n">
        <f aca="false">'sureau_ini.txt'!DC51+'sureau_ini.txt'!CU51</f>
        <v>0</v>
      </c>
      <c r="AG64" s="525" t="n">
        <f aca="false">'sureau_ini.txt'!DC51</f>
        <v>0</v>
      </c>
      <c r="AH64" s="525" t="n">
        <f aca="false">'sureau_ini.txt'!DD51*100</f>
        <v>0</v>
      </c>
      <c r="AI64" s="75" t="n">
        <f aca="false">AH64/2*Y64</f>
        <v>0</v>
      </c>
      <c r="AJ64" s="75" t="e">
        <f aca="false">100*(AH64/100-SQRT(AH64/100*AH64/100-4*AW64/1000/AG64/3.1416))/2</f>
        <v>#DIV/0!</v>
      </c>
      <c r="AK64" s="75" t="n">
        <f aca="false">(3.1416/4*(AH64^2)-3.1416*(AH64/2-AI64)^2)/10000</f>
        <v>0</v>
      </c>
      <c r="AL64" s="75" t="n">
        <f aca="false">AK64*AF64</f>
        <v>0</v>
      </c>
      <c r="AM64" s="75" t="n">
        <f aca="false">AL64*AA64*1000</f>
        <v>0</v>
      </c>
      <c r="AN64" s="75" t="n">
        <f aca="false">AL64*1000*AB64</f>
        <v>0</v>
      </c>
      <c r="AO64" s="75" t="n">
        <f aca="false">AK64*AG64</f>
        <v>0</v>
      </c>
      <c r="AP64" s="75" t="e">
        <f aca="false">AH64*AH64*3.1416/4/C64</f>
        <v>#DIV/0!</v>
      </c>
      <c r="AQ64" s="75" t="e">
        <f aca="false">AK64*10000/C64</f>
        <v>#DIV/0!</v>
      </c>
      <c r="AR64" s="525" t="n">
        <f aca="false">('sureau_ini.txt'!CP51/2*'sureau_ini.txt'!CP51/2*3.1416)</f>
        <v>0</v>
      </c>
      <c r="AS64" s="525" t="e">
        <f aca="false">C64/AR64</f>
        <v>#DIV/0!</v>
      </c>
      <c r="AT64" s="75" t="e">
        <f aca="false">10000/AR64</f>
        <v>#DIV/0!</v>
      </c>
      <c r="AU64" s="75" t="e">
        <f aca="false">AH64*AH64*3.1416/4/10000*AT64</f>
        <v>#DIV/0!</v>
      </c>
      <c r="AV64" s="528" t="n">
        <f aca="false">AO64*AA64*1000</f>
        <v>0</v>
      </c>
      <c r="AW64" s="528" t="n">
        <f aca="false">AO64*1000*AB64</f>
        <v>0</v>
      </c>
      <c r="AX64" s="528" t="n">
        <f aca="false">AM64-AV64</f>
        <v>0</v>
      </c>
      <c r="AY64" s="528" t="n">
        <f aca="false">AN64-AW64</f>
        <v>0</v>
      </c>
      <c r="AZ64" s="528" t="n">
        <f aca="false">AM64*AC64</f>
        <v>0</v>
      </c>
      <c r="BA64" s="528" t="n">
        <f aca="false">AN64*AC64</f>
        <v>0</v>
      </c>
      <c r="BB64" s="528" t="n">
        <f aca="false">3.1416*AH64*AG64/100</f>
        <v>0</v>
      </c>
      <c r="BC64" s="528" t="n">
        <f aca="false">C64*AD64</f>
        <v>0</v>
      </c>
      <c r="BD64" s="528" t="n">
        <f aca="false">C64*AE64</f>
        <v>0</v>
      </c>
      <c r="BE64" s="528" t="n">
        <f aca="false">BD64+BC64*AC64</f>
        <v>0</v>
      </c>
      <c r="BF64" s="72" t="n">
        <v>20</v>
      </c>
      <c r="BG64" s="72" t="n">
        <v>20</v>
      </c>
      <c r="BH64" s="72" t="n">
        <v>8</v>
      </c>
      <c r="BI64" s="72" t="n">
        <v>2</v>
      </c>
      <c r="BJ64" s="72" t="n">
        <v>10</v>
      </c>
      <c r="BK64" s="72" t="n">
        <v>40</v>
      </c>
      <c r="BL64" s="75" t="n">
        <f aca="false">SUM(BF64:BI64)</f>
        <v>50</v>
      </c>
      <c r="BM64" s="75" t="n">
        <f aca="false">BJ64+BK64</f>
        <v>50</v>
      </c>
      <c r="BN64" s="75" t="n">
        <f aca="false">SUM(BF64:BK64)</f>
        <v>100</v>
      </c>
      <c r="BO64" s="0" t="n">
        <f aca="false">AV64+AW64+AX64+AY64+AZ64+BA64+C64*'sureau_ini.txt'!EI51/1000</f>
        <v>0</v>
      </c>
      <c r="BP64" s="0" t="n">
        <f aca="false">AV64+AX64+AZ64 +C64*'sureau_ini.txt'!EI51*'sureau_ini.txt'!EJ51/1000</f>
        <v>0</v>
      </c>
      <c r="BQ64" s="0" t="n">
        <f aca="false">BO64-BP64</f>
        <v>0</v>
      </c>
    </row>
    <row r="65" customFormat="false" ht="15.75" hidden="false" customHeight="false" outlineLevel="0" collapsed="false">
      <c r="A65" s="0" t="n">
        <f aca="false">'sureau_ini.txt'!A52</f>
        <v>0</v>
      </c>
      <c r="B65" s="525" t="n">
        <f aca="false">VPD_max</f>
        <v>1.26741256491017</v>
      </c>
      <c r="C65" s="525" t="n">
        <f aca="false">'sureau_ini.txt'!DZ52</f>
        <v>0</v>
      </c>
      <c r="D65" s="525" t="e">
        <f aca="false">(1/(1/'sureau_ini.txt'!EU52+1/(1.5*(0.00662*('sureau_ini.txt'!AG52/'sureau_ini.txt'!DU52*1000)^0.5)*1000*40)+1/'sureau_ini.txt'!EN52)*B65/101.6)</f>
        <v>#DIV/0!</v>
      </c>
      <c r="E65" s="525" t="e">
        <f aca="false">'sureau_ini.txt'!CQ52/(1/'sureau_ini.txt'!EU52+1/(1.5*(0.00662*('sureau_ini.txt'!AG52/'sureau_ini.txt'!DU52*1000)^0.5)*1000*40)+1/'sureau_ini.txt'!EN52)*B65/101.6 + 'sureau_ini.txt'!CR52/(1/'sureau_ini.txt'!EV52+1/(1.5*(0.00662*('sureau_ini.txt'!AG52/'sureau_ini.txt'!DU52*1000)^0.5)*1000*40)+1/'sureau_ini.txt'!EN52)*B65/101.6 + 'sureau_ini.txt'!CS52/(1/'sureau_ini.txt'!EW52+1/(1.5*(0.00662*('sureau_ini.txt'!AG52/'sureau_ini.txt'!DU52*1000)^0.5)*1000*40)+1/'sureau_ini.txt'!EN52)*B65/101.6</f>
        <v>#DIV/0!</v>
      </c>
      <c r="F65" s="75" t="e">
        <f aca="false">E65/1000*18/AK65/100000*3600*C65</f>
        <v>#DIV/0!</v>
      </c>
      <c r="G65" s="72" t="n">
        <v>-1.5</v>
      </c>
      <c r="H65" s="72" t="n">
        <v>0</v>
      </c>
      <c r="I65" s="75" t="e">
        <f aca="false">E65/(H65-G65)</f>
        <v>#DIV/0!</v>
      </c>
      <c r="J65" s="75" t="e">
        <f aca="false">I65*C65</f>
        <v>#DIV/0!</v>
      </c>
      <c r="K65" s="75" t="e">
        <f aca="false">1/I65</f>
        <v>#DIV/0!</v>
      </c>
      <c r="L65" s="75" t="e">
        <f aca="false">1/J65</f>
        <v>#DIV/0!</v>
      </c>
      <c r="M65" s="526" t="e">
        <f aca="false">1/(1/'Allometric tree'!I65*'Allometric tree'!BF65/100)</f>
        <v>#DIV/0!</v>
      </c>
      <c r="N65" s="526" t="e">
        <f aca="false">1/(1/'Allometric tree'!I65*'Allometric tree'!BG65/100)</f>
        <v>#DIV/0!</v>
      </c>
      <c r="O65" s="30" t="e">
        <f aca="false">1/(1/'Allometric tree'!I65*'Allometric tree'!BH65/100)</f>
        <v>#DIV/0!</v>
      </c>
      <c r="P65" s="30" t="e">
        <f aca="false">1/(1/'Allometric tree'!I65*'Allometric tree'!BI65/100)</f>
        <v>#DIV/0!</v>
      </c>
      <c r="Q65" s="30" t="e">
        <f aca="false">1/(1/'Allometric tree'!I65*'Allometric tree'!BJ65/100)</f>
        <v>#DIV/0!</v>
      </c>
      <c r="R65" s="526" t="e">
        <f aca="false">1/(1/'Allometric tree'!I65*'Allometric tree'!BK65/100)</f>
        <v>#DIV/0!</v>
      </c>
      <c r="S65" s="30" t="e">
        <f aca="false">M65*'Allometric tree'!C65</f>
        <v>#DIV/0!</v>
      </c>
      <c r="T65" s="30" t="e">
        <f aca="false">N65*'Allometric tree'!C65</f>
        <v>#DIV/0!</v>
      </c>
      <c r="U65" s="526" t="e">
        <f aca="false">O65*'Allometric tree'!C65</f>
        <v>#DIV/0!</v>
      </c>
      <c r="V65" s="526" t="e">
        <f aca="false">P65*'Allometric tree'!C65</f>
        <v>#DIV/0!</v>
      </c>
      <c r="W65" s="526" t="e">
        <f aca="false">Q65*'Allometric tree'!C65</f>
        <v>#DIV/0!</v>
      </c>
      <c r="X65" s="30" t="e">
        <f aca="false">R65*'Allometric tree'!C65</f>
        <v>#DIV/0!</v>
      </c>
      <c r="Y65" s="525" t="n">
        <f aca="false">'sureau_ini.txt'!DG52</f>
        <v>0</v>
      </c>
      <c r="Z65" s="527" t="e">
        <f aca="false">AK65/C65</f>
        <v>#DIV/0!</v>
      </c>
      <c r="AA65" s="525" t="n">
        <f aca="false">'sureau_ini.txt'!DE52</f>
        <v>0</v>
      </c>
      <c r="AB65" s="525" t="n">
        <f aca="false">'sureau_ini.txt'!DF52</f>
        <v>0</v>
      </c>
      <c r="AC65" s="525" t="n">
        <v>1</v>
      </c>
      <c r="AD65" s="72" t="n">
        <v>0.1</v>
      </c>
      <c r="AE65" s="525" t="n">
        <f aca="false">'sureau_ini.txt'!$E$21</f>
        <v>1</v>
      </c>
      <c r="AF65" s="525" t="n">
        <f aca="false">'sureau_ini.txt'!DC52+'sureau_ini.txt'!CU52</f>
        <v>0</v>
      </c>
      <c r="AG65" s="525" t="n">
        <f aca="false">'sureau_ini.txt'!DC52</f>
        <v>0</v>
      </c>
      <c r="AH65" s="525" t="n">
        <f aca="false">'sureau_ini.txt'!DD52*100</f>
        <v>0</v>
      </c>
      <c r="AI65" s="75" t="n">
        <f aca="false">AH65/2*Y65</f>
        <v>0</v>
      </c>
      <c r="AJ65" s="75" t="e">
        <f aca="false">100*(AH65/100-SQRT(AH65/100*AH65/100-4*AW65/1000/AG65/3.1416))/2</f>
        <v>#DIV/0!</v>
      </c>
      <c r="AK65" s="75" t="n">
        <f aca="false">(3.1416/4*(AH65^2)-3.1416*(AH65/2-AI65)^2)/10000</f>
        <v>0</v>
      </c>
      <c r="AL65" s="75" t="n">
        <f aca="false">AK65*AF65</f>
        <v>0</v>
      </c>
      <c r="AM65" s="75" t="n">
        <f aca="false">AL65*AA65*1000</f>
        <v>0</v>
      </c>
      <c r="AN65" s="75" t="n">
        <f aca="false">AL65*1000*AB65</f>
        <v>0</v>
      </c>
      <c r="AO65" s="75" t="n">
        <f aca="false">AK65*AG65</f>
        <v>0</v>
      </c>
      <c r="AP65" s="75" t="e">
        <f aca="false">AH65*AH65*3.1416/4/C65</f>
        <v>#DIV/0!</v>
      </c>
      <c r="AQ65" s="75" t="e">
        <f aca="false">AK65*10000/C65</f>
        <v>#DIV/0!</v>
      </c>
      <c r="AR65" s="525" t="n">
        <f aca="false">('sureau_ini.txt'!CP52/2*'sureau_ini.txt'!CP52/2*3.1416)</f>
        <v>0</v>
      </c>
      <c r="AS65" s="525" t="e">
        <f aca="false">C65/AR65</f>
        <v>#DIV/0!</v>
      </c>
      <c r="AT65" s="75" t="e">
        <f aca="false">10000/AR65</f>
        <v>#DIV/0!</v>
      </c>
      <c r="AU65" s="75" t="e">
        <f aca="false">AH65*AH65*3.1416/4/10000*AT65</f>
        <v>#DIV/0!</v>
      </c>
      <c r="AV65" s="528" t="n">
        <f aca="false">AO65*AA65*1000</f>
        <v>0</v>
      </c>
      <c r="AW65" s="528" t="n">
        <f aca="false">AO65*1000*AB65</f>
        <v>0</v>
      </c>
      <c r="AX65" s="528" t="n">
        <f aca="false">AM65-AV65</f>
        <v>0</v>
      </c>
      <c r="AY65" s="528" t="n">
        <f aca="false">AN65-AW65</f>
        <v>0</v>
      </c>
      <c r="AZ65" s="528" t="n">
        <f aca="false">AM65*AC65</f>
        <v>0</v>
      </c>
      <c r="BA65" s="528" t="n">
        <f aca="false">AN65*AC65</f>
        <v>0</v>
      </c>
      <c r="BB65" s="528" t="n">
        <f aca="false">3.1416*AH65*AG65/100</f>
        <v>0</v>
      </c>
      <c r="BC65" s="528" t="n">
        <f aca="false">C65*AD65</f>
        <v>0</v>
      </c>
      <c r="BD65" s="528" t="n">
        <f aca="false">C65*AE65</f>
        <v>0</v>
      </c>
      <c r="BE65" s="528" t="n">
        <f aca="false">BD65+BC65*AC65</f>
        <v>0</v>
      </c>
      <c r="BF65" s="72" t="n">
        <v>20</v>
      </c>
      <c r="BG65" s="72" t="n">
        <v>20</v>
      </c>
      <c r="BH65" s="72" t="n">
        <v>8</v>
      </c>
      <c r="BI65" s="72" t="n">
        <v>2</v>
      </c>
      <c r="BJ65" s="72" t="n">
        <v>10</v>
      </c>
      <c r="BK65" s="72" t="n">
        <v>40</v>
      </c>
      <c r="BL65" s="75" t="n">
        <f aca="false">SUM(BF65:BI65)</f>
        <v>50</v>
      </c>
      <c r="BM65" s="75" t="n">
        <f aca="false">BJ65+BK65</f>
        <v>50</v>
      </c>
      <c r="BN65" s="75" t="n">
        <f aca="false">SUM(BF65:BK65)</f>
        <v>100</v>
      </c>
      <c r="BO65" s="0" t="n">
        <f aca="false">AV65+AW65+AX65+AY65+AZ65+BA65+C65*'sureau_ini.txt'!EI52/1000</f>
        <v>0</v>
      </c>
      <c r="BP65" s="0" t="n">
        <f aca="false">AV65+AX65+AZ65 +C65*'sureau_ini.txt'!EI52*'sureau_ini.txt'!EJ52/1000</f>
        <v>0</v>
      </c>
      <c r="BQ65" s="0" t="n">
        <f aca="false">BO65-BP65</f>
        <v>0</v>
      </c>
    </row>
    <row r="66" customFormat="false" ht="15.75" hidden="false" customHeight="false" outlineLevel="0" collapsed="false">
      <c r="A66" s="0" t="n">
        <f aca="false">'sureau_ini.txt'!A53</f>
        <v>0</v>
      </c>
      <c r="B66" s="525" t="n">
        <f aca="false">VPD_max</f>
        <v>1.26741256491017</v>
      </c>
      <c r="C66" s="525" t="n">
        <f aca="false">'sureau_ini.txt'!DZ53</f>
        <v>0</v>
      </c>
      <c r="D66" s="525" t="e">
        <f aca="false">(1/(1/'sureau_ini.txt'!EU53+1/(1.5*(0.00662*('sureau_ini.txt'!AG53/'sureau_ini.txt'!DU53*1000)^0.5)*1000*40)+1/'sureau_ini.txt'!EN53)*B66/101.6)</f>
        <v>#DIV/0!</v>
      </c>
      <c r="E66" s="525" t="e">
        <f aca="false">'sureau_ini.txt'!CQ53/(1/'sureau_ini.txt'!EU53+1/(1.5*(0.00662*('sureau_ini.txt'!AG53/'sureau_ini.txt'!DU53*1000)^0.5)*1000*40)+1/'sureau_ini.txt'!EN53)*B66/101.6 + 'sureau_ini.txt'!CR53/(1/'sureau_ini.txt'!EV53+1/(1.5*(0.00662*('sureau_ini.txt'!AG53/'sureau_ini.txt'!DU53*1000)^0.5)*1000*40)+1/'sureau_ini.txt'!EN53)*B66/101.6 + 'sureau_ini.txt'!CS53/(1/'sureau_ini.txt'!EW53+1/(1.5*(0.00662*('sureau_ini.txt'!AG53/'sureau_ini.txt'!DU53*1000)^0.5)*1000*40)+1/'sureau_ini.txt'!EN53)*B66/101.6</f>
        <v>#DIV/0!</v>
      </c>
      <c r="F66" s="75" t="e">
        <f aca="false">E66/1000*18/AK66/100000*3600*C66</f>
        <v>#DIV/0!</v>
      </c>
      <c r="G66" s="72" t="n">
        <v>-1.5</v>
      </c>
      <c r="H66" s="72" t="n">
        <v>0</v>
      </c>
      <c r="I66" s="75" t="e">
        <f aca="false">E66/(H66-G66)</f>
        <v>#DIV/0!</v>
      </c>
      <c r="J66" s="75" t="e">
        <f aca="false">I66*C66</f>
        <v>#DIV/0!</v>
      </c>
      <c r="K66" s="75" t="e">
        <f aca="false">1/I66</f>
        <v>#DIV/0!</v>
      </c>
      <c r="L66" s="75" t="e">
        <f aca="false">1/J66</f>
        <v>#DIV/0!</v>
      </c>
      <c r="M66" s="526" t="e">
        <f aca="false">1/(1/'Allometric tree'!I66*'Allometric tree'!BF66/100)</f>
        <v>#DIV/0!</v>
      </c>
      <c r="N66" s="526" t="e">
        <f aca="false">1/(1/'Allometric tree'!I66*'Allometric tree'!BG66/100)</f>
        <v>#DIV/0!</v>
      </c>
      <c r="O66" s="30" t="e">
        <f aca="false">1/(1/'Allometric tree'!I66*'Allometric tree'!BH66/100)</f>
        <v>#DIV/0!</v>
      </c>
      <c r="P66" s="30" t="e">
        <f aca="false">1/(1/'Allometric tree'!I66*'Allometric tree'!BI66/100)</f>
        <v>#DIV/0!</v>
      </c>
      <c r="Q66" s="30" t="e">
        <f aca="false">1/(1/'Allometric tree'!I66*'Allometric tree'!BJ66/100)</f>
        <v>#DIV/0!</v>
      </c>
      <c r="R66" s="526" t="e">
        <f aca="false">1/(1/'Allometric tree'!I66*'Allometric tree'!BK66/100)</f>
        <v>#DIV/0!</v>
      </c>
      <c r="S66" s="30" t="e">
        <f aca="false">M66*'Allometric tree'!C66</f>
        <v>#DIV/0!</v>
      </c>
      <c r="T66" s="30" t="e">
        <f aca="false">N66*'Allometric tree'!C66</f>
        <v>#DIV/0!</v>
      </c>
      <c r="U66" s="526" t="e">
        <f aca="false">O66*'Allometric tree'!C66</f>
        <v>#DIV/0!</v>
      </c>
      <c r="V66" s="526" t="e">
        <f aca="false">P66*'Allometric tree'!C66</f>
        <v>#DIV/0!</v>
      </c>
      <c r="W66" s="526" t="e">
        <f aca="false">Q66*'Allometric tree'!C66</f>
        <v>#DIV/0!</v>
      </c>
      <c r="X66" s="30" t="e">
        <f aca="false">R66*'Allometric tree'!C66</f>
        <v>#DIV/0!</v>
      </c>
      <c r="Y66" s="525" t="n">
        <f aca="false">'sureau_ini.txt'!DG53</f>
        <v>0</v>
      </c>
      <c r="Z66" s="527" t="e">
        <f aca="false">AK66/C66</f>
        <v>#DIV/0!</v>
      </c>
      <c r="AA66" s="525" t="n">
        <f aca="false">'sureau_ini.txt'!DE53</f>
        <v>0</v>
      </c>
      <c r="AB66" s="525" t="n">
        <f aca="false">'sureau_ini.txt'!DF53</f>
        <v>0</v>
      </c>
      <c r="AC66" s="525" t="n">
        <v>1</v>
      </c>
      <c r="AD66" s="72" t="n">
        <v>0.1</v>
      </c>
      <c r="AE66" s="525" t="n">
        <f aca="false">'sureau_ini.txt'!$E$21</f>
        <v>1</v>
      </c>
      <c r="AF66" s="525" t="n">
        <f aca="false">'sureau_ini.txt'!DC53+'sureau_ini.txt'!CU53</f>
        <v>0</v>
      </c>
      <c r="AG66" s="525" t="n">
        <f aca="false">'sureau_ini.txt'!DC53</f>
        <v>0</v>
      </c>
      <c r="AH66" s="525" t="n">
        <f aca="false">'sureau_ini.txt'!DD53*100</f>
        <v>0</v>
      </c>
      <c r="AI66" s="75" t="n">
        <f aca="false">AH66/2*Y66</f>
        <v>0</v>
      </c>
      <c r="AJ66" s="75" t="e">
        <f aca="false">100*(AH66/100-SQRT(AH66/100*AH66/100-4*AW66/1000/AG66/3.1416))/2</f>
        <v>#DIV/0!</v>
      </c>
      <c r="AK66" s="75" t="n">
        <f aca="false">(3.1416/4*(AH66^2)-3.1416*(AH66/2-AI66)^2)/10000</f>
        <v>0</v>
      </c>
      <c r="AL66" s="75" t="n">
        <f aca="false">AK66*AF66</f>
        <v>0</v>
      </c>
      <c r="AM66" s="75" t="n">
        <f aca="false">AL66*AA66*1000</f>
        <v>0</v>
      </c>
      <c r="AN66" s="75" t="n">
        <f aca="false">AL66*1000*AB66</f>
        <v>0</v>
      </c>
      <c r="AO66" s="75" t="n">
        <f aca="false">AK66*AG66</f>
        <v>0</v>
      </c>
      <c r="AP66" s="75" t="e">
        <f aca="false">AH66*AH66*3.1416/4/C66</f>
        <v>#DIV/0!</v>
      </c>
      <c r="AQ66" s="75" t="e">
        <f aca="false">AK66*10000/C66</f>
        <v>#DIV/0!</v>
      </c>
      <c r="AR66" s="525" t="n">
        <f aca="false">('sureau_ini.txt'!CP53/2*'sureau_ini.txt'!CP53/2*3.1416)</f>
        <v>0</v>
      </c>
      <c r="AS66" s="525" t="e">
        <f aca="false">C66/AR66</f>
        <v>#DIV/0!</v>
      </c>
      <c r="AT66" s="75" t="e">
        <f aca="false">10000/AR66</f>
        <v>#DIV/0!</v>
      </c>
      <c r="AU66" s="75" t="e">
        <f aca="false">AH66*AH66*3.1416/4/10000*AT66</f>
        <v>#DIV/0!</v>
      </c>
      <c r="AV66" s="528" t="n">
        <f aca="false">AO66*AA66*1000</f>
        <v>0</v>
      </c>
      <c r="AW66" s="528" t="n">
        <f aca="false">AO66*1000*AB66</f>
        <v>0</v>
      </c>
      <c r="AX66" s="528" t="n">
        <f aca="false">AM66-AV66</f>
        <v>0</v>
      </c>
      <c r="AY66" s="528" t="n">
        <f aca="false">AN66-AW66</f>
        <v>0</v>
      </c>
      <c r="AZ66" s="528" t="n">
        <f aca="false">AM66*AC66</f>
        <v>0</v>
      </c>
      <c r="BA66" s="528" t="n">
        <f aca="false">AN66*AC66</f>
        <v>0</v>
      </c>
      <c r="BB66" s="528" t="n">
        <f aca="false">3.1416*AH66*AG66/100</f>
        <v>0</v>
      </c>
      <c r="BC66" s="528" t="n">
        <f aca="false">C66*AD66</f>
        <v>0</v>
      </c>
      <c r="BD66" s="528" t="n">
        <f aca="false">C66*AE66</f>
        <v>0</v>
      </c>
      <c r="BE66" s="528" t="n">
        <f aca="false">BD66+BC66*AC66</f>
        <v>0</v>
      </c>
      <c r="BF66" s="72" t="n">
        <v>20</v>
      </c>
      <c r="BG66" s="72" t="n">
        <v>20</v>
      </c>
      <c r="BH66" s="72" t="n">
        <v>8</v>
      </c>
      <c r="BI66" s="72" t="n">
        <v>2</v>
      </c>
      <c r="BJ66" s="72" t="n">
        <v>10</v>
      </c>
      <c r="BK66" s="72" t="n">
        <v>40</v>
      </c>
      <c r="BL66" s="75" t="n">
        <f aca="false">SUM(BF66:BI66)</f>
        <v>50</v>
      </c>
      <c r="BM66" s="75" t="n">
        <f aca="false">BJ66+BK66</f>
        <v>50</v>
      </c>
      <c r="BN66" s="75" t="n">
        <f aca="false">SUM(BF66:BK66)</f>
        <v>100</v>
      </c>
      <c r="BO66" s="0" t="n">
        <f aca="false">AV66+AW66+AX66+AY66+AZ66+BA66+C66*'sureau_ini.txt'!EI53/1000</f>
        <v>0</v>
      </c>
      <c r="BP66" s="0" t="n">
        <f aca="false">AV66+AX66+AZ66 +C66*'sureau_ini.txt'!EI53*'sureau_ini.txt'!EJ53/1000</f>
        <v>0</v>
      </c>
      <c r="BQ66" s="0" t="n">
        <f aca="false">BO66-BP66</f>
        <v>0</v>
      </c>
    </row>
    <row r="67" customFormat="false" ht="15.75" hidden="false" customHeight="false" outlineLevel="0" collapsed="false">
      <c r="A67" s="0" t="n">
        <f aca="false">'sureau_ini.txt'!A54</f>
        <v>0</v>
      </c>
      <c r="B67" s="525" t="n">
        <f aca="false">VPD_max</f>
        <v>1.26741256491017</v>
      </c>
      <c r="C67" s="525" t="n">
        <f aca="false">'sureau_ini.txt'!DZ54</f>
        <v>0</v>
      </c>
      <c r="D67" s="525" t="e">
        <f aca="false">(1/(1/'sureau_ini.txt'!EU54+1/(1.5*(0.00662*('sureau_ini.txt'!AG54/'sureau_ini.txt'!DU54*1000)^0.5)*1000*40)+1/'sureau_ini.txt'!EN54)*B67/101.6)</f>
        <v>#DIV/0!</v>
      </c>
      <c r="E67" s="525" t="e">
        <f aca="false">'sureau_ini.txt'!CQ54/(1/'sureau_ini.txt'!EU54+1/(1.5*(0.00662*('sureau_ini.txt'!AG54/'sureau_ini.txt'!DU54*1000)^0.5)*1000*40)+1/'sureau_ini.txt'!EN54)*B67/101.6 + 'sureau_ini.txt'!CR54/(1/'sureau_ini.txt'!EV54+1/(1.5*(0.00662*('sureau_ini.txt'!AG54/'sureau_ini.txt'!DU54*1000)^0.5)*1000*40)+1/'sureau_ini.txt'!EN54)*B67/101.6 + 'sureau_ini.txt'!CS54/(1/'sureau_ini.txt'!EW54+1/(1.5*(0.00662*('sureau_ini.txt'!AG54/'sureau_ini.txt'!DU54*1000)^0.5)*1000*40)+1/'sureau_ini.txt'!EN54)*B67/101.6</f>
        <v>#DIV/0!</v>
      </c>
      <c r="F67" s="75" t="e">
        <f aca="false">E67/1000*18/AK67/100000*3600*C67</f>
        <v>#DIV/0!</v>
      </c>
      <c r="G67" s="72" t="n">
        <v>-1.5</v>
      </c>
      <c r="H67" s="72" t="n">
        <v>0</v>
      </c>
      <c r="I67" s="75" t="e">
        <f aca="false">E67/(H67-G67)</f>
        <v>#DIV/0!</v>
      </c>
      <c r="J67" s="75" t="e">
        <f aca="false">I67*C67</f>
        <v>#DIV/0!</v>
      </c>
      <c r="K67" s="75" t="e">
        <f aca="false">1/I67</f>
        <v>#DIV/0!</v>
      </c>
      <c r="L67" s="75" t="e">
        <f aca="false">1/J67</f>
        <v>#DIV/0!</v>
      </c>
      <c r="M67" s="526" t="e">
        <f aca="false">1/(1/'Allometric tree'!I67*'Allometric tree'!BF67/100)</f>
        <v>#DIV/0!</v>
      </c>
      <c r="N67" s="526" t="e">
        <f aca="false">1/(1/'Allometric tree'!I67*'Allometric tree'!BG67/100)</f>
        <v>#DIV/0!</v>
      </c>
      <c r="O67" s="30" t="e">
        <f aca="false">1/(1/'Allometric tree'!I67*'Allometric tree'!BH67/100)</f>
        <v>#DIV/0!</v>
      </c>
      <c r="P67" s="30" t="e">
        <f aca="false">1/(1/'Allometric tree'!I67*'Allometric tree'!BI67/100)</f>
        <v>#DIV/0!</v>
      </c>
      <c r="Q67" s="30" t="e">
        <f aca="false">1/(1/'Allometric tree'!I67*'Allometric tree'!BJ67/100)</f>
        <v>#DIV/0!</v>
      </c>
      <c r="R67" s="526" t="e">
        <f aca="false">1/(1/'Allometric tree'!I67*'Allometric tree'!BK67/100)</f>
        <v>#DIV/0!</v>
      </c>
      <c r="S67" s="30" t="e">
        <f aca="false">M67*'Allometric tree'!C67</f>
        <v>#DIV/0!</v>
      </c>
      <c r="T67" s="30" t="e">
        <f aca="false">N67*'Allometric tree'!C67</f>
        <v>#DIV/0!</v>
      </c>
      <c r="U67" s="526" t="e">
        <f aca="false">O67*'Allometric tree'!C67</f>
        <v>#DIV/0!</v>
      </c>
      <c r="V67" s="526" t="e">
        <f aca="false">P67*'Allometric tree'!C67</f>
        <v>#DIV/0!</v>
      </c>
      <c r="W67" s="526" t="e">
        <f aca="false">Q67*'Allometric tree'!C67</f>
        <v>#DIV/0!</v>
      </c>
      <c r="X67" s="30" t="e">
        <f aca="false">R67*'Allometric tree'!C67</f>
        <v>#DIV/0!</v>
      </c>
      <c r="Y67" s="525" t="n">
        <f aca="false">'sureau_ini.txt'!DG54</f>
        <v>0</v>
      </c>
      <c r="Z67" s="527" t="e">
        <f aca="false">AK67/C67</f>
        <v>#DIV/0!</v>
      </c>
      <c r="AA67" s="525" t="n">
        <f aca="false">'sureau_ini.txt'!DE54</f>
        <v>0</v>
      </c>
      <c r="AB67" s="525" t="n">
        <f aca="false">'sureau_ini.txt'!DF54</f>
        <v>0</v>
      </c>
      <c r="AC67" s="525" t="n">
        <v>1</v>
      </c>
      <c r="AD67" s="72" t="n">
        <v>0.1</v>
      </c>
      <c r="AE67" s="525" t="n">
        <f aca="false">'sureau_ini.txt'!$E$21</f>
        <v>1</v>
      </c>
      <c r="AF67" s="525" t="n">
        <f aca="false">'sureau_ini.txt'!DC54+'sureau_ini.txt'!CU54</f>
        <v>0</v>
      </c>
      <c r="AG67" s="525" t="n">
        <f aca="false">'sureau_ini.txt'!DC54</f>
        <v>0</v>
      </c>
      <c r="AH67" s="525" t="n">
        <f aca="false">'sureau_ini.txt'!DD54*100</f>
        <v>0</v>
      </c>
      <c r="AI67" s="75" t="n">
        <f aca="false">AH67/2*Y67</f>
        <v>0</v>
      </c>
      <c r="AJ67" s="75" t="e">
        <f aca="false">100*(AH67/100-SQRT(AH67/100*AH67/100-4*AW67/1000/AG67/3.1416))/2</f>
        <v>#DIV/0!</v>
      </c>
      <c r="AK67" s="75" t="n">
        <f aca="false">(3.1416/4*(AH67^2)-3.1416*(AH67/2-AI67)^2)/10000</f>
        <v>0</v>
      </c>
      <c r="AL67" s="75" t="n">
        <f aca="false">AK67*AF67</f>
        <v>0</v>
      </c>
      <c r="AM67" s="75" t="n">
        <f aca="false">AL67*AA67*1000</f>
        <v>0</v>
      </c>
      <c r="AN67" s="75" t="n">
        <f aca="false">AL67*1000*AB67</f>
        <v>0</v>
      </c>
      <c r="AO67" s="75" t="n">
        <f aca="false">AK67*AG67</f>
        <v>0</v>
      </c>
      <c r="AP67" s="75" t="e">
        <f aca="false">AH67*AH67*3.1416/4/C67</f>
        <v>#DIV/0!</v>
      </c>
      <c r="AQ67" s="75" t="e">
        <f aca="false">AK67*10000/C67</f>
        <v>#DIV/0!</v>
      </c>
      <c r="AR67" s="525" t="n">
        <f aca="false">('sureau_ini.txt'!CP54/2*'sureau_ini.txt'!CP54/2*3.1416)</f>
        <v>0</v>
      </c>
      <c r="AS67" s="525" t="e">
        <f aca="false">C67/AR67</f>
        <v>#DIV/0!</v>
      </c>
      <c r="AT67" s="75" t="e">
        <f aca="false">10000/AR67</f>
        <v>#DIV/0!</v>
      </c>
      <c r="AU67" s="75" t="e">
        <f aca="false">AH67*AH67*3.1416/4/10000*AT67</f>
        <v>#DIV/0!</v>
      </c>
      <c r="AV67" s="528" t="n">
        <f aca="false">AO67*AA67*1000</f>
        <v>0</v>
      </c>
      <c r="AW67" s="528" t="n">
        <f aca="false">AO67*1000*AB67</f>
        <v>0</v>
      </c>
      <c r="AX67" s="528" t="n">
        <f aca="false">AM67-AV67</f>
        <v>0</v>
      </c>
      <c r="AY67" s="528" t="n">
        <f aca="false">AN67-AW67</f>
        <v>0</v>
      </c>
      <c r="AZ67" s="528" t="n">
        <f aca="false">AM67*AC67</f>
        <v>0</v>
      </c>
      <c r="BA67" s="528" t="n">
        <f aca="false">AN67*AC67</f>
        <v>0</v>
      </c>
      <c r="BB67" s="528" t="n">
        <f aca="false">3.1416*AH67*AG67/100</f>
        <v>0</v>
      </c>
      <c r="BC67" s="528" t="n">
        <f aca="false">C67*AD67</f>
        <v>0</v>
      </c>
      <c r="BD67" s="528" t="n">
        <f aca="false">C67*AE67</f>
        <v>0</v>
      </c>
      <c r="BE67" s="528" t="n">
        <f aca="false">BD67+BC67*AC67</f>
        <v>0</v>
      </c>
      <c r="BF67" s="72" t="n">
        <v>20</v>
      </c>
      <c r="BG67" s="72" t="n">
        <v>20</v>
      </c>
      <c r="BH67" s="72" t="n">
        <v>8</v>
      </c>
      <c r="BI67" s="72" t="n">
        <v>2</v>
      </c>
      <c r="BJ67" s="72" t="n">
        <v>10</v>
      </c>
      <c r="BK67" s="72" t="n">
        <v>40</v>
      </c>
      <c r="BL67" s="75" t="n">
        <f aca="false">SUM(BF67:BI67)</f>
        <v>50</v>
      </c>
      <c r="BM67" s="75" t="n">
        <f aca="false">BJ67+BK67</f>
        <v>50</v>
      </c>
      <c r="BN67" s="75" t="n">
        <f aca="false">SUM(BF67:BK67)</f>
        <v>100</v>
      </c>
      <c r="BO67" s="0" t="n">
        <f aca="false">AV67+AW67+AX67+AY67+AZ67+BA67+C67*'sureau_ini.txt'!EI54/1000</f>
        <v>0</v>
      </c>
      <c r="BP67" s="0" t="n">
        <f aca="false">AV67+AX67+AZ67 +C67*'sureau_ini.txt'!EI54*'sureau_ini.txt'!EJ54/1000</f>
        <v>0</v>
      </c>
      <c r="BQ67" s="0" t="n">
        <f aca="false">BO67-BP67</f>
        <v>0</v>
      </c>
    </row>
    <row r="68" customFormat="false" ht="15.75" hidden="false" customHeight="false" outlineLevel="0" collapsed="false">
      <c r="A68" s="0" t="n">
        <f aca="false">'sureau_ini.txt'!A55</f>
        <v>0</v>
      </c>
      <c r="B68" s="525" t="n">
        <f aca="false">VPD_max</f>
        <v>1.26741256491017</v>
      </c>
      <c r="C68" s="525" t="n">
        <f aca="false">'sureau_ini.txt'!DZ55</f>
        <v>0</v>
      </c>
      <c r="D68" s="525" t="e">
        <f aca="false">(1/(1/'sureau_ini.txt'!EU55+1/(1.5*(0.00662*('sureau_ini.txt'!AG55/'sureau_ini.txt'!DU55*1000)^0.5)*1000*40)+1/'sureau_ini.txt'!EN55)*B68/101.6)</f>
        <v>#DIV/0!</v>
      </c>
      <c r="E68" s="525" t="e">
        <f aca="false">'sureau_ini.txt'!CQ55/(1/'sureau_ini.txt'!EU55+1/(1.5*(0.00662*('sureau_ini.txt'!AG55/'sureau_ini.txt'!DU55*1000)^0.5)*1000*40)+1/'sureau_ini.txt'!EN55)*B68/101.6 + 'sureau_ini.txt'!CR55/(1/'sureau_ini.txt'!EV55+1/(1.5*(0.00662*('sureau_ini.txt'!AG55/'sureau_ini.txt'!DU55*1000)^0.5)*1000*40)+1/'sureau_ini.txt'!EN55)*B68/101.6 + 'sureau_ini.txt'!CS55/(1/'sureau_ini.txt'!EW55+1/(1.5*(0.00662*('sureau_ini.txt'!AG55/'sureau_ini.txt'!DU55*1000)^0.5)*1000*40)+1/'sureau_ini.txt'!EN55)*B68/101.6</f>
        <v>#DIV/0!</v>
      </c>
      <c r="F68" s="75" t="e">
        <f aca="false">E68/1000*18/AK68/100000*3600*C68</f>
        <v>#DIV/0!</v>
      </c>
      <c r="G68" s="72" t="n">
        <v>-1.5</v>
      </c>
      <c r="H68" s="72" t="n">
        <v>0</v>
      </c>
      <c r="I68" s="75" t="e">
        <f aca="false">E68/(H68-G68)</f>
        <v>#DIV/0!</v>
      </c>
      <c r="J68" s="75" t="e">
        <f aca="false">I68*C68</f>
        <v>#DIV/0!</v>
      </c>
      <c r="K68" s="75" t="e">
        <f aca="false">1/I68</f>
        <v>#DIV/0!</v>
      </c>
      <c r="L68" s="75" t="e">
        <f aca="false">1/J68</f>
        <v>#DIV/0!</v>
      </c>
      <c r="M68" s="526" t="e">
        <f aca="false">1/(1/'Allometric tree'!I68*'Allometric tree'!BF68/100)</f>
        <v>#DIV/0!</v>
      </c>
      <c r="N68" s="526" t="e">
        <f aca="false">1/(1/'Allometric tree'!I68*'Allometric tree'!BG68/100)</f>
        <v>#DIV/0!</v>
      </c>
      <c r="O68" s="30" t="e">
        <f aca="false">1/(1/'Allometric tree'!I68*'Allometric tree'!BH68/100)</f>
        <v>#DIV/0!</v>
      </c>
      <c r="P68" s="30" t="e">
        <f aca="false">1/(1/'Allometric tree'!I68*'Allometric tree'!BI68/100)</f>
        <v>#DIV/0!</v>
      </c>
      <c r="Q68" s="30" t="e">
        <f aca="false">1/(1/'Allometric tree'!I68*'Allometric tree'!BJ68/100)</f>
        <v>#DIV/0!</v>
      </c>
      <c r="R68" s="526" t="e">
        <f aca="false">1/(1/'Allometric tree'!I68*'Allometric tree'!BK68/100)</f>
        <v>#DIV/0!</v>
      </c>
      <c r="S68" s="30" t="e">
        <f aca="false">M68*'Allometric tree'!C68</f>
        <v>#DIV/0!</v>
      </c>
      <c r="T68" s="30" t="e">
        <f aca="false">N68*'Allometric tree'!C68</f>
        <v>#DIV/0!</v>
      </c>
      <c r="U68" s="526" t="e">
        <f aca="false">O68*'Allometric tree'!C68</f>
        <v>#DIV/0!</v>
      </c>
      <c r="V68" s="526" t="e">
        <f aca="false">P68*'Allometric tree'!C68</f>
        <v>#DIV/0!</v>
      </c>
      <c r="W68" s="526" t="e">
        <f aca="false">Q68*'Allometric tree'!C68</f>
        <v>#DIV/0!</v>
      </c>
      <c r="X68" s="30" t="e">
        <f aca="false">R68*'Allometric tree'!C68</f>
        <v>#DIV/0!</v>
      </c>
      <c r="Y68" s="525" t="n">
        <f aca="false">'sureau_ini.txt'!DG55</f>
        <v>0</v>
      </c>
      <c r="Z68" s="527" t="e">
        <f aca="false">AK68/C68</f>
        <v>#DIV/0!</v>
      </c>
      <c r="AA68" s="525" t="n">
        <f aca="false">'sureau_ini.txt'!DE55</f>
        <v>0</v>
      </c>
      <c r="AB68" s="525" t="n">
        <f aca="false">'sureau_ini.txt'!DF55</f>
        <v>0</v>
      </c>
      <c r="AC68" s="525" t="n">
        <v>1</v>
      </c>
      <c r="AD68" s="72" t="n">
        <v>0.1</v>
      </c>
      <c r="AE68" s="525" t="n">
        <f aca="false">'sureau_ini.txt'!$E$21</f>
        <v>1</v>
      </c>
      <c r="AF68" s="525" t="n">
        <f aca="false">'sureau_ini.txt'!DC55+'sureau_ini.txt'!CU55</f>
        <v>0</v>
      </c>
      <c r="AG68" s="525" t="n">
        <f aca="false">'sureau_ini.txt'!DC55</f>
        <v>0</v>
      </c>
      <c r="AH68" s="525" t="n">
        <f aca="false">'sureau_ini.txt'!DD55*100</f>
        <v>0</v>
      </c>
      <c r="AI68" s="75" t="n">
        <f aca="false">AH68/2*Y68</f>
        <v>0</v>
      </c>
      <c r="AJ68" s="75" t="e">
        <f aca="false">100*(AH68/100-SQRT(AH68/100*AH68/100-4*AW68/1000/AG68/3.1416))/2</f>
        <v>#DIV/0!</v>
      </c>
      <c r="AK68" s="75" t="n">
        <f aca="false">(3.1416/4*(AH68^2)-3.1416*(AH68/2-AI68)^2)/10000</f>
        <v>0</v>
      </c>
      <c r="AL68" s="75" t="n">
        <f aca="false">AK68*AF68</f>
        <v>0</v>
      </c>
      <c r="AM68" s="75" t="n">
        <f aca="false">AL68*AA68*1000</f>
        <v>0</v>
      </c>
      <c r="AN68" s="75" t="n">
        <f aca="false">AL68*1000*AB68</f>
        <v>0</v>
      </c>
      <c r="AO68" s="75" t="n">
        <f aca="false">AK68*AG68</f>
        <v>0</v>
      </c>
      <c r="AP68" s="75" t="e">
        <f aca="false">AH68*AH68*3.1416/4/C68</f>
        <v>#DIV/0!</v>
      </c>
      <c r="AQ68" s="75" t="e">
        <f aca="false">AK68*10000/C68</f>
        <v>#DIV/0!</v>
      </c>
      <c r="AR68" s="525" t="n">
        <f aca="false">('sureau_ini.txt'!CP55/2*'sureau_ini.txt'!CP55/2*3.1416)</f>
        <v>0</v>
      </c>
      <c r="AS68" s="525" t="e">
        <f aca="false">C68/AR68</f>
        <v>#DIV/0!</v>
      </c>
      <c r="AT68" s="75" t="e">
        <f aca="false">10000/AR68</f>
        <v>#DIV/0!</v>
      </c>
      <c r="AU68" s="75" t="e">
        <f aca="false">AH68*AH68*3.1416/4/10000*AT68</f>
        <v>#DIV/0!</v>
      </c>
      <c r="AV68" s="528" t="n">
        <f aca="false">AO68*AA68*1000</f>
        <v>0</v>
      </c>
      <c r="AW68" s="528" t="n">
        <f aca="false">AO68*1000*AB68</f>
        <v>0</v>
      </c>
      <c r="AX68" s="528" t="n">
        <f aca="false">AM68-AV68</f>
        <v>0</v>
      </c>
      <c r="AY68" s="528" t="n">
        <f aca="false">AN68-AW68</f>
        <v>0</v>
      </c>
      <c r="AZ68" s="528" t="n">
        <f aca="false">AM68*AC68</f>
        <v>0</v>
      </c>
      <c r="BA68" s="528" t="n">
        <f aca="false">AN68*AC68</f>
        <v>0</v>
      </c>
      <c r="BB68" s="528" t="n">
        <f aca="false">3.1416*AH68*AG68/100</f>
        <v>0</v>
      </c>
      <c r="BC68" s="528" t="n">
        <f aca="false">C68*AD68</f>
        <v>0</v>
      </c>
      <c r="BD68" s="528" t="n">
        <f aca="false">C68*AE68</f>
        <v>0</v>
      </c>
      <c r="BE68" s="528" t="n">
        <f aca="false">BD68+BC68*AC68</f>
        <v>0</v>
      </c>
      <c r="BF68" s="72" t="n">
        <v>20</v>
      </c>
      <c r="BG68" s="72" t="n">
        <v>20</v>
      </c>
      <c r="BH68" s="72" t="n">
        <v>8</v>
      </c>
      <c r="BI68" s="72" t="n">
        <v>2</v>
      </c>
      <c r="BJ68" s="72" t="n">
        <v>10</v>
      </c>
      <c r="BK68" s="72" t="n">
        <v>40</v>
      </c>
      <c r="BL68" s="75" t="n">
        <f aca="false">SUM(BF68:BI68)</f>
        <v>50</v>
      </c>
      <c r="BM68" s="75" t="n">
        <f aca="false">BJ68+BK68</f>
        <v>50</v>
      </c>
      <c r="BN68" s="75" t="n">
        <f aca="false">SUM(BF68:BK68)</f>
        <v>100</v>
      </c>
      <c r="BO68" s="0" t="n">
        <f aca="false">AV68+AW68+AX68+AY68+AZ68+BA68+C68*'sureau_ini.txt'!EI55/1000</f>
        <v>0</v>
      </c>
      <c r="BP68" s="0" t="n">
        <f aca="false">AV68+AX68+AZ68 +C68*'sureau_ini.txt'!EI55*'sureau_ini.txt'!EJ55/1000</f>
        <v>0</v>
      </c>
      <c r="BQ68" s="0" t="n">
        <f aca="false">BO68-BP68</f>
        <v>0</v>
      </c>
    </row>
    <row r="69" customFormat="false" ht="15.75" hidden="false" customHeight="false" outlineLevel="0" collapsed="false">
      <c r="A69" s="0" t="n">
        <f aca="false">'sureau_ini.txt'!A56</f>
        <v>0</v>
      </c>
      <c r="B69" s="525" t="n">
        <f aca="false">VPD_max</f>
        <v>1.26741256491017</v>
      </c>
      <c r="C69" s="525" t="n">
        <f aca="false">'sureau_ini.txt'!DZ56</f>
        <v>0</v>
      </c>
      <c r="D69" s="525" t="e">
        <f aca="false">(1/(1/'sureau_ini.txt'!EU56+1/(1.5*(0.00662*('sureau_ini.txt'!AG56/'sureau_ini.txt'!DU56*1000)^0.5)*1000*40)+1/'sureau_ini.txt'!EN56)*B69/101.6)</f>
        <v>#DIV/0!</v>
      </c>
      <c r="E69" s="525" t="e">
        <f aca="false">'sureau_ini.txt'!CQ56/(1/'sureau_ini.txt'!EU56+1/(1.5*(0.00662*('sureau_ini.txt'!AG56/'sureau_ini.txt'!DU56*1000)^0.5)*1000*40)+1/'sureau_ini.txt'!EN56)*B69/101.6 + 'sureau_ini.txt'!CR56/(1/'sureau_ini.txt'!EV56+1/(1.5*(0.00662*('sureau_ini.txt'!AG56/'sureau_ini.txt'!DU56*1000)^0.5)*1000*40)+1/'sureau_ini.txt'!EN56)*B69/101.6 + 'sureau_ini.txt'!CS56/(1/'sureau_ini.txt'!EW56+1/(1.5*(0.00662*('sureau_ini.txt'!AG56/'sureau_ini.txt'!DU56*1000)^0.5)*1000*40)+1/'sureau_ini.txt'!EN56)*B69/101.6</f>
        <v>#DIV/0!</v>
      </c>
      <c r="F69" s="75" t="e">
        <f aca="false">E69/1000*18/AK69/100000*3600*C69</f>
        <v>#DIV/0!</v>
      </c>
      <c r="G69" s="72" t="n">
        <v>-1.5</v>
      </c>
      <c r="H69" s="72" t="n">
        <v>0</v>
      </c>
      <c r="I69" s="75" t="e">
        <f aca="false">E69/(H69-G69)</f>
        <v>#DIV/0!</v>
      </c>
      <c r="J69" s="75" t="e">
        <f aca="false">I69*C69</f>
        <v>#DIV/0!</v>
      </c>
      <c r="K69" s="75" t="e">
        <f aca="false">1/I69</f>
        <v>#DIV/0!</v>
      </c>
      <c r="L69" s="75" t="e">
        <f aca="false">1/J69</f>
        <v>#DIV/0!</v>
      </c>
      <c r="M69" s="526" t="e">
        <f aca="false">1/(1/'Allometric tree'!I69*'Allometric tree'!BF69/100)</f>
        <v>#DIV/0!</v>
      </c>
      <c r="N69" s="526" t="e">
        <f aca="false">1/(1/'Allometric tree'!I69*'Allometric tree'!BG69/100)</f>
        <v>#DIV/0!</v>
      </c>
      <c r="O69" s="30" t="e">
        <f aca="false">1/(1/'Allometric tree'!I69*'Allometric tree'!BH69/100)</f>
        <v>#DIV/0!</v>
      </c>
      <c r="P69" s="30" t="e">
        <f aca="false">1/(1/'Allometric tree'!I69*'Allometric tree'!BI69/100)</f>
        <v>#DIV/0!</v>
      </c>
      <c r="Q69" s="30" t="e">
        <f aca="false">1/(1/'Allometric tree'!I69*'Allometric tree'!BJ69/100)</f>
        <v>#DIV/0!</v>
      </c>
      <c r="R69" s="526" t="e">
        <f aca="false">1/(1/'Allometric tree'!I69*'Allometric tree'!BK69/100)</f>
        <v>#DIV/0!</v>
      </c>
      <c r="S69" s="30" t="e">
        <f aca="false">M69*'Allometric tree'!C69</f>
        <v>#DIV/0!</v>
      </c>
      <c r="T69" s="30" t="e">
        <f aca="false">N69*'Allometric tree'!C69</f>
        <v>#DIV/0!</v>
      </c>
      <c r="U69" s="526" t="e">
        <f aca="false">O69*'Allometric tree'!C69</f>
        <v>#DIV/0!</v>
      </c>
      <c r="V69" s="526" t="e">
        <f aca="false">P69*'Allometric tree'!C69</f>
        <v>#DIV/0!</v>
      </c>
      <c r="W69" s="526" t="e">
        <f aca="false">Q69*'Allometric tree'!C69</f>
        <v>#DIV/0!</v>
      </c>
      <c r="X69" s="30" t="e">
        <f aca="false">R69*'Allometric tree'!C69</f>
        <v>#DIV/0!</v>
      </c>
      <c r="Y69" s="525" t="n">
        <f aca="false">'sureau_ini.txt'!DG56</f>
        <v>0</v>
      </c>
      <c r="Z69" s="527" t="e">
        <f aca="false">AK69/C69</f>
        <v>#DIV/0!</v>
      </c>
      <c r="AA69" s="525" t="n">
        <f aca="false">'sureau_ini.txt'!DE56</f>
        <v>0</v>
      </c>
      <c r="AB69" s="525" t="n">
        <f aca="false">'sureau_ini.txt'!DF56</f>
        <v>0</v>
      </c>
      <c r="AC69" s="525" t="n">
        <v>1</v>
      </c>
      <c r="AD69" s="72" t="n">
        <v>0.1</v>
      </c>
      <c r="AE69" s="525" t="n">
        <f aca="false">'sureau_ini.txt'!$E$21</f>
        <v>1</v>
      </c>
      <c r="AF69" s="525" t="n">
        <f aca="false">'sureau_ini.txt'!DC56+'sureau_ini.txt'!CU56</f>
        <v>0</v>
      </c>
      <c r="AG69" s="525" t="n">
        <f aca="false">'sureau_ini.txt'!DC56</f>
        <v>0</v>
      </c>
      <c r="AH69" s="525" t="n">
        <f aca="false">'sureau_ini.txt'!DD56*100</f>
        <v>0</v>
      </c>
      <c r="AI69" s="75" t="n">
        <f aca="false">AH69/2*Y69</f>
        <v>0</v>
      </c>
      <c r="AJ69" s="75" t="e">
        <f aca="false">100*(AH69/100-SQRT(AH69/100*AH69/100-4*AW69/1000/AG69/3.1416))/2</f>
        <v>#DIV/0!</v>
      </c>
      <c r="AK69" s="75" t="n">
        <f aca="false">(3.1416/4*(AH69^2)-3.1416*(AH69/2-AI69)^2)/10000</f>
        <v>0</v>
      </c>
      <c r="AL69" s="75" t="n">
        <f aca="false">AK69*AF69</f>
        <v>0</v>
      </c>
      <c r="AM69" s="75" t="n">
        <f aca="false">AL69*AA69*1000</f>
        <v>0</v>
      </c>
      <c r="AN69" s="75" t="n">
        <f aca="false">AL69*1000*AB69</f>
        <v>0</v>
      </c>
      <c r="AO69" s="75" t="n">
        <f aca="false">AK69*AG69</f>
        <v>0</v>
      </c>
      <c r="AP69" s="75" t="e">
        <f aca="false">AH69*AH69*3.1416/4/C69</f>
        <v>#DIV/0!</v>
      </c>
      <c r="AQ69" s="75" t="e">
        <f aca="false">AK69*10000/C69</f>
        <v>#DIV/0!</v>
      </c>
      <c r="AR69" s="525" t="n">
        <f aca="false">('sureau_ini.txt'!CP56/2*'sureau_ini.txt'!CP56/2*3.1416)</f>
        <v>0</v>
      </c>
      <c r="AS69" s="525" t="e">
        <f aca="false">C69/AR69</f>
        <v>#DIV/0!</v>
      </c>
      <c r="AT69" s="75" t="e">
        <f aca="false">10000/AR69</f>
        <v>#DIV/0!</v>
      </c>
      <c r="AU69" s="75" t="e">
        <f aca="false">AH69*AH69*3.1416/4/10000*AT69</f>
        <v>#DIV/0!</v>
      </c>
      <c r="AV69" s="528" t="n">
        <f aca="false">AO69*AA69*1000</f>
        <v>0</v>
      </c>
      <c r="AW69" s="528" t="n">
        <f aca="false">AO69*1000*AB69</f>
        <v>0</v>
      </c>
      <c r="AX69" s="528" t="n">
        <f aca="false">AM69-AV69</f>
        <v>0</v>
      </c>
      <c r="AY69" s="528" t="n">
        <f aca="false">AN69-AW69</f>
        <v>0</v>
      </c>
      <c r="AZ69" s="528" t="n">
        <f aca="false">AM69*AC69</f>
        <v>0</v>
      </c>
      <c r="BA69" s="528" t="n">
        <f aca="false">AN69*AC69</f>
        <v>0</v>
      </c>
      <c r="BB69" s="528" t="n">
        <f aca="false">3.1416*AH69*AG69/100</f>
        <v>0</v>
      </c>
      <c r="BC69" s="528" t="n">
        <f aca="false">C69*AD69</f>
        <v>0</v>
      </c>
      <c r="BD69" s="528" t="n">
        <f aca="false">C69*AE69</f>
        <v>0</v>
      </c>
      <c r="BE69" s="528" t="n">
        <f aca="false">BD69+BC69*AC69</f>
        <v>0</v>
      </c>
      <c r="BF69" s="72" t="n">
        <v>20</v>
      </c>
      <c r="BG69" s="72" t="n">
        <v>20</v>
      </c>
      <c r="BH69" s="72" t="n">
        <v>8</v>
      </c>
      <c r="BI69" s="72" t="n">
        <v>2</v>
      </c>
      <c r="BJ69" s="72" t="n">
        <v>10</v>
      </c>
      <c r="BK69" s="72" t="n">
        <v>40</v>
      </c>
      <c r="BL69" s="75" t="n">
        <f aca="false">SUM(BF69:BI69)</f>
        <v>50</v>
      </c>
      <c r="BM69" s="75" t="n">
        <f aca="false">BJ69+BK69</f>
        <v>50</v>
      </c>
      <c r="BN69" s="75" t="n">
        <f aca="false">SUM(BF69:BK69)</f>
        <v>100</v>
      </c>
      <c r="BO69" s="0" t="n">
        <f aca="false">AV69+AW69+AX69+AY69+AZ69+BA69+C69*'sureau_ini.txt'!EI56/1000</f>
        <v>0</v>
      </c>
      <c r="BP69" s="0" t="n">
        <f aca="false">AV69+AX69+AZ69 +C69*'sureau_ini.txt'!EI56*'sureau_ini.txt'!EJ56/1000</f>
        <v>0</v>
      </c>
      <c r="BQ69" s="0" t="n">
        <f aca="false">BO69-BP69</f>
        <v>0</v>
      </c>
    </row>
    <row r="70" customFormat="false" ht="15.75" hidden="false" customHeight="false" outlineLevel="0" collapsed="false">
      <c r="A70" s="0" t="n">
        <f aca="false">'sureau_ini.txt'!A57</f>
        <v>0</v>
      </c>
      <c r="B70" s="525" t="n">
        <f aca="false">VPD_max</f>
        <v>1.26741256491017</v>
      </c>
      <c r="C70" s="525" t="n">
        <f aca="false">'sureau_ini.txt'!DZ57</f>
        <v>0</v>
      </c>
      <c r="D70" s="525" t="e">
        <f aca="false">(1/(1/'sureau_ini.txt'!EU57+1/(1.5*(0.00662*('sureau_ini.txt'!AG57/'sureau_ini.txt'!DU57*1000)^0.5)*1000*40)+1/'sureau_ini.txt'!EN57)*B70/101.6)</f>
        <v>#DIV/0!</v>
      </c>
      <c r="E70" s="525" t="e">
        <f aca="false">'sureau_ini.txt'!CQ57/(1/'sureau_ini.txt'!EU57+1/(1.5*(0.00662*('sureau_ini.txt'!AG57/'sureau_ini.txt'!DU57*1000)^0.5)*1000*40)+1/'sureau_ini.txt'!EN57)*B70/101.6 + 'sureau_ini.txt'!CR57/(1/'sureau_ini.txt'!EV57+1/(1.5*(0.00662*('sureau_ini.txt'!AG57/'sureau_ini.txt'!DU57*1000)^0.5)*1000*40)+1/'sureau_ini.txt'!EN57)*B70/101.6 + 'sureau_ini.txt'!CS57/(1/'sureau_ini.txt'!EW57+1/(1.5*(0.00662*('sureau_ini.txt'!AG57/'sureau_ini.txt'!DU57*1000)^0.5)*1000*40)+1/'sureau_ini.txt'!EN57)*B70/101.6</f>
        <v>#DIV/0!</v>
      </c>
      <c r="F70" s="75" t="e">
        <f aca="false">E70/1000*18/AK70/100000*3600*C70</f>
        <v>#DIV/0!</v>
      </c>
      <c r="G70" s="72" t="n">
        <v>-1.5</v>
      </c>
      <c r="H70" s="72" t="n">
        <v>0</v>
      </c>
      <c r="I70" s="75" t="e">
        <f aca="false">E70/(H70-G70)</f>
        <v>#DIV/0!</v>
      </c>
      <c r="J70" s="75" t="e">
        <f aca="false">I70*C70</f>
        <v>#DIV/0!</v>
      </c>
      <c r="K70" s="75" t="e">
        <f aca="false">1/I70</f>
        <v>#DIV/0!</v>
      </c>
      <c r="L70" s="75" t="e">
        <f aca="false">1/J70</f>
        <v>#DIV/0!</v>
      </c>
      <c r="M70" s="526" t="e">
        <f aca="false">1/(1/'Allometric tree'!I70*'Allometric tree'!BF70/100)</f>
        <v>#DIV/0!</v>
      </c>
      <c r="N70" s="526" t="e">
        <f aca="false">1/(1/'Allometric tree'!I70*'Allometric tree'!BG70/100)</f>
        <v>#DIV/0!</v>
      </c>
      <c r="O70" s="30" t="e">
        <f aca="false">1/(1/'Allometric tree'!I70*'Allometric tree'!BH70/100)</f>
        <v>#DIV/0!</v>
      </c>
      <c r="P70" s="30" t="e">
        <f aca="false">1/(1/'Allometric tree'!I70*'Allometric tree'!BI70/100)</f>
        <v>#DIV/0!</v>
      </c>
      <c r="Q70" s="30" t="e">
        <f aca="false">1/(1/'Allometric tree'!I70*'Allometric tree'!BJ70/100)</f>
        <v>#DIV/0!</v>
      </c>
      <c r="R70" s="526" t="e">
        <f aca="false">1/(1/'Allometric tree'!I70*'Allometric tree'!BK70/100)</f>
        <v>#DIV/0!</v>
      </c>
      <c r="S70" s="30" t="e">
        <f aca="false">M70*'Allometric tree'!C70</f>
        <v>#DIV/0!</v>
      </c>
      <c r="T70" s="30" t="e">
        <f aca="false">N70*'Allometric tree'!C70</f>
        <v>#DIV/0!</v>
      </c>
      <c r="U70" s="526" t="e">
        <f aca="false">O70*'Allometric tree'!C70</f>
        <v>#DIV/0!</v>
      </c>
      <c r="V70" s="526" t="e">
        <f aca="false">P70*'Allometric tree'!C70</f>
        <v>#DIV/0!</v>
      </c>
      <c r="W70" s="526" t="e">
        <f aca="false">Q70*'Allometric tree'!C70</f>
        <v>#DIV/0!</v>
      </c>
      <c r="X70" s="30" t="e">
        <f aca="false">R70*'Allometric tree'!C70</f>
        <v>#DIV/0!</v>
      </c>
      <c r="Y70" s="525" t="n">
        <f aca="false">'sureau_ini.txt'!DG57</f>
        <v>0</v>
      </c>
      <c r="Z70" s="527" t="e">
        <f aca="false">AK70/C70</f>
        <v>#DIV/0!</v>
      </c>
      <c r="AA70" s="525" t="n">
        <f aca="false">'sureau_ini.txt'!DE57</f>
        <v>0</v>
      </c>
      <c r="AB70" s="525" t="n">
        <f aca="false">'sureau_ini.txt'!DF57</f>
        <v>0</v>
      </c>
      <c r="AC70" s="525" t="n">
        <v>1</v>
      </c>
      <c r="AD70" s="72" t="n">
        <v>0.1</v>
      </c>
      <c r="AE70" s="525" t="n">
        <f aca="false">'sureau_ini.txt'!$E$21</f>
        <v>1</v>
      </c>
      <c r="AF70" s="525" t="n">
        <f aca="false">'sureau_ini.txt'!DC57+'sureau_ini.txt'!CU57</f>
        <v>0</v>
      </c>
      <c r="AG70" s="525" t="n">
        <f aca="false">'sureau_ini.txt'!DC57</f>
        <v>0</v>
      </c>
      <c r="AH70" s="525" t="n">
        <f aca="false">'sureau_ini.txt'!DD57*100</f>
        <v>0</v>
      </c>
      <c r="AI70" s="75" t="n">
        <f aca="false">AH70/2*Y70</f>
        <v>0</v>
      </c>
      <c r="AJ70" s="75" t="e">
        <f aca="false">100*(AH70/100-SQRT(AH70/100*AH70/100-4*AW70/1000/AG70/3.1416))/2</f>
        <v>#DIV/0!</v>
      </c>
      <c r="AK70" s="75" t="n">
        <f aca="false">(3.1416/4*(AH70^2)-3.1416*(AH70/2-AI70)^2)/10000</f>
        <v>0</v>
      </c>
      <c r="AL70" s="75" t="n">
        <f aca="false">AK70*AF70</f>
        <v>0</v>
      </c>
      <c r="AM70" s="75" t="n">
        <f aca="false">AL70*AA70*1000</f>
        <v>0</v>
      </c>
      <c r="AN70" s="75" t="n">
        <f aca="false">AL70*1000*AB70</f>
        <v>0</v>
      </c>
      <c r="AO70" s="75" t="n">
        <f aca="false">AK70*AG70</f>
        <v>0</v>
      </c>
      <c r="AP70" s="75" t="e">
        <f aca="false">AH70*AH70*3.1416/4/C70</f>
        <v>#DIV/0!</v>
      </c>
      <c r="AQ70" s="75" t="e">
        <f aca="false">AK70*10000/C70</f>
        <v>#DIV/0!</v>
      </c>
      <c r="AR70" s="525" t="n">
        <f aca="false">('sureau_ini.txt'!CP57/2*'sureau_ini.txt'!CP57/2*3.1416)</f>
        <v>0</v>
      </c>
      <c r="AS70" s="525" t="e">
        <f aca="false">C70/AR70</f>
        <v>#DIV/0!</v>
      </c>
      <c r="AT70" s="75" t="e">
        <f aca="false">10000/AR70</f>
        <v>#DIV/0!</v>
      </c>
      <c r="AU70" s="75" t="e">
        <f aca="false">AH70*AH70*3.1416/4/10000*AT70</f>
        <v>#DIV/0!</v>
      </c>
      <c r="AV70" s="528" t="n">
        <f aca="false">AO70*AA70*1000</f>
        <v>0</v>
      </c>
      <c r="AW70" s="528" t="n">
        <f aca="false">AO70*1000*AB70</f>
        <v>0</v>
      </c>
      <c r="AX70" s="528" t="n">
        <f aca="false">AM70-AV70</f>
        <v>0</v>
      </c>
      <c r="AY70" s="528" t="n">
        <f aca="false">AN70-AW70</f>
        <v>0</v>
      </c>
      <c r="AZ70" s="528" t="n">
        <f aca="false">AM70*AC70</f>
        <v>0</v>
      </c>
      <c r="BA70" s="528" t="n">
        <f aca="false">AN70*AC70</f>
        <v>0</v>
      </c>
      <c r="BB70" s="528" t="n">
        <f aca="false">3.1416*AH70*AG70/100</f>
        <v>0</v>
      </c>
      <c r="BC70" s="528" t="n">
        <f aca="false">C70*AD70</f>
        <v>0</v>
      </c>
      <c r="BD70" s="528" t="n">
        <f aca="false">C70*AE70</f>
        <v>0</v>
      </c>
      <c r="BE70" s="528" t="n">
        <f aca="false">BD70+BC70*AC70</f>
        <v>0</v>
      </c>
      <c r="BF70" s="72" t="n">
        <v>20</v>
      </c>
      <c r="BG70" s="72" t="n">
        <v>20</v>
      </c>
      <c r="BH70" s="72" t="n">
        <v>8</v>
      </c>
      <c r="BI70" s="72" t="n">
        <v>2</v>
      </c>
      <c r="BJ70" s="72" t="n">
        <v>10</v>
      </c>
      <c r="BK70" s="72" t="n">
        <v>40</v>
      </c>
      <c r="BL70" s="75" t="n">
        <f aca="false">SUM(BF70:BI70)</f>
        <v>50</v>
      </c>
      <c r="BM70" s="75" t="n">
        <f aca="false">BJ70+BK70</f>
        <v>50</v>
      </c>
      <c r="BN70" s="75" t="n">
        <f aca="false">SUM(BF70:BK70)</f>
        <v>100</v>
      </c>
      <c r="BO70" s="0" t="n">
        <f aca="false">AV70+AW70+AX70+AY70+AZ70+BA70+C70*'sureau_ini.txt'!EI57/1000</f>
        <v>0</v>
      </c>
      <c r="BP70" s="0" t="n">
        <f aca="false">AV70+AX70+AZ70 +C70*'sureau_ini.txt'!EI57*'sureau_ini.txt'!EJ57/1000</f>
        <v>0</v>
      </c>
      <c r="BQ70" s="0" t="n">
        <f aca="false">BO70-BP70</f>
        <v>0</v>
      </c>
    </row>
    <row r="71" customFormat="false" ht="15.75" hidden="false" customHeight="false" outlineLevel="0" collapsed="false">
      <c r="A71" s="0" t="n">
        <f aca="false">'sureau_ini.txt'!A58</f>
        <v>0</v>
      </c>
      <c r="B71" s="525" t="n">
        <f aca="false">VPD_max</f>
        <v>1.26741256491017</v>
      </c>
      <c r="C71" s="525" t="n">
        <f aca="false">'sureau_ini.txt'!DZ58</f>
        <v>0</v>
      </c>
      <c r="D71" s="525" t="e">
        <f aca="false">(1/(1/'sureau_ini.txt'!EU58+1/(1.5*(0.00662*('sureau_ini.txt'!AG58/'sureau_ini.txt'!DU58*1000)^0.5)*1000*40)+1/'sureau_ini.txt'!EN58)*B71/101.6)</f>
        <v>#DIV/0!</v>
      </c>
      <c r="E71" s="525" t="e">
        <f aca="false">'sureau_ini.txt'!CQ58/(1/'sureau_ini.txt'!EU58+1/(1.5*(0.00662*('sureau_ini.txt'!AG58/'sureau_ini.txt'!DU58*1000)^0.5)*1000*40)+1/'sureau_ini.txt'!EN58)*B71/101.6 + 'sureau_ini.txt'!CR58/(1/'sureau_ini.txt'!EV58+1/(1.5*(0.00662*('sureau_ini.txt'!AG58/'sureau_ini.txt'!DU58*1000)^0.5)*1000*40)+1/'sureau_ini.txt'!EN58)*B71/101.6 + 'sureau_ini.txt'!CS58/(1/'sureau_ini.txt'!EW58+1/(1.5*(0.00662*('sureau_ini.txt'!AG58/'sureau_ini.txt'!DU58*1000)^0.5)*1000*40)+1/'sureau_ini.txt'!EN58)*B71/101.6</f>
        <v>#DIV/0!</v>
      </c>
      <c r="F71" s="75" t="e">
        <f aca="false">E71/1000*18/AK71/100000*3600*C71</f>
        <v>#DIV/0!</v>
      </c>
      <c r="G71" s="72" t="n">
        <v>-1.5</v>
      </c>
      <c r="H71" s="72" t="n">
        <v>0</v>
      </c>
      <c r="I71" s="75" t="e">
        <f aca="false">E71/(H71-G71)</f>
        <v>#DIV/0!</v>
      </c>
      <c r="J71" s="75" t="e">
        <f aca="false">I71*C71</f>
        <v>#DIV/0!</v>
      </c>
      <c r="K71" s="75" t="e">
        <f aca="false">1/I71</f>
        <v>#DIV/0!</v>
      </c>
      <c r="L71" s="75" t="e">
        <f aca="false">1/J71</f>
        <v>#DIV/0!</v>
      </c>
      <c r="M71" s="526" t="e">
        <f aca="false">1/(1/'Allometric tree'!I71*'Allometric tree'!BF71/100)</f>
        <v>#DIV/0!</v>
      </c>
      <c r="N71" s="526" t="e">
        <f aca="false">1/(1/'Allometric tree'!I71*'Allometric tree'!BG71/100)</f>
        <v>#DIV/0!</v>
      </c>
      <c r="O71" s="30" t="e">
        <f aca="false">1/(1/'Allometric tree'!I71*'Allometric tree'!BH71/100)</f>
        <v>#DIV/0!</v>
      </c>
      <c r="P71" s="30" t="e">
        <f aca="false">1/(1/'Allometric tree'!I71*'Allometric tree'!BI71/100)</f>
        <v>#DIV/0!</v>
      </c>
      <c r="Q71" s="30" t="e">
        <f aca="false">1/(1/'Allometric tree'!I71*'Allometric tree'!BJ71/100)</f>
        <v>#DIV/0!</v>
      </c>
      <c r="R71" s="526" t="e">
        <f aca="false">1/(1/'Allometric tree'!I71*'Allometric tree'!BK71/100)</f>
        <v>#DIV/0!</v>
      </c>
      <c r="S71" s="30" t="e">
        <f aca="false">M71*'Allometric tree'!C71</f>
        <v>#DIV/0!</v>
      </c>
      <c r="T71" s="30" t="e">
        <f aca="false">N71*'Allometric tree'!C71</f>
        <v>#DIV/0!</v>
      </c>
      <c r="U71" s="526" t="e">
        <f aca="false">O71*'Allometric tree'!C71</f>
        <v>#DIV/0!</v>
      </c>
      <c r="V71" s="526" t="e">
        <f aca="false">P71*'Allometric tree'!C71</f>
        <v>#DIV/0!</v>
      </c>
      <c r="W71" s="526" t="e">
        <f aca="false">Q71*'Allometric tree'!C71</f>
        <v>#DIV/0!</v>
      </c>
      <c r="X71" s="30" t="e">
        <f aca="false">R71*'Allometric tree'!C71</f>
        <v>#DIV/0!</v>
      </c>
      <c r="Y71" s="525" t="n">
        <f aca="false">'sureau_ini.txt'!DG58</f>
        <v>0</v>
      </c>
      <c r="Z71" s="527" t="e">
        <f aca="false">AK71/C71</f>
        <v>#DIV/0!</v>
      </c>
      <c r="AA71" s="525" t="n">
        <f aca="false">'sureau_ini.txt'!DE58</f>
        <v>0</v>
      </c>
      <c r="AB71" s="525" t="n">
        <f aca="false">'sureau_ini.txt'!DF58</f>
        <v>0</v>
      </c>
      <c r="AC71" s="525" t="n">
        <v>1</v>
      </c>
      <c r="AD71" s="72" t="n">
        <v>0.1</v>
      </c>
      <c r="AE71" s="525" t="n">
        <f aca="false">'sureau_ini.txt'!$E$21</f>
        <v>1</v>
      </c>
      <c r="AF71" s="525" t="n">
        <f aca="false">'sureau_ini.txt'!DC58+'sureau_ini.txt'!CU58</f>
        <v>0</v>
      </c>
      <c r="AG71" s="525" t="n">
        <f aca="false">'sureau_ini.txt'!DC58</f>
        <v>0</v>
      </c>
      <c r="AH71" s="525" t="n">
        <f aca="false">'sureau_ini.txt'!DD58*100</f>
        <v>0</v>
      </c>
      <c r="AI71" s="75" t="n">
        <f aca="false">AH71/2*Y71</f>
        <v>0</v>
      </c>
      <c r="AJ71" s="75" t="e">
        <f aca="false">100*(AH71/100-SQRT(AH71/100*AH71/100-4*AW71/1000/AG71/3.1416))/2</f>
        <v>#DIV/0!</v>
      </c>
      <c r="AK71" s="75" t="n">
        <f aca="false">(3.1416/4*(AH71^2)-3.1416*(AH71/2-AI71)^2)/10000</f>
        <v>0</v>
      </c>
      <c r="AL71" s="75" t="n">
        <f aca="false">AK71*AF71</f>
        <v>0</v>
      </c>
      <c r="AM71" s="75" t="n">
        <f aca="false">AL71*AA71*1000</f>
        <v>0</v>
      </c>
      <c r="AN71" s="75" t="n">
        <f aca="false">AL71*1000*AB71</f>
        <v>0</v>
      </c>
      <c r="AO71" s="75" t="n">
        <f aca="false">AK71*AG71</f>
        <v>0</v>
      </c>
      <c r="AP71" s="75" t="e">
        <f aca="false">AH71*AH71*3.1416/4/C71</f>
        <v>#DIV/0!</v>
      </c>
      <c r="AQ71" s="75" t="e">
        <f aca="false">AK71*10000/C71</f>
        <v>#DIV/0!</v>
      </c>
      <c r="AR71" s="525" t="n">
        <f aca="false">('sureau_ini.txt'!CP58/2*'sureau_ini.txt'!CP58/2*3.1416)</f>
        <v>0</v>
      </c>
      <c r="AS71" s="525" t="e">
        <f aca="false">C71/AR71</f>
        <v>#DIV/0!</v>
      </c>
      <c r="AT71" s="75" t="e">
        <f aca="false">10000/AR71</f>
        <v>#DIV/0!</v>
      </c>
      <c r="AU71" s="75" t="e">
        <f aca="false">AH71*AH71*3.1416/4/10000*AT71</f>
        <v>#DIV/0!</v>
      </c>
      <c r="AV71" s="528" t="n">
        <f aca="false">AO71*AA71*1000</f>
        <v>0</v>
      </c>
      <c r="AW71" s="528" t="n">
        <f aca="false">AO71*1000*AB71</f>
        <v>0</v>
      </c>
      <c r="AX71" s="528" t="n">
        <f aca="false">AM71-AV71</f>
        <v>0</v>
      </c>
      <c r="AY71" s="528" t="n">
        <f aca="false">AN71-AW71</f>
        <v>0</v>
      </c>
      <c r="AZ71" s="528" t="n">
        <f aca="false">AM71*AC71</f>
        <v>0</v>
      </c>
      <c r="BA71" s="528" t="n">
        <f aca="false">AN71*AC71</f>
        <v>0</v>
      </c>
      <c r="BB71" s="528" t="n">
        <f aca="false">3.1416*AH71*AG71/100</f>
        <v>0</v>
      </c>
      <c r="BC71" s="528" t="n">
        <f aca="false">C71*AD71</f>
        <v>0</v>
      </c>
      <c r="BD71" s="528" t="n">
        <f aca="false">C71*AE71</f>
        <v>0</v>
      </c>
      <c r="BE71" s="528" t="n">
        <f aca="false">BD71+BC71*AC71</f>
        <v>0</v>
      </c>
      <c r="BF71" s="72" t="n">
        <v>20</v>
      </c>
      <c r="BG71" s="72" t="n">
        <v>20</v>
      </c>
      <c r="BH71" s="72" t="n">
        <v>8</v>
      </c>
      <c r="BI71" s="72" t="n">
        <v>2</v>
      </c>
      <c r="BJ71" s="72" t="n">
        <v>10</v>
      </c>
      <c r="BK71" s="72" t="n">
        <v>40</v>
      </c>
      <c r="BL71" s="75" t="n">
        <f aca="false">SUM(BF71:BI71)</f>
        <v>50</v>
      </c>
      <c r="BM71" s="75" t="n">
        <f aca="false">BJ71+BK71</f>
        <v>50</v>
      </c>
      <c r="BN71" s="75" t="n">
        <f aca="false">SUM(BF71:BK71)</f>
        <v>100</v>
      </c>
      <c r="BO71" s="0" t="n">
        <f aca="false">AV71+AW71+AX71+AY71+AZ71+BA71+C71*'sureau_ini.txt'!EI58/1000</f>
        <v>0</v>
      </c>
      <c r="BP71" s="0" t="n">
        <f aca="false">AV71+AX71+AZ71 +C71*'sureau_ini.txt'!EI58*'sureau_ini.txt'!EJ58/1000</f>
        <v>0</v>
      </c>
      <c r="BQ71" s="0" t="n">
        <f aca="false">BO71-BP71</f>
        <v>0</v>
      </c>
    </row>
    <row r="72" customFormat="false" ht="15.75" hidden="false" customHeight="false" outlineLevel="0" collapsed="false">
      <c r="A72" s="0" t="n">
        <f aca="false">'sureau_ini.txt'!A59</f>
        <v>0</v>
      </c>
      <c r="B72" s="525" t="n">
        <f aca="false">VPD_max</f>
        <v>1.26741256491017</v>
      </c>
      <c r="C72" s="525" t="n">
        <f aca="false">'sureau_ini.txt'!DZ59</f>
        <v>0</v>
      </c>
      <c r="D72" s="525" t="e">
        <f aca="false">(1/(1/'sureau_ini.txt'!EU59+1/(1.5*(0.00662*('sureau_ini.txt'!AG59/'sureau_ini.txt'!DU59*1000)^0.5)*1000*40)+1/'sureau_ini.txt'!EN59)*B72/101.6)</f>
        <v>#DIV/0!</v>
      </c>
      <c r="E72" s="525" t="e">
        <f aca="false">'sureau_ini.txt'!CQ59/(1/'sureau_ini.txt'!EU59+1/(1.5*(0.00662*('sureau_ini.txt'!AG59/'sureau_ini.txt'!DU59*1000)^0.5)*1000*40)+1/'sureau_ini.txt'!EN59)*B72/101.6 + 'sureau_ini.txt'!CR59/(1/'sureau_ini.txt'!EV59+1/(1.5*(0.00662*('sureau_ini.txt'!AG59/'sureau_ini.txt'!DU59*1000)^0.5)*1000*40)+1/'sureau_ini.txt'!EN59)*B72/101.6 + 'sureau_ini.txt'!CS59/(1/'sureau_ini.txt'!EW59+1/(1.5*(0.00662*('sureau_ini.txt'!AG59/'sureau_ini.txt'!DU59*1000)^0.5)*1000*40)+1/'sureau_ini.txt'!EN59)*B72/101.6</f>
        <v>#DIV/0!</v>
      </c>
      <c r="F72" s="75" t="e">
        <f aca="false">E72/1000*18/AK72/100000*3600*C72</f>
        <v>#DIV/0!</v>
      </c>
      <c r="G72" s="72" t="n">
        <v>-1.5</v>
      </c>
      <c r="H72" s="72" t="n">
        <v>0</v>
      </c>
      <c r="I72" s="75" t="e">
        <f aca="false">E72/(H72-G72)</f>
        <v>#DIV/0!</v>
      </c>
      <c r="J72" s="75" t="e">
        <f aca="false">I72*C72</f>
        <v>#DIV/0!</v>
      </c>
      <c r="K72" s="75" t="e">
        <f aca="false">1/I72</f>
        <v>#DIV/0!</v>
      </c>
      <c r="L72" s="75" t="e">
        <f aca="false">1/J72</f>
        <v>#DIV/0!</v>
      </c>
      <c r="M72" s="526" t="e">
        <f aca="false">1/(1/'Allometric tree'!I72*'Allometric tree'!BF72/100)</f>
        <v>#DIV/0!</v>
      </c>
      <c r="N72" s="526" t="e">
        <f aca="false">1/(1/'Allometric tree'!I72*'Allometric tree'!BG72/100)</f>
        <v>#DIV/0!</v>
      </c>
      <c r="O72" s="30" t="e">
        <f aca="false">1/(1/'Allometric tree'!I72*'Allometric tree'!BH72/100)</f>
        <v>#DIV/0!</v>
      </c>
      <c r="P72" s="30" t="e">
        <f aca="false">1/(1/'Allometric tree'!I72*'Allometric tree'!BI72/100)</f>
        <v>#DIV/0!</v>
      </c>
      <c r="Q72" s="30" t="e">
        <f aca="false">1/(1/'Allometric tree'!I72*'Allometric tree'!BJ72/100)</f>
        <v>#DIV/0!</v>
      </c>
      <c r="R72" s="526" t="e">
        <f aca="false">1/(1/'Allometric tree'!I72*'Allometric tree'!BK72/100)</f>
        <v>#DIV/0!</v>
      </c>
      <c r="S72" s="30" t="e">
        <f aca="false">M72*'Allometric tree'!C72</f>
        <v>#DIV/0!</v>
      </c>
      <c r="T72" s="30" t="e">
        <f aca="false">N72*'Allometric tree'!C72</f>
        <v>#DIV/0!</v>
      </c>
      <c r="U72" s="526" t="e">
        <f aca="false">O72*'Allometric tree'!C72</f>
        <v>#DIV/0!</v>
      </c>
      <c r="V72" s="526" t="e">
        <f aca="false">P72*'Allometric tree'!C72</f>
        <v>#DIV/0!</v>
      </c>
      <c r="W72" s="526" t="e">
        <f aca="false">Q72*'Allometric tree'!C72</f>
        <v>#DIV/0!</v>
      </c>
      <c r="X72" s="30" t="e">
        <f aca="false">R72*'Allometric tree'!C72</f>
        <v>#DIV/0!</v>
      </c>
      <c r="Y72" s="525" t="n">
        <f aca="false">'sureau_ini.txt'!DG59</f>
        <v>0</v>
      </c>
      <c r="Z72" s="527" t="e">
        <f aca="false">AK72/C72</f>
        <v>#DIV/0!</v>
      </c>
      <c r="AA72" s="525" t="n">
        <f aca="false">'sureau_ini.txt'!DE59</f>
        <v>0</v>
      </c>
      <c r="AB72" s="525" t="n">
        <f aca="false">'sureau_ini.txt'!DF59</f>
        <v>0</v>
      </c>
      <c r="AC72" s="525" t="n">
        <v>1</v>
      </c>
      <c r="AD72" s="72" t="n">
        <v>0.1</v>
      </c>
      <c r="AE72" s="525" t="n">
        <f aca="false">'sureau_ini.txt'!$E$21</f>
        <v>1</v>
      </c>
      <c r="AF72" s="525" t="n">
        <f aca="false">'sureau_ini.txt'!DC59+'sureau_ini.txt'!CU59</f>
        <v>0</v>
      </c>
      <c r="AG72" s="525" t="n">
        <f aca="false">'sureau_ini.txt'!DC59</f>
        <v>0</v>
      </c>
      <c r="AH72" s="525" t="n">
        <f aca="false">'sureau_ini.txt'!DD59*100</f>
        <v>0</v>
      </c>
      <c r="AI72" s="75" t="n">
        <f aca="false">AH72/2*Y72</f>
        <v>0</v>
      </c>
      <c r="AJ72" s="75" t="e">
        <f aca="false">100*(AH72/100-SQRT(AH72/100*AH72/100-4*AW72/1000/AG72/3.1416))/2</f>
        <v>#DIV/0!</v>
      </c>
      <c r="AK72" s="75" t="n">
        <f aca="false">(3.1416/4*(AH72^2)-3.1416*(AH72/2-AI72)^2)/10000</f>
        <v>0</v>
      </c>
      <c r="AL72" s="75" t="n">
        <f aca="false">AK72*AF72</f>
        <v>0</v>
      </c>
      <c r="AM72" s="75" t="n">
        <f aca="false">AL72*AA72*1000</f>
        <v>0</v>
      </c>
      <c r="AN72" s="75" t="n">
        <f aca="false">AL72*1000*AB72</f>
        <v>0</v>
      </c>
      <c r="AO72" s="75" t="n">
        <f aca="false">AK72*AG72</f>
        <v>0</v>
      </c>
      <c r="AP72" s="75" t="e">
        <f aca="false">AH72*AH72*3.1416/4/C72</f>
        <v>#DIV/0!</v>
      </c>
      <c r="AQ72" s="75" t="e">
        <f aca="false">AK72*10000/C72</f>
        <v>#DIV/0!</v>
      </c>
      <c r="AR72" s="525" t="n">
        <f aca="false">('sureau_ini.txt'!CP59/2*'sureau_ini.txt'!CP59/2*3.1416)</f>
        <v>0</v>
      </c>
      <c r="AS72" s="525" t="e">
        <f aca="false">C72/AR72</f>
        <v>#DIV/0!</v>
      </c>
      <c r="AT72" s="75" t="e">
        <f aca="false">10000/AR72</f>
        <v>#DIV/0!</v>
      </c>
      <c r="AU72" s="75" t="e">
        <f aca="false">AH72*AH72*3.1416/4/10000*AT72</f>
        <v>#DIV/0!</v>
      </c>
      <c r="AV72" s="528" t="n">
        <f aca="false">AO72*AA72*1000</f>
        <v>0</v>
      </c>
      <c r="AW72" s="528" t="n">
        <f aca="false">AO72*1000*AB72</f>
        <v>0</v>
      </c>
      <c r="AX72" s="528" t="n">
        <f aca="false">AM72-AV72</f>
        <v>0</v>
      </c>
      <c r="AY72" s="528" t="n">
        <f aca="false">AN72-AW72</f>
        <v>0</v>
      </c>
      <c r="AZ72" s="528" t="n">
        <f aca="false">AM72*AC72</f>
        <v>0</v>
      </c>
      <c r="BA72" s="528" t="n">
        <f aca="false">AN72*AC72</f>
        <v>0</v>
      </c>
      <c r="BB72" s="528" t="n">
        <f aca="false">3.1416*AH72*AG72/100</f>
        <v>0</v>
      </c>
      <c r="BC72" s="528" t="n">
        <f aca="false">C72*AD72</f>
        <v>0</v>
      </c>
      <c r="BD72" s="528" t="n">
        <f aca="false">C72*AE72</f>
        <v>0</v>
      </c>
      <c r="BE72" s="528" t="n">
        <f aca="false">BD72+BC72*AC72</f>
        <v>0</v>
      </c>
      <c r="BF72" s="72" t="n">
        <v>20</v>
      </c>
      <c r="BG72" s="72" t="n">
        <v>20</v>
      </c>
      <c r="BH72" s="72" t="n">
        <v>8</v>
      </c>
      <c r="BI72" s="72" t="n">
        <v>2</v>
      </c>
      <c r="BJ72" s="72" t="n">
        <v>10</v>
      </c>
      <c r="BK72" s="72" t="n">
        <v>40</v>
      </c>
      <c r="BL72" s="75" t="n">
        <f aca="false">SUM(BF72:BI72)</f>
        <v>50</v>
      </c>
      <c r="BM72" s="75" t="n">
        <f aca="false">BJ72+BK72</f>
        <v>50</v>
      </c>
      <c r="BN72" s="75" t="n">
        <f aca="false">SUM(BF72:BK72)</f>
        <v>100</v>
      </c>
      <c r="BO72" s="0" t="n">
        <f aca="false">AV72+AW72+AX72+AY72+AZ72+BA72+C72*'sureau_ini.txt'!EI59/1000</f>
        <v>0</v>
      </c>
      <c r="BP72" s="0" t="n">
        <f aca="false">AV72+AX72+AZ72 +C72*'sureau_ini.txt'!EI59*'sureau_ini.txt'!EJ59/1000</f>
        <v>0</v>
      </c>
      <c r="BQ72" s="0" t="n">
        <f aca="false">BO72-BP72</f>
        <v>0</v>
      </c>
    </row>
    <row r="73" customFormat="false" ht="15.75" hidden="false" customHeight="false" outlineLevel="0" collapsed="false">
      <c r="A73" s="0" t="n">
        <f aca="false">'sureau_ini.txt'!A60</f>
        <v>0</v>
      </c>
      <c r="B73" s="525" t="n">
        <f aca="false">VPD_max</f>
        <v>1.26741256491017</v>
      </c>
      <c r="C73" s="525" t="n">
        <f aca="false">'sureau_ini.txt'!DZ60</f>
        <v>0</v>
      </c>
      <c r="D73" s="525" t="e">
        <f aca="false">(1/(1/'sureau_ini.txt'!EU60+1/(1.5*(0.00662*('sureau_ini.txt'!AG60/'sureau_ini.txt'!DU60*1000)^0.5)*1000*40)+1/'sureau_ini.txt'!EN60)*B73/101.6)</f>
        <v>#DIV/0!</v>
      </c>
      <c r="E73" s="525" t="e">
        <f aca="false">'sureau_ini.txt'!CQ60/(1/'sureau_ini.txt'!EU60+1/(1.5*(0.00662*('sureau_ini.txt'!AG60/'sureau_ini.txt'!DU60*1000)^0.5)*1000*40)+1/'sureau_ini.txt'!EN60)*B73/101.6 + 'sureau_ini.txt'!CR60/(1/'sureau_ini.txt'!EV60+1/(1.5*(0.00662*('sureau_ini.txt'!AG60/'sureau_ini.txt'!DU60*1000)^0.5)*1000*40)+1/'sureau_ini.txt'!EN60)*B73/101.6 + 'sureau_ini.txt'!CS60/(1/'sureau_ini.txt'!EW60+1/(1.5*(0.00662*('sureau_ini.txt'!AG60/'sureau_ini.txt'!DU60*1000)^0.5)*1000*40)+1/'sureau_ini.txt'!EN60)*B73/101.6</f>
        <v>#DIV/0!</v>
      </c>
      <c r="F73" s="75" t="e">
        <f aca="false">E73/1000*18/AK73/100000*3600*C73</f>
        <v>#DIV/0!</v>
      </c>
      <c r="G73" s="72" t="n">
        <v>-1.5</v>
      </c>
      <c r="H73" s="72" t="n">
        <v>0</v>
      </c>
      <c r="I73" s="75" t="e">
        <f aca="false">E73/(H73-G73)</f>
        <v>#DIV/0!</v>
      </c>
      <c r="J73" s="75" t="e">
        <f aca="false">I73*C73</f>
        <v>#DIV/0!</v>
      </c>
      <c r="K73" s="75" t="e">
        <f aca="false">1/I73</f>
        <v>#DIV/0!</v>
      </c>
      <c r="L73" s="75" t="e">
        <f aca="false">1/J73</f>
        <v>#DIV/0!</v>
      </c>
      <c r="M73" s="526" t="e">
        <f aca="false">1/(1/'Allometric tree'!I73*'Allometric tree'!BF73/100)</f>
        <v>#DIV/0!</v>
      </c>
      <c r="N73" s="526" t="e">
        <f aca="false">1/(1/'Allometric tree'!I73*'Allometric tree'!BG73/100)</f>
        <v>#DIV/0!</v>
      </c>
      <c r="O73" s="30" t="e">
        <f aca="false">1/(1/'Allometric tree'!I73*'Allometric tree'!BH73/100)</f>
        <v>#DIV/0!</v>
      </c>
      <c r="P73" s="30" t="e">
        <f aca="false">1/(1/'Allometric tree'!I73*'Allometric tree'!BI73/100)</f>
        <v>#DIV/0!</v>
      </c>
      <c r="Q73" s="30" t="e">
        <f aca="false">1/(1/'Allometric tree'!I73*'Allometric tree'!BJ73/100)</f>
        <v>#DIV/0!</v>
      </c>
      <c r="R73" s="526" t="e">
        <f aca="false">1/(1/'Allometric tree'!I73*'Allometric tree'!BK73/100)</f>
        <v>#DIV/0!</v>
      </c>
      <c r="S73" s="30" t="e">
        <f aca="false">M73*'Allometric tree'!C73</f>
        <v>#DIV/0!</v>
      </c>
      <c r="T73" s="30" t="e">
        <f aca="false">N73*'Allometric tree'!C73</f>
        <v>#DIV/0!</v>
      </c>
      <c r="U73" s="526" t="e">
        <f aca="false">O73*'Allometric tree'!C73</f>
        <v>#DIV/0!</v>
      </c>
      <c r="V73" s="526" t="e">
        <f aca="false">P73*'Allometric tree'!C73</f>
        <v>#DIV/0!</v>
      </c>
      <c r="W73" s="526" t="e">
        <f aca="false">Q73*'Allometric tree'!C73</f>
        <v>#DIV/0!</v>
      </c>
      <c r="X73" s="30" t="e">
        <f aca="false">R73*'Allometric tree'!C73</f>
        <v>#DIV/0!</v>
      </c>
      <c r="Y73" s="525" t="n">
        <f aca="false">'sureau_ini.txt'!DG60</f>
        <v>0</v>
      </c>
      <c r="Z73" s="527" t="e">
        <f aca="false">AK73/C73</f>
        <v>#DIV/0!</v>
      </c>
      <c r="AA73" s="525" t="n">
        <f aca="false">'sureau_ini.txt'!DE60</f>
        <v>0</v>
      </c>
      <c r="AB73" s="525" t="n">
        <f aca="false">'sureau_ini.txt'!DF60</f>
        <v>0</v>
      </c>
      <c r="AC73" s="525" t="n">
        <v>1</v>
      </c>
      <c r="AD73" s="72" t="n">
        <v>0.1</v>
      </c>
      <c r="AE73" s="525" t="n">
        <f aca="false">'sureau_ini.txt'!$E$21</f>
        <v>1</v>
      </c>
      <c r="AF73" s="525" t="n">
        <f aca="false">'sureau_ini.txt'!DC60+'sureau_ini.txt'!CU60</f>
        <v>0</v>
      </c>
      <c r="AG73" s="525" t="n">
        <f aca="false">'sureau_ini.txt'!DC60</f>
        <v>0</v>
      </c>
      <c r="AH73" s="525" t="n">
        <f aca="false">'sureau_ini.txt'!DD60*100</f>
        <v>0</v>
      </c>
      <c r="AI73" s="75" t="n">
        <f aca="false">AH73/2*Y73</f>
        <v>0</v>
      </c>
      <c r="AJ73" s="75" t="e">
        <f aca="false">100*(AH73/100-SQRT(AH73/100*AH73/100-4*AW73/1000/AG73/3.1416))/2</f>
        <v>#DIV/0!</v>
      </c>
      <c r="AK73" s="75" t="n">
        <f aca="false">(3.1416/4*(AH73^2)-3.1416*(AH73/2-AI73)^2)/10000</f>
        <v>0</v>
      </c>
      <c r="AL73" s="75" t="n">
        <f aca="false">AK73*AF73</f>
        <v>0</v>
      </c>
      <c r="AM73" s="75" t="n">
        <f aca="false">AL73*AA73*1000</f>
        <v>0</v>
      </c>
      <c r="AN73" s="75" t="n">
        <f aca="false">AL73*1000*AB73</f>
        <v>0</v>
      </c>
      <c r="AO73" s="75" t="n">
        <f aca="false">AK73*AG73</f>
        <v>0</v>
      </c>
      <c r="AP73" s="75" t="e">
        <f aca="false">AH73*AH73*3.1416/4/C73</f>
        <v>#DIV/0!</v>
      </c>
      <c r="AQ73" s="75" t="e">
        <f aca="false">AK73*10000/C73</f>
        <v>#DIV/0!</v>
      </c>
      <c r="AR73" s="525" t="n">
        <f aca="false">('sureau_ini.txt'!CP60/2*'sureau_ini.txt'!CP60/2*3.1416)</f>
        <v>0</v>
      </c>
      <c r="AS73" s="525" t="e">
        <f aca="false">C73/AR73</f>
        <v>#DIV/0!</v>
      </c>
      <c r="AT73" s="75" t="e">
        <f aca="false">10000/AR73</f>
        <v>#DIV/0!</v>
      </c>
      <c r="AU73" s="75" t="e">
        <f aca="false">AH73*AH73*3.1416/4/10000*AT73</f>
        <v>#DIV/0!</v>
      </c>
      <c r="AV73" s="528" t="n">
        <f aca="false">AO73*AA73*1000</f>
        <v>0</v>
      </c>
      <c r="AW73" s="528" t="n">
        <f aca="false">AO73*1000*AB73</f>
        <v>0</v>
      </c>
      <c r="AX73" s="528" t="n">
        <f aca="false">AM73-AV73</f>
        <v>0</v>
      </c>
      <c r="AY73" s="528" t="n">
        <f aca="false">AN73-AW73</f>
        <v>0</v>
      </c>
      <c r="AZ73" s="528" t="n">
        <f aca="false">AM73*AC73</f>
        <v>0</v>
      </c>
      <c r="BA73" s="528" t="n">
        <f aca="false">AN73*AC73</f>
        <v>0</v>
      </c>
      <c r="BB73" s="528" t="n">
        <f aca="false">3.1416*AH73*AG73/100</f>
        <v>0</v>
      </c>
      <c r="BC73" s="528" t="n">
        <f aca="false">C73*AD73</f>
        <v>0</v>
      </c>
      <c r="BD73" s="528" t="n">
        <f aca="false">C73*AE73</f>
        <v>0</v>
      </c>
      <c r="BE73" s="528" t="n">
        <f aca="false">BD73+BC73*AC73</f>
        <v>0</v>
      </c>
      <c r="BF73" s="72" t="n">
        <v>20</v>
      </c>
      <c r="BG73" s="72" t="n">
        <v>20</v>
      </c>
      <c r="BH73" s="72" t="n">
        <v>8</v>
      </c>
      <c r="BI73" s="72" t="n">
        <v>2</v>
      </c>
      <c r="BJ73" s="72" t="n">
        <v>10</v>
      </c>
      <c r="BK73" s="72" t="n">
        <v>40</v>
      </c>
      <c r="BL73" s="75" t="n">
        <f aca="false">SUM(BF73:BI73)</f>
        <v>50</v>
      </c>
      <c r="BM73" s="75" t="n">
        <f aca="false">BJ73+BK73</f>
        <v>50</v>
      </c>
      <c r="BN73" s="75" t="n">
        <f aca="false">SUM(BF73:BK73)</f>
        <v>100</v>
      </c>
      <c r="BO73" s="0" t="n">
        <f aca="false">AV73+AW73+AX73+AY73+AZ73+BA73+C73*'sureau_ini.txt'!EI60/1000</f>
        <v>0</v>
      </c>
      <c r="BP73" s="0" t="n">
        <f aca="false">AV73+AX73+AZ73 +C73*'sureau_ini.txt'!EI60*'sureau_ini.txt'!EJ60/1000</f>
        <v>0</v>
      </c>
      <c r="BQ73" s="0" t="n">
        <f aca="false">BO73-BP73</f>
        <v>0</v>
      </c>
    </row>
    <row r="74" customFormat="false" ht="15.75" hidden="false" customHeight="false" outlineLevel="0" collapsed="false">
      <c r="A74" s="0" t="n">
        <f aca="false">'sureau_ini.txt'!A61</f>
        <v>0</v>
      </c>
      <c r="B74" s="525" t="n">
        <f aca="false">VPD_max</f>
        <v>1.26741256491017</v>
      </c>
      <c r="C74" s="525" t="n">
        <f aca="false">'sureau_ini.txt'!DZ61</f>
        <v>0</v>
      </c>
      <c r="D74" s="525" t="e">
        <f aca="false">(1/(1/'sureau_ini.txt'!EU61+1/(1.5*(0.00662*('sureau_ini.txt'!AG61/'sureau_ini.txt'!DU61*1000)^0.5)*1000*40)+1/'sureau_ini.txt'!EN61)*B74/101.6)</f>
        <v>#DIV/0!</v>
      </c>
      <c r="E74" s="525" t="e">
        <f aca="false">'sureau_ini.txt'!CQ61/(1/'sureau_ini.txt'!EU61+1/(1.5*(0.00662*('sureau_ini.txt'!AG61/'sureau_ini.txt'!DU61*1000)^0.5)*1000*40)+1/'sureau_ini.txt'!EN61)*B74/101.6 + 'sureau_ini.txt'!CR61/(1/'sureau_ini.txt'!EV61+1/(1.5*(0.00662*('sureau_ini.txt'!AG61/'sureau_ini.txt'!DU61*1000)^0.5)*1000*40)+1/'sureau_ini.txt'!EN61)*B74/101.6 + 'sureau_ini.txt'!CS61/(1/'sureau_ini.txt'!EW61+1/(1.5*(0.00662*('sureau_ini.txt'!AG61/'sureau_ini.txt'!DU61*1000)^0.5)*1000*40)+1/'sureau_ini.txt'!EN61)*B74/101.6</f>
        <v>#DIV/0!</v>
      </c>
      <c r="F74" s="75" t="e">
        <f aca="false">E74/1000*18/AK74/100000*3600*C74</f>
        <v>#DIV/0!</v>
      </c>
      <c r="G74" s="72" t="n">
        <v>-1.5</v>
      </c>
      <c r="H74" s="72" t="n">
        <v>0</v>
      </c>
      <c r="I74" s="75" t="e">
        <f aca="false">E74/(H74-G74)</f>
        <v>#DIV/0!</v>
      </c>
      <c r="J74" s="75" t="e">
        <f aca="false">I74*C74</f>
        <v>#DIV/0!</v>
      </c>
      <c r="K74" s="75" t="e">
        <f aca="false">1/I74</f>
        <v>#DIV/0!</v>
      </c>
      <c r="L74" s="75" t="e">
        <f aca="false">1/J74</f>
        <v>#DIV/0!</v>
      </c>
      <c r="M74" s="526" t="e">
        <f aca="false">1/(1/'Allometric tree'!I74*'Allometric tree'!BF74/100)</f>
        <v>#DIV/0!</v>
      </c>
      <c r="N74" s="526" t="e">
        <f aca="false">1/(1/'Allometric tree'!I74*'Allometric tree'!BG74/100)</f>
        <v>#DIV/0!</v>
      </c>
      <c r="O74" s="30" t="e">
        <f aca="false">1/(1/'Allometric tree'!I74*'Allometric tree'!BH74/100)</f>
        <v>#DIV/0!</v>
      </c>
      <c r="P74" s="30" t="e">
        <f aca="false">1/(1/'Allometric tree'!I74*'Allometric tree'!BI74/100)</f>
        <v>#DIV/0!</v>
      </c>
      <c r="Q74" s="30" t="e">
        <f aca="false">1/(1/'Allometric tree'!I74*'Allometric tree'!BJ74/100)</f>
        <v>#DIV/0!</v>
      </c>
      <c r="R74" s="526" t="e">
        <f aca="false">1/(1/'Allometric tree'!I74*'Allometric tree'!BK74/100)</f>
        <v>#DIV/0!</v>
      </c>
      <c r="S74" s="30" t="e">
        <f aca="false">M74*'Allometric tree'!C74</f>
        <v>#DIV/0!</v>
      </c>
      <c r="T74" s="30" t="e">
        <f aca="false">N74*'Allometric tree'!C74</f>
        <v>#DIV/0!</v>
      </c>
      <c r="U74" s="526" t="e">
        <f aca="false">O74*'Allometric tree'!C74</f>
        <v>#DIV/0!</v>
      </c>
      <c r="V74" s="526" t="e">
        <f aca="false">P74*'Allometric tree'!C74</f>
        <v>#DIV/0!</v>
      </c>
      <c r="W74" s="526" t="e">
        <f aca="false">Q74*'Allometric tree'!C74</f>
        <v>#DIV/0!</v>
      </c>
      <c r="X74" s="30" t="e">
        <f aca="false">R74*'Allometric tree'!C74</f>
        <v>#DIV/0!</v>
      </c>
      <c r="Y74" s="525" t="n">
        <f aca="false">'sureau_ini.txt'!DG61</f>
        <v>0</v>
      </c>
      <c r="Z74" s="527" t="e">
        <f aca="false">AK74/C74</f>
        <v>#DIV/0!</v>
      </c>
      <c r="AA74" s="525" t="n">
        <f aca="false">'sureau_ini.txt'!DE61</f>
        <v>0</v>
      </c>
      <c r="AB74" s="525" t="n">
        <f aca="false">'sureau_ini.txt'!DF61</f>
        <v>0</v>
      </c>
      <c r="AC74" s="525" t="n">
        <v>1</v>
      </c>
      <c r="AD74" s="72" t="n">
        <v>0.1</v>
      </c>
      <c r="AE74" s="525" t="n">
        <f aca="false">'sureau_ini.txt'!$E$21</f>
        <v>1</v>
      </c>
      <c r="AF74" s="525" t="n">
        <f aca="false">'sureau_ini.txt'!DC61+'sureau_ini.txt'!CU61</f>
        <v>0</v>
      </c>
      <c r="AG74" s="525" t="n">
        <f aca="false">'sureau_ini.txt'!DC61</f>
        <v>0</v>
      </c>
      <c r="AH74" s="525" t="n">
        <f aca="false">'sureau_ini.txt'!DD61*100</f>
        <v>0</v>
      </c>
      <c r="AI74" s="75" t="n">
        <f aca="false">AH74/2*Y74</f>
        <v>0</v>
      </c>
      <c r="AJ74" s="75" t="e">
        <f aca="false">100*(AH74/100-SQRT(AH74/100*AH74/100-4*AW74/1000/AG74/3.1416))/2</f>
        <v>#DIV/0!</v>
      </c>
      <c r="AK74" s="75" t="n">
        <f aca="false">(3.1416/4*(AH74^2)-3.1416*(AH74/2-AI74)^2)/10000</f>
        <v>0</v>
      </c>
      <c r="AL74" s="75" t="n">
        <f aca="false">AK74*AF74</f>
        <v>0</v>
      </c>
      <c r="AM74" s="75" t="n">
        <f aca="false">AL74*AA74*1000</f>
        <v>0</v>
      </c>
      <c r="AN74" s="75" t="n">
        <f aca="false">AL74*1000*AB74</f>
        <v>0</v>
      </c>
      <c r="AO74" s="75" t="n">
        <f aca="false">AK74*AG74</f>
        <v>0</v>
      </c>
      <c r="AP74" s="75" t="e">
        <f aca="false">AH74*AH74*3.1416/4/C74</f>
        <v>#DIV/0!</v>
      </c>
      <c r="AQ74" s="75" t="e">
        <f aca="false">AK74*10000/C74</f>
        <v>#DIV/0!</v>
      </c>
      <c r="AR74" s="525" t="n">
        <f aca="false">('sureau_ini.txt'!CP61/2*'sureau_ini.txt'!CP61/2*3.1416)</f>
        <v>0</v>
      </c>
      <c r="AS74" s="525" t="e">
        <f aca="false">C74/AR74</f>
        <v>#DIV/0!</v>
      </c>
      <c r="AT74" s="75" t="e">
        <f aca="false">10000/AR74</f>
        <v>#DIV/0!</v>
      </c>
      <c r="AU74" s="75" t="e">
        <f aca="false">AH74*AH74*3.1416/4/10000*AT74</f>
        <v>#DIV/0!</v>
      </c>
      <c r="AV74" s="528" t="n">
        <f aca="false">AO74*AA74*1000</f>
        <v>0</v>
      </c>
      <c r="AW74" s="528" t="n">
        <f aca="false">AO74*1000*AB74</f>
        <v>0</v>
      </c>
      <c r="AX74" s="528" t="n">
        <f aca="false">AM74-AV74</f>
        <v>0</v>
      </c>
      <c r="AY74" s="528" t="n">
        <f aca="false">AN74-AW74</f>
        <v>0</v>
      </c>
      <c r="AZ74" s="528" t="n">
        <f aca="false">AM74*AC74</f>
        <v>0</v>
      </c>
      <c r="BA74" s="528" t="n">
        <f aca="false">AN74*AC74</f>
        <v>0</v>
      </c>
      <c r="BB74" s="528" t="n">
        <f aca="false">3.1416*AH74*AG74/100</f>
        <v>0</v>
      </c>
      <c r="BC74" s="528" t="n">
        <f aca="false">C74*AD74</f>
        <v>0</v>
      </c>
      <c r="BD74" s="528" t="n">
        <f aca="false">C74*AE74</f>
        <v>0</v>
      </c>
      <c r="BE74" s="528" t="n">
        <f aca="false">BD74+BC74*AC74</f>
        <v>0</v>
      </c>
      <c r="BF74" s="72" t="n">
        <v>20</v>
      </c>
      <c r="BG74" s="72" t="n">
        <v>20</v>
      </c>
      <c r="BH74" s="72" t="n">
        <v>8</v>
      </c>
      <c r="BI74" s="72" t="n">
        <v>2</v>
      </c>
      <c r="BJ74" s="72" t="n">
        <v>10</v>
      </c>
      <c r="BK74" s="72" t="n">
        <v>40</v>
      </c>
      <c r="BL74" s="75" t="n">
        <f aca="false">SUM(BF74:BI74)</f>
        <v>50</v>
      </c>
      <c r="BM74" s="75" t="n">
        <f aca="false">BJ74+BK74</f>
        <v>50</v>
      </c>
      <c r="BN74" s="75" t="n">
        <f aca="false">SUM(BF74:BK74)</f>
        <v>100</v>
      </c>
      <c r="BO74" s="0" t="n">
        <f aca="false">AV74+AW74+AX74+AY74+AZ74+BA74+C74*'sureau_ini.txt'!EI61/1000</f>
        <v>0</v>
      </c>
      <c r="BP74" s="0" t="n">
        <f aca="false">AV74+AX74+AZ74 +C74*'sureau_ini.txt'!EI61*'sureau_ini.txt'!EJ61/1000</f>
        <v>0</v>
      </c>
      <c r="BQ74" s="0" t="n">
        <f aca="false">BO74-BP74</f>
        <v>0</v>
      </c>
    </row>
    <row r="75" customFormat="false" ht="15.75" hidden="false" customHeight="false" outlineLevel="0" collapsed="false">
      <c r="A75" s="0" t="n">
        <f aca="false">'sureau_ini.txt'!A62</f>
        <v>0</v>
      </c>
      <c r="B75" s="525" t="n">
        <f aca="false">VPD_max</f>
        <v>1.26741256491017</v>
      </c>
      <c r="C75" s="525" t="n">
        <f aca="false">'sureau_ini.txt'!DZ62</f>
        <v>0</v>
      </c>
      <c r="D75" s="525" t="e">
        <f aca="false">(1/(1/'sureau_ini.txt'!EU62+1/(1.5*(0.00662*('sureau_ini.txt'!AG62/'sureau_ini.txt'!DU62*1000)^0.5)*1000*40)+1/'sureau_ini.txt'!EN62)*B75/101.6)</f>
        <v>#DIV/0!</v>
      </c>
      <c r="E75" s="525" t="e">
        <f aca="false">'sureau_ini.txt'!CQ62/(1/'sureau_ini.txt'!EU62+1/(1.5*(0.00662*('sureau_ini.txt'!AG62/'sureau_ini.txt'!DU62*1000)^0.5)*1000*40)+1/'sureau_ini.txt'!EN62)*B75/101.6 + 'sureau_ini.txt'!CR62/(1/'sureau_ini.txt'!EV62+1/(1.5*(0.00662*('sureau_ini.txt'!AG62/'sureau_ini.txt'!DU62*1000)^0.5)*1000*40)+1/'sureau_ini.txt'!EN62)*B75/101.6 + 'sureau_ini.txt'!CS62/(1/'sureau_ini.txt'!EW62+1/(1.5*(0.00662*('sureau_ini.txt'!AG62/'sureau_ini.txt'!DU62*1000)^0.5)*1000*40)+1/'sureau_ini.txt'!EN62)*B75/101.6</f>
        <v>#DIV/0!</v>
      </c>
      <c r="F75" s="75" t="e">
        <f aca="false">E75/1000*18/AK75/100000*3600*C75</f>
        <v>#DIV/0!</v>
      </c>
      <c r="G75" s="72" t="n">
        <v>-1.5</v>
      </c>
      <c r="H75" s="72" t="n">
        <v>0</v>
      </c>
      <c r="I75" s="75" t="e">
        <f aca="false">E75/(H75-G75)</f>
        <v>#DIV/0!</v>
      </c>
      <c r="J75" s="75" t="e">
        <f aca="false">I75*C75</f>
        <v>#DIV/0!</v>
      </c>
      <c r="K75" s="75" t="e">
        <f aca="false">1/I75</f>
        <v>#DIV/0!</v>
      </c>
      <c r="L75" s="75" t="e">
        <f aca="false">1/J75</f>
        <v>#DIV/0!</v>
      </c>
      <c r="M75" s="526" t="e">
        <f aca="false">1/(1/'Allometric tree'!I75*'Allometric tree'!BF75/100)</f>
        <v>#DIV/0!</v>
      </c>
      <c r="N75" s="526" t="e">
        <f aca="false">1/(1/'Allometric tree'!I75*'Allometric tree'!BG75/100)</f>
        <v>#DIV/0!</v>
      </c>
      <c r="O75" s="30" t="e">
        <f aca="false">1/(1/'Allometric tree'!I75*'Allometric tree'!BH75/100)</f>
        <v>#DIV/0!</v>
      </c>
      <c r="P75" s="30" t="e">
        <f aca="false">1/(1/'Allometric tree'!I75*'Allometric tree'!BI75/100)</f>
        <v>#DIV/0!</v>
      </c>
      <c r="Q75" s="30" t="e">
        <f aca="false">1/(1/'Allometric tree'!I75*'Allometric tree'!BJ75/100)</f>
        <v>#DIV/0!</v>
      </c>
      <c r="R75" s="526" t="e">
        <f aca="false">1/(1/'Allometric tree'!I75*'Allometric tree'!BK75/100)</f>
        <v>#DIV/0!</v>
      </c>
      <c r="S75" s="30" t="e">
        <f aca="false">M75*'Allometric tree'!C75</f>
        <v>#DIV/0!</v>
      </c>
      <c r="T75" s="30" t="e">
        <f aca="false">N75*'Allometric tree'!C75</f>
        <v>#DIV/0!</v>
      </c>
      <c r="U75" s="526" t="e">
        <f aca="false">O75*'Allometric tree'!C75</f>
        <v>#DIV/0!</v>
      </c>
      <c r="V75" s="526" t="e">
        <f aca="false">P75*'Allometric tree'!C75</f>
        <v>#DIV/0!</v>
      </c>
      <c r="W75" s="526" t="e">
        <f aca="false">Q75*'Allometric tree'!C75</f>
        <v>#DIV/0!</v>
      </c>
      <c r="X75" s="30" t="e">
        <f aca="false">R75*'Allometric tree'!C75</f>
        <v>#DIV/0!</v>
      </c>
      <c r="Y75" s="525" t="n">
        <f aca="false">'sureau_ini.txt'!DG62</f>
        <v>0</v>
      </c>
      <c r="Z75" s="527" t="e">
        <f aca="false">AK75/C75</f>
        <v>#DIV/0!</v>
      </c>
      <c r="AA75" s="525" t="n">
        <f aca="false">'sureau_ini.txt'!DE62</f>
        <v>0</v>
      </c>
      <c r="AB75" s="525" t="n">
        <f aca="false">'sureau_ini.txt'!DF62</f>
        <v>0</v>
      </c>
      <c r="AC75" s="525" t="n">
        <v>1</v>
      </c>
      <c r="AD75" s="72" t="n">
        <v>0.1</v>
      </c>
      <c r="AE75" s="525" t="n">
        <f aca="false">'sureau_ini.txt'!$E$21</f>
        <v>1</v>
      </c>
      <c r="AF75" s="525" t="n">
        <f aca="false">'sureau_ini.txt'!DC62+'sureau_ini.txt'!CU62</f>
        <v>0</v>
      </c>
      <c r="AG75" s="525" t="n">
        <f aca="false">'sureau_ini.txt'!DC62</f>
        <v>0</v>
      </c>
      <c r="AH75" s="525" t="n">
        <f aca="false">'sureau_ini.txt'!DD62*100</f>
        <v>0</v>
      </c>
      <c r="AI75" s="75" t="n">
        <f aca="false">AH75/2*Y75</f>
        <v>0</v>
      </c>
      <c r="AJ75" s="75" t="e">
        <f aca="false">100*(AH75/100-SQRT(AH75/100*AH75/100-4*AW75/1000/AG75/3.1416))/2</f>
        <v>#DIV/0!</v>
      </c>
      <c r="AK75" s="75" t="n">
        <f aca="false">(3.1416/4*(AH75^2)-3.1416*(AH75/2-AI75)^2)/10000</f>
        <v>0</v>
      </c>
      <c r="AL75" s="75" t="n">
        <f aca="false">AK75*AF75</f>
        <v>0</v>
      </c>
      <c r="AM75" s="75" t="n">
        <f aca="false">AL75*AA75*1000</f>
        <v>0</v>
      </c>
      <c r="AN75" s="75" t="n">
        <f aca="false">AL75*1000*AB75</f>
        <v>0</v>
      </c>
      <c r="AO75" s="75" t="n">
        <f aca="false">AK75*AG75</f>
        <v>0</v>
      </c>
      <c r="AP75" s="75" t="e">
        <f aca="false">AH75*AH75*3.1416/4/C75</f>
        <v>#DIV/0!</v>
      </c>
      <c r="AQ75" s="75" t="e">
        <f aca="false">AK75*10000/C75</f>
        <v>#DIV/0!</v>
      </c>
      <c r="AR75" s="525" t="n">
        <f aca="false">('sureau_ini.txt'!CP62/2*'sureau_ini.txt'!CP62/2*3.1416)</f>
        <v>0</v>
      </c>
      <c r="AS75" s="525" t="e">
        <f aca="false">C75/AR75</f>
        <v>#DIV/0!</v>
      </c>
      <c r="AT75" s="75" t="e">
        <f aca="false">10000/AR75</f>
        <v>#DIV/0!</v>
      </c>
      <c r="AU75" s="75" t="e">
        <f aca="false">AH75*AH75*3.1416/4/10000*AT75</f>
        <v>#DIV/0!</v>
      </c>
      <c r="AV75" s="528" t="n">
        <f aca="false">AO75*AA75*1000</f>
        <v>0</v>
      </c>
      <c r="AW75" s="528" t="n">
        <f aca="false">AO75*1000*AB75</f>
        <v>0</v>
      </c>
      <c r="AX75" s="528" t="n">
        <f aca="false">AM75-AV75</f>
        <v>0</v>
      </c>
      <c r="AY75" s="528" t="n">
        <f aca="false">AN75-AW75</f>
        <v>0</v>
      </c>
      <c r="AZ75" s="528" t="n">
        <f aca="false">AM75*AC75</f>
        <v>0</v>
      </c>
      <c r="BA75" s="528" t="n">
        <f aca="false">AN75*AC75</f>
        <v>0</v>
      </c>
      <c r="BB75" s="528" t="n">
        <f aca="false">3.1416*AH75*AG75/100</f>
        <v>0</v>
      </c>
      <c r="BC75" s="528" t="n">
        <f aca="false">C75*AD75</f>
        <v>0</v>
      </c>
      <c r="BD75" s="528" t="n">
        <f aca="false">C75*AE75</f>
        <v>0</v>
      </c>
      <c r="BE75" s="528" t="n">
        <f aca="false">BD75+BC75*AC75</f>
        <v>0</v>
      </c>
      <c r="BF75" s="72" t="n">
        <v>20</v>
      </c>
      <c r="BG75" s="72" t="n">
        <v>20</v>
      </c>
      <c r="BH75" s="72" t="n">
        <v>8</v>
      </c>
      <c r="BI75" s="72" t="n">
        <v>2</v>
      </c>
      <c r="BJ75" s="72" t="n">
        <v>10</v>
      </c>
      <c r="BK75" s="72" t="n">
        <v>40</v>
      </c>
      <c r="BL75" s="75" t="n">
        <f aca="false">SUM(BF75:BI75)</f>
        <v>50</v>
      </c>
      <c r="BM75" s="75" t="n">
        <f aca="false">BJ75+BK75</f>
        <v>50</v>
      </c>
      <c r="BN75" s="75" t="n">
        <f aca="false">SUM(BF75:BK75)</f>
        <v>100</v>
      </c>
      <c r="BO75" s="0" t="n">
        <f aca="false">AV75+AW75+AX75+AY75+AZ75+BA75+C75*'sureau_ini.txt'!EI62/1000</f>
        <v>0</v>
      </c>
      <c r="BP75" s="0" t="n">
        <f aca="false">AV75+AX75+AZ75 +C75*'sureau_ini.txt'!EI62*'sureau_ini.txt'!EJ62/1000</f>
        <v>0</v>
      </c>
      <c r="BQ75" s="0" t="n">
        <f aca="false">BO75-BP75</f>
        <v>0</v>
      </c>
    </row>
    <row r="76" customFormat="false" ht="15.75" hidden="false" customHeight="false" outlineLevel="0" collapsed="false">
      <c r="A76" s="0" t="n">
        <f aca="false">'sureau_ini.txt'!A63</f>
        <v>0</v>
      </c>
      <c r="B76" s="525" t="n">
        <f aca="false">VPD_max</f>
        <v>1.26741256491017</v>
      </c>
      <c r="C76" s="525" t="n">
        <f aca="false">'sureau_ini.txt'!DZ63</f>
        <v>0</v>
      </c>
      <c r="D76" s="525" t="e">
        <f aca="false">(1/(1/'sureau_ini.txt'!EU63+1/(1.5*(0.00662*('sureau_ini.txt'!AG63/'sureau_ini.txt'!DU63*1000)^0.5)*1000*40)+1/'sureau_ini.txt'!EN63)*B76/101.6)</f>
        <v>#DIV/0!</v>
      </c>
      <c r="E76" s="525" t="e">
        <f aca="false">'sureau_ini.txt'!CQ63/(1/'sureau_ini.txt'!EU63+1/(1.5*(0.00662*('sureau_ini.txt'!AG63/'sureau_ini.txt'!DU63*1000)^0.5)*1000*40)+1/'sureau_ini.txt'!EN63)*B76/101.6 + 'sureau_ini.txt'!CR63/(1/'sureau_ini.txt'!EV63+1/(1.5*(0.00662*('sureau_ini.txt'!AG63/'sureau_ini.txt'!DU63*1000)^0.5)*1000*40)+1/'sureau_ini.txt'!EN63)*B76/101.6 + 'sureau_ini.txt'!CS63/(1/'sureau_ini.txt'!EW63+1/(1.5*(0.00662*('sureau_ini.txt'!AG63/'sureau_ini.txt'!DU63*1000)^0.5)*1000*40)+1/'sureau_ini.txt'!EN63)*B76/101.6</f>
        <v>#DIV/0!</v>
      </c>
      <c r="F76" s="75" t="e">
        <f aca="false">E76/1000*18/AK76/100000*3600*C76</f>
        <v>#DIV/0!</v>
      </c>
      <c r="G76" s="72" t="n">
        <v>-1.5</v>
      </c>
      <c r="H76" s="72" t="n">
        <v>0</v>
      </c>
      <c r="I76" s="75" t="e">
        <f aca="false">E76/(H76-G76)</f>
        <v>#DIV/0!</v>
      </c>
      <c r="J76" s="75" t="e">
        <f aca="false">I76*C76</f>
        <v>#DIV/0!</v>
      </c>
      <c r="K76" s="75" t="e">
        <f aca="false">1/I76</f>
        <v>#DIV/0!</v>
      </c>
      <c r="L76" s="75" t="e">
        <f aca="false">1/J76</f>
        <v>#DIV/0!</v>
      </c>
      <c r="M76" s="526" t="e">
        <f aca="false">1/(1/'Allometric tree'!I76*'Allometric tree'!BF76/100)</f>
        <v>#DIV/0!</v>
      </c>
      <c r="N76" s="526" t="e">
        <f aca="false">1/(1/'Allometric tree'!I76*'Allometric tree'!BG76/100)</f>
        <v>#DIV/0!</v>
      </c>
      <c r="O76" s="30" t="e">
        <f aca="false">1/(1/'Allometric tree'!I76*'Allometric tree'!BH76/100)</f>
        <v>#DIV/0!</v>
      </c>
      <c r="P76" s="30" t="e">
        <f aca="false">1/(1/'Allometric tree'!I76*'Allometric tree'!BI76/100)</f>
        <v>#DIV/0!</v>
      </c>
      <c r="Q76" s="30" t="e">
        <f aca="false">1/(1/'Allometric tree'!I76*'Allometric tree'!BJ76/100)</f>
        <v>#DIV/0!</v>
      </c>
      <c r="R76" s="526" t="e">
        <f aca="false">1/(1/'Allometric tree'!I76*'Allometric tree'!BK76/100)</f>
        <v>#DIV/0!</v>
      </c>
      <c r="S76" s="30" t="e">
        <f aca="false">M76*'Allometric tree'!C76</f>
        <v>#DIV/0!</v>
      </c>
      <c r="T76" s="30" t="e">
        <f aca="false">N76*'Allometric tree'!C76</f>
        <v>#DIV/0!</v>
      </c>
      <c r="U76" s="526" t="e">
        <f aca="false">O76*'Allometric tree'!C76</f>
        <v>#DIV/0!</v>
      </c>
      <c r="V76" s="526" t="e">
        <f aca="false">P76*'Allometric tree'!C76</f>
        <v>#DIV/0!</v>
      </c>
      <c r="W76" s="526" t="e">
        <f aca="false">Q76*'Allometric tree'!C76</f>
        <v>#DIV/0!</v>
      </c>
      <c r="X76" s="30" t="e">
        <f aca="false">R76*'Allometric tree'!C76</f>
        <v>#DIV/0!</v>
      </c>
      <c r="Y76" s="525" t="n">
        <f aca="false">'sureau_ini.txt'!DG63</f>
        <v>0</v>
      </c>
      <c r="Z76" s="527" t="e">
        <f aca="false">AK76/C76</f>
        <v>#DIV/0!</v>
      </c>
      <c r="AA76" s="525" t="n">
        <f aca="false">'sureau_ini.txt'!DE63</f>
        <v>0</v>
      </c>
      <c r="AB76" s="525" t="n">
        <f aca="false">'sureau_ini.txt'!DF63</f>
        <v>0</v>
      </c>
      <c r="AC76" s="525" t="n">
        <v>1</v>
      </c>
      <c r="AD76" s="72" t="n">
        <v>0.1</v>
      </c>
      <c r="AE76" s="525" t="n">
        <f aca="false">'sureau_ini.txt'!$E$21</f>
        <v>1</v>
      </c>
      <c r="AF76" s="525" t="n">
        <f aca="false">'sureau_ini.txt'!DC63+'sureau_ini.txt'!CU63</f>
        <v>0</v>
      </c>
      <c r="AG76" s="525" t="n">
        <f aca="false">'sureau_ini.txt'!DC63</f>
        <v>0</v>
      </c>
      <c r="AH76" s="525" t="n">
        <f aca="false">'sureau_ini.txt'!DD63*100</f>
        <v>0</v>
      </c>
      <c r="AI76" s="75" t="n">
        <f aca="false">AH76/2*Y76</f>
        <v>0</v>
      </c>
      <c r="AJ76" s="75" t="e">
        <f aca="false">100*(AH76/100-SQRT(AH76/100*AH76/100-4*AW76/1000/AG76/3.1416))/2</f>
        <v>#DIV/0!</v>
      </c>
      <c r="AK76" s="75" t="n">
        <f aca="false">(3.1416/4*(AH76^2)-3.1416*(AH76/2-AI76)^2)/10000</f>
        <v>0</v>
      </c>
      <c r="AL76" s="75" t="n">
        <f aca="false">AK76*AF76</f>
        <v>0</v>
      </c>
      <c r="AM76" s="75" t="n">
        <f aca="false">AL76*AA76*1000</f>
        <v>0</v>
      </c>
      <c r="AN76" s="75" t="n">
        <f aca="false">AL76*1000*AB76</f>
        <v>0</v>
      </c>
      <c r="AO76" s="75" t="n">
        <f aca="false">AK76*AG76</f>
        <v>0</v>
      </c>
      <c r="AP76" s="75" t="e">
        <f aca="false">AH76*AH76*3.1416/4/C76</f>
        <v>#DIV/0!</v>
      </c>
      <c r="AQ76" s="75" t="e">
        <f aca="false">AK76*10000/C76</f>
        <v>#DIV/0!</v>
      </c>
      <c r="AR76" s="525" t="n">
        <f aca="false">('sureau_ini.txt'!CP63/2*'sureau_ini.txt'!CP63/2*3.1416)</f>
        <v>0</v>
      </c>
      <c r="AS76" s="525" t="e">
        <f aca="false">C76/AR76</f>
        <v>#DIV/0!</v>
      </c>
      <c r="AT76" s="75" t="e">
        <f aca="false">10000/AR76</f>
        <v>#DIV/0!</v>
      </c>
      <c r="AU76" s="75" t="e">
        <f aca="false">AH76*AH76*3.1416/4/10000*AT76</f>
        <v>#DIV/0!</v>
      </c>
      <c r="AV76" s="528" t="n">
        <f aca="false">AO76*AA76*1000</f>
        <v>0</v>
      </c>
      <c r="AW76" s="528" t="n">
        <f aca="false">AO76*1000*AB76</f>
        <v>0</v>
      </c>
      <c r="AX76" s="528" t="n">
        <f aca="false">AM76-AV76</f>
        <v>0</v>
      </c>
      <c r="AY76" s="528" t="n">
        <f aca="false">AN76-AW76</f>
        <v>0</v>
      </c>
      <c r="AZ76" s="528" t="n">
        <f aca="false">AM76*AC76</f>
        <v>0</v>
      </c>
      <c r="BA76" s="528" t="n">
        <f aca="false">AN76*AC76</f>
        <v>0</v>
      </c>
      <c r="BB76" s="528" t="n">
        <f aca="false">3.1416*AH76*AG76/100</f>
        <v>0</v>
      </c>
      <c r="BC76" s="528" t="n">
        <f aca="false">C76*AD76</f>
        <v>0</v>
      </c>
      <c r="BD76" s="528" t="n">
        <f aca="false">C76*AE76</f>
        <v>0</v>
      </c>
      <c r="BE76" s="528" t="n">
        <f aca="false">BD76+BC76*AC76</f>
        <v>0</v>
      </c>
      <c r="BF76" s="72" t="n">
        <v>20</v>
      </c>
      <c r="BG76" s="72" t="n">
        <v>20</v>
      </c>
      <c r="BH76" s="72" t="n">
        <v>8</v>
      </c>
      <c r="BI76" s="72" t="n">
        <v>2</v>
      </c>
      <c r="BJ76" s="72" t="n">
        <v>10</v>
      </c>
      <c r="BK76" s="72" t="n">
        <v>40</v>
      </c>
      <c r="BL76" s="75" t="n">
        <f aca="false">SUM(BF76:BI76)</f>
        <v>50</v>
      </c>
      <c r="BM76" s="75" t="n">
        <f aca="false">BJ76+BK76</f>
        <v>50</v>
      </c>
      <c r="BN76" s="75" t="n">
        <f aca="false">SUM(BF76:BK76)</f>
        <v>100</v>
      </c>
      <c r="BO76" s="0" t="n">
        <f aca="false">AV76+AW76+AX76+AY76+AZ76+BA76+C76*'sureau_ini.txt'!EI63/1000</f>
        <v>0</v>
      </c>
      <c r="BP76" s="0" t="n">
        <f aca="false">AV76+AX76+AZ76 +C76*'sureau_ini.txt'!EI63*'sureau_ini.txt'!EJ63/1000</f>
        <v>0</v>
      </c>
      <c r="BQ76" s="0" t="n">
        <f aca="false">BO76-BP76</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2017-11-22T07:35:25Z</dcterms:created>
  <dc:creator>Hervé Cochard</dc:creator>
  <dc:description/>
  <dc:language>en-US</dc:language>
  <cp:lastModifiedBy/>
  <dcterms:modified xsi:type="dcterms:W3CDTF">2024-07-09T21:10:29Z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