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ficio" sheetId="1" r:id="rId4"/>
    <sheet state="visible" name="vertedero" sheetId="2" r:id="rId5"/>
  </sheets>
  <definedNames/>
  <calcPr/>
  <extLst>
    <ext uri="GoogleSheetsCustomDataVersion1">
      <go:sheetsCustomData xmlns:go="http://customooxmlschemas.google.com/" r:id="rId6" roundtripDataSignature="AMtx7mikso6gjia+JUPwxafG6RSBiTgMTg=="/>
    </ext>
  </extLst>
</workbook>
</file>

<file path=xl/sharedStrings.xml><?xml version="1.0" encoding="utf-8"?>
<sst xmlns="http://schemas.openxmlformats.org/spreadsheetml/2006/main" count="112" uniqueCount="65">
  <si>
    <t>DATOS (Boquilla toroidal)</t>
  </si>
  <si>
    <t>DATOS (Boquilla Venturi)</t>
  </si>
  <si>
    <t>Li (L)</t>
  </si>
  <si>
    <t>Lf (L)</t>
  </si>
  <si>
    <t>tiempo registrado (s)</t>
  </si>
  <si>
    <t>Altura de carga h (mm)</t>
  </si>
  <si>
    <t>Altura de pitot (mm)</t>
  </si>
  <si>
    <t>Diámetro del orificio (mm)</t>
  </si>
  <si>
    <t>Diámetro de la sección contraída (mm)</t>
  </si>
  <si>
    <t>Tabla 7.1. Medidas necesarias para obtener los coeficientes de contracción, velocidad y descarga.</t>
  </si>
  <si>
    <t>Medidas necesarias para obtener los coeficientes de contracción, velocidad y descarga</t>
  </si>
  <si>
    <t>Tiempo registrado (s)</t>
  </si>
  <si>
    <t>Altura h (mm)</t>
  </si>
  <si>
    <t>Área orificio (m2)</t>
  </si>
  <si>
    <t>g (m/s2)</t>
  </si>
  <si>
    <t>Tabla 7.2. Medidas de volúmenes aforados, tiempos y alturas de agua sobre el fondo realizadas en el laboratorio.</t>
  </si>
  <si>
    <t>Caudal (m3/s)</t>
  </si>
  <si>
    <t>Altura de carga (mm)</t>
  </si>
  <si>
    <t>Coef. De descarga</t>
  </si>
  <si>
    <t>Coef de velocidad</t>
  </si>
  <si>
    <t>Diámetro del sección contraída (mm)</t>
  </si>
  <si>
    <t>Coeficiente de contracción</t>
  </si>
  <si>
    <t>Tabla 7.3. Cálculo de caudal y coeficientes de descarga, velocidad y contracción.</t>
  </si>
  <si>
    <t>DATOS</t>
  </si>
  <si>
    <t>RESULTADOS</t>
  </si>
  <si>
    <t>Altura (mm)</t>
  </si>
  <si>
    <t>raíz h</t>
  </si>
  <si>
    <t>Coeficiente de descarga</t>
  </si>
  <si>
    <t>Tabla 7.4. Cálculo de caudal y coeficientes de descarga para ocho diferentes alturas de agua h.</t>
  </si>
  <si>
    <t>VERTEDERO RECTANGULAR</t>
  </si>
  <si>
    <t>VERTEDERO TRIANGULAR</t>
  </si>
  <si>
    <t>Vi (L)</t>
  </si>
  <si>
    <t>Vf (L)</t>
  </si>
  <si>
    <t>t (s)</t>
  </si>
  <si>
    <t>H (mm)</t>
  </si>
  <si>
    <t>Pw</t>
  </si>
  <si>
    <t>Tabla 9.1. Medidas experimentales para vertedero rectangular.</t>
  </si>
  <si>
    <t>FLUJOS IDEALES</t>
  </si>
  <si>
    <t>b=</t>
  </si>
  <si>
    <t>m</t>
  </si>
  <si>
    <t>COEFS. DESCARGA</t>
  </si>
  <si>
    <t>H 3/2 (m3/2)</t>
  </si>
  <si>
    <t>Q (m3/s)</t>
  </si>
  <si>
    <t>H5/2 (m5/2)</t>
  </si>
  <si>
    <t>Q(m3/s)</t>
  </si>
  <si>
    <t>RECTANGULAR</t>
  </si>
  <si>
    <t>TRIANGULAR</t>
  </si>
  <si>
    <t>theta=</t>
  </si>
  <si>
    <t>rad</t>
  </si>
  <si>
    <t>PENDIENTES IDEALES</t>
  </si>
  <si>
    <t>AVGE</t>
  </si>
  <si>
    <t>Tabla 9.3. Valores de H3/2 frente a Q para vertedero rectangular.</t>
  </si>
  <si>
    <t>Tabla 9.4. Valores de H5/2 frente a Q para vertedero triangular</t>
  </si>
  <si>
    <t>VERTEDEROS</t>
  </si>
  <si>
    <t>H3/2-Q</t>
  </si>
  <si>
    <t>H5/2-Q</t>
  </si>
  <si>
    <t>Pendiente experimental</t>
  </si>
  <si>
    <t>Pendiente teórica</t>
  </si>
  <si>
    <t>Cd</t>
  </si>
  <si>
    <t>Tabla 9.5. Resultados del ajuste por mínimos cuadrados del gráfico 1 y valor del coeficiente de descarga bajo la suposición que 𝐶𝑑 ≠ 𝑓(𝐻).</t>
  </si>
  <si>
    <t>Tabla 9.6. Resultados del ajuste por mínimos cuadrados del gráfico 2 y valor del coeficiente de descarga bajo la suposición que 𝐶𝑑 ≠ 𝑓(H)</t>
  </si>
  <si>
    <t>H/Pw</t>
  </si>
  <si>
    <t>Cd,corr</t>
  </si>
  <si>
    <t>Tabla 9.7. Valor del coeficiente de descarga para el vertedero rectangular</t>
  </si>
  <si>
    <t>Tabla 9.8. Valor del coeficiente de descarga para el vertedero triangular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</si>
</sst>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sz val="11.0"/>
      <color rgb="FF000000"/>
      <name val="Calibri"/>
    </font>
    <font/>
    <font>
      <color theme="1"/>
      <name val="Calibri"/>
      <scheme val="minor"/>
    </font>
    <font>
      <color rgb="FF999999"/>
      <name val="Calibri"/>
      <scheme val="minor"/>
    </font>
  </fonts>
  <fills count="2">
    <fill>
      <patternFill patternType="none"/>
    </fill>
    <fill>
      <patternFill patternType="lightGray"/>
    </fill>
  </fills>
  <borders count="2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shrinkToFit="0" vertical="bottom" wrapText="1"/>
    </xf>
    <xf borderId="9" fillId="0" fontId="1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shrinkToFit="0" vertical="bottom" wrapText="1"/>
    </xf>
    <xf borderId="11" fillId="0" fontId="1" numFmtId="0" xfId="0" applyAlignment="1" applyBorder="1" applyFont="1">
      <alignment shrinkToFit="0" vertical="bottom" wrapText="1"/>
    </xf>
    <xf borderId="12" fillId="0" fontId="1" numFmtId="0" xfId="0" applyAlignment="1" applyBorder="1" applyFont="1">
      <alignment shrinkToFit="0" vertical="bottom" wrapText="1"/>
    </xf>
    <xf borderId="13" fillId="0" fontId="1" numFmtId="0" xfId="0" applyAlignment="1" applyBorder="1" applyFont="1">
      <alignment shrinkToFit="0" vertical="bottom" wrapText="1"/>
    </xf>
    <xf borderId="14" fillId="0" fontId="1" numFmtId="0" xfId="0" applyAlignment="1" applyBorder="1" applyFont="1">
      <alignment shrinkToFit="0" vertical="bottom" wrapText="1"/>
    </xf>
    <xf borderId="15" fillId="0" fontId="1" numFmtId="0" xfId="0" applyAlignment="1" applyBorder="1" applyFont="1">
      <alignment shrinkToFit="0" vertical="bottom" wrapText="1"/>
    </xf>
    <xf borderId="16" fillId="0" fontId="1" numFmtId="0" xfId="0" applyAlignment="1" applyBorder="1" applyFont="1">
      <alignment shrinkToFit="0" vertical="bottom" wrapText="1"/>
    </xf>
    <xf borderId="17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18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3" numFmtId="0" xfId="0" applyFont="1"/>
    <xf borderId="8" fillId="0" fontId="1" numFmtId="0" xfId="0" applyAlignment="1" applyBorder="1" applyFont="1">
      <alignment horizontal="center" readingOrder="0" shrinkToFit="0" vertical="bottom" wrapText="0"/>
    </xf>
    <xf borderId="10" fillId="0" fontId="2" numFmtId="0" xfId="0" applyBorder="1" applyFont="1"/>
    <xf borderId="0" fillId="0" fontId="3" numFmtId="0" xfId="0" applyAlignment="1" applyFont="1">
      <alignment horizontal="center" readingOrder="0"/>
    </xf>
    <xf borderId="12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shrinkToFit="0" vertical="bottom" wrapText="1"/>
    </xf>
    <xf borderId="11" fillId="0" fontId="1" numFmtId="0" xfId="0" applyAlignment="1" applyBorder="1" applyFont="1">
      <alignment readingOrder="0" shrinkToFit="0" vertical="bottom" wrapText="0"/>
    </xf>
    <xf borderId="20" fillId="0" fontId="1" numFmtId="0" xfId="0" applyAlignment="1" applyBorder="1" applyFont="1">
      <alignment shrinkToFit="0" vertical="bottom" wrapText="1"/>
    </xf>
    <xf borderId="21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1" fillId="0" fontId="1" numFmtId="0" xfId="0" applyAlignment="1" applyBorder="1" applyFont="1">
      <alignment shrinkToFit="0" vertical="bottom" wrapText="1"/>
    </xf>
    <xf borderId="9" fillId="0" fontId="1" numFmtId="0" xfId="0" applyAlignment="1" applyBorder="1" applyFont="1">
      <alignment horizontal="center" shrinkToFit="0" vertical="bottom" wrapText="1"/>
    </xf>
    <xf borderId="9" fillId="0" fontId="2" numFmtId="0" xfId="0" applyBorder="1" applyFont="1"/>
    <xf borderId="8" fillId="0" fontId="1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4" numFmtId="0" xfId="0" applyFont="1"/>
    <xf borderId="5" fillId="0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Rectangular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vertedero!$B$16:$B$22</c:f>
            </c:numRef>
          </c:xVal>
          <c:yVal>
            <c:numRef>
              <c:f>vertedero!$C$16:$C$22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vertedero!$B$16:$B$22</c:f>
            </c:numRef>
          </c:xVal>
          <c:yVal>
            <c:numRef>
              <c:f>vertedero!$G$16:$G$22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92162"/>
        <c:axId val="1952748354"/>
      </c:scatterChart>
      <c:valAx>
        <c:axId val="8114921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748354"/>
      </c:valAx>
      <c:valAx>
        <c:axId val="1952748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492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vertedero!$D$16:$D$22</c:f>
            </c:numRef>
          </c:xVal>
          <c:yVal>
            <c:numRef>
              <c:f>vertedero!$E$16:$E$22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vertedero!$D$16:$D$22</c:f>
            </c:numRef>
          </c:xVal>
          <c:yVal>
            <c:numRef>
              <c:f>vertedero!$H$16:$H$22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44745"/>
        <c:axId val="84989923"/>
      </c:scatterChart>
      <c:valAx>
        <c:axId val="19363447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89923"/>
      </c:valAx>
      <c:valAx>
        <c:axId val="84989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344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142875</xdr:colOff>
      <xdr:row>0</xdr:row>
      <xdr:rowOff>171450</xdr:rowOff>
    </xdr:from>
    <xdr:ext cx="5715000" cy="3533775"/>
    <xdr:graphicFrame>
      <xdr:nvGraphicFramePr>
        <xdr:cNvPr id="71594550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142875</xdr:colOff>
      <xdr:row>23</xdr:row>
      <xdr:rowOff>133350</xdr:rowOff>
    </xdr:from>
    <xdr:ext cx="5715000" cy="3533775"/>
    <xdr:graphicFrame>
      <xdr:nvGraphicFramePr>
        <xdr:cNvPr id="117802634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71"/>
    <col customWidth="1" min="3" max="3" width="23.0"/>
    <col customWidth="1" min="4" max="4" width="10.57"/>
    <col customWidth="1" min="5" max="5" width="12.43"/>
    <col customWidth="1" min="6" max="6" width="11.29"/>
    <col customWidth="1" min="7" max="7" width="10.43"/>
    <col customWidth="1" min="8" max="8" width="14.43"/>
    <col customWidth="1" min="9" max="9" width="11.29"/>
    <col customWidth="1" min="10" max="10" width="11.14"/>
    <col customWidth="1" min="11" max="11" width="11.71"/>
    <col customWidth="1" min="12" max="12" width="11.86"/>
    <col customWidth="1" min="13" max="13" width="9.57"/>
    <col customWidth="1" min="14" max="14" width="10.29"/>
    <col customWidth="1" min="15" max="15" width="14.14"/>
    <col customWidth="1" min="16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2" t="s">
        <v>0</v>
      </c>
      <c r="C2" s="3"/>
      <c r="D2" s="3"/>
      <c r="E2" s="3"/>
      <c r="F2" s="3"/>
      <c r="G2" s="3"/>
      <c r="H2" s="4"/>
      <c r="I2" s="2" t="s">
        <v>1</v>
      </c>
      <c r="J2" s="3"/>
      <c r="K2" s="3"/>
      <c r="L2" s="3"/>
      <c r="M2" s="3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51.0" customHeight="1">
      <c r="A3" s="1"/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7" t="s">
        <v>8</v>
      </c>
      <c r="I3" s="5" t="s">
        <v>2</v>
      </c>
      <c r="J3" s="6" t="s">
        <v>3</v>
      </c>
      <c r="K3" s="6" t="s">
        <v>4</v>
      </c>
      <c r="L3" s="6" t="s">
        <v>5</v>
      </c>
      <c r="M3" s="6" t="s">
        <v>6</v>
      </c>
      <c r="N3" s="6" t="s">
        <v>7</v>
      </c>
      <c r="O3" s="7" t="s">
        <v>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>
        <v>0.0</v>
      </c>
      <c r="C4" s="9">
        <v>5.0</v>
      </c>
      <c r="D4" s="9">
        <v>19.73</v>
      </c>
      <c r="E4" s="9">
        <v>355.0</v>
      </c>
      <c r="F4" s="9">
        <v>350.0</v>
      </c>
      <c r="G4" s="9">
        <v>13.0</v>
      </c>
      <c r="H4" s="10">
        <v>11.0</v>
      </c>
      <c r="I4" s="8">
        <v>0.0</v>
      </c>
      <c r="J4" s="9">
        <v>5.0</v>
      </c>
      <c r="K4" s="9">
        <v>15.25</v>
      </c>
      <c r="L4" s="9">
        <v>350.0</v>
      </c>
      <c r="M4" s="9">
        <v>345.0</v>
      </c>
      <c r="N4" s="9">
        <v>13.0</v>
      </c>
      <c r="O4" s="10">
        <v>5.0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 t="s">
        <v>9</v>
      </c>
      <c r="C5" s="1" t="s">
        <v>10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1" t="s">
        <v>2</v>
      </c>
      <c r="D7" s="12" t="s">
        <v>3</v>
      </c>
      <c r="E7" s="12" t="s">
        <v>11</v>
      </c>
      <c r="F7" s="13" t="s">
        <v>12</v>
      </c>
      <c r="G7" s="1"/>
      <c r="H7" s="1" t="s">
        <v>13</v>
      </c>
      <c r="I7" s="1" t="s">
        <v>14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1">
        <v>1.0</v>
      </c>
      <c r="C8" s="11">
        <v>0.0</v>
      </c>
      <c r="D8" s="12">
        <v>5.0</v>
      </c>
      <c r="E8" s="1">
        <v>30.56</v>
      </c>
      <c r="F8" s="14">
        <v>175.0</v>
      </c>
      <c r="G8" s="1"/>
      <c r="H8" s="1">
        <f>(PI()*(POWER((G4/1000),2)/4))</f>
        <v>0.0001327322896</v>
      </c>
      <c r="I8" s="1">
        <v>9.81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5">
        <v>2.0</v>
      </c>
      <c r="C9" s="15">
        <v>0.0</v>
      </c>
      <c r="D9" s="1">
        <v>5.0</v>
      </c>
      <c r="E9" s="1">
        <v>27.8</v>
      </c>
      <c r="F9" s="14">
        <v>195.0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5">
        <v>3.0</v>
      </c>
      <c r="C10" s="15">
        <v>0.0</v>
      </c>
      <c r="D10" s="1">
        <v>5.0</v>
      </c>
      <c r="E10" s="12">
        <v>28.18</v>
      </c>
      <c r="F10" s="13">
        <v>220.0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5">
        <v>4.0</v>
      </c>
      <c r="C11" s="15">
        <v>0.0</v>
      </c>
      <c r="D11" s="1">
        <v>5.0</v>
      </c>
      <c r="E11" s="1">
        <v>25.98</v>
      </c>
      <c r="F11" s="14">
        <v>250.0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5">
        <v>5.0</v>
      </c>
      <c r="C12" s="15">
        <v>0.0</v>
      </c>
      <c r="D12" s="1">
        <v>5.0</v>
      </c>
      <c r="E12" s="1">
        <v>24.42</v>
      </c>
      <c r="F12" s="14">
        <v>285.0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5">
        <v>6.0</v>
      </c>
      <c r="C13" s="15">
        <v>0.0</v>
      </c>
      <c r="D13" s="1">
        <v>5.0</v>
      </c>
      <c r="E13" s="1">
        <v>23.8</v>
      </c>
      <c r="F13" s="14">
        <v>300.0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5">
        <v>7.0</v>
      </c>
      <c r="C14" s="15">
        <v>0.0</v>
      </c>
      <c r="D14" s="1">
        <v>5.0</v>
      </c>
      <c r="E14" s="1">
        <v>22.82</v>
      </c>
      <c r="F14" s="14">
        <v>315.0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8">
        <v>8.0</v>
      </c>
      <c r="C15" s="8">
        <v>0.0</v>
      </c>
      <c r="D15" s="16">
        <v>5.0</v>
      </c>
      <c r="E15" s="16">
        <v>21.88</v>
      </c>
      <c r="F15" s="10">
        <v>335.0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 t="s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"/>
      <c r="C18" s="3"/>
      <c r="D18" s="3"/>
      <c r="E18" s="3"/>
      <c r="F18" s="3"/>
      <c r="G18" s="3"/>
      <c r="H18" s="3"/>
      <c r="I18" s="3"/>
      <c r="J18" s="4"/>
      <c r="K18" s="2"/>
      <c r="L18" s="3"/>
      <c r="M18" s="3"/>
      <c r="N18" s="3"/>
      <c r="O18" s="3"/>
      <c r="P18" s="3"/>
      <c r="Q18" s="3"/>
      <c r="R18" s="3"/>
      <c r="S18" s="4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5" t="s">
        <v>16</v>
      </c>
      <c r="C19" s="17" t="s">
        <v>17</v>
      </c>
      <c r="D19" s="17" t="s">
        <v>18</v>
      </c>
      <c r="E19" s="17" t="s">
        <v>6</v>
      </c>
      <c r="F19" s="17" t="s">
        <v>19</v>
      </c>
      <c r="G19" s="17" t="s">
        <v>7</v>
      </c>
      <c r="H19" s="17" t="s">
        <v>20</v>
      </c>
      <c r="I19" s="18" t="s">
        <v>21</v>
      </c>
      <c r="J19" s="1"/>
      <c r="K19" s="5" t="s">
        <v>16</v>
      </c>
      <c r="L19" s="17" t="s">
        <v>17</v>
      </c>
      <c r="M19" s="17" t="s">
        <v>18</v>
      </c>
      <c r="N19" s="17" t="s">
        <v>6</v>
      </c>
      <c r="O19" s="17" t="s">
        <v>19</v>
      </c>
      <c r="P19" s="17" t="s">
        <v>7</v>
      </c>
      <c r="Q19" s="17" t="s">
        <v>20</v>
      </c>
      <c r="R19" s="18" t="s">
        <v>21</v>
      </c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8">
        <f>(C4/D4)/1000</f>
        <v>0.000253421186</v>
      </c>
      <c r="C20" s="19">
        <v>355.0</v>
      </c>
      <c r="D20" s="19">
        <f>B20/(H8*SQRT(2*I8*(C20/1000)))</f>
        <v>0.7234402286</v>
      </c>
      <c r="E20" s="19">
        <v>350.0</v>
      </c>
      <c r="F20" s="19">
        <f>SQRT(E20)/SQRT(C20)</f>
        <v>0.9929327736</v>
      </c>
      <c r="G20" s="19">
        <v>13.0</v>
      </c>
      <c r="H20" s="19">
        <v>11.0</v>
      </c>
      <c r="I20" s="20">
        <f>(POWER(G20,2)/POWER(H20,2))</f>
        <v>1.396694215</v>
      </c>
      <c r="J20" s="1"/>
      <c r="K20" s="8">
        <f>(J4/K4)/1000</f>
        <v>0.0003278688525</v>
      </c>
      <c r="L20" s="19">
        <f>L4</f>
        <v>350</v>
      </c>
      <c r="M20" s="19">
        <f>K20/(H8*SQRT(2*I8*(L20/1000)))</f>
        <v>0.9426273814</v>
      </c>
      <c r="N20" s="19"/>
      <c r="O20" s="19"/>
      <c r="P20" s="19"/>
      <c r="Q20" s="19"/>
      <c r="R20" s="19"/>
      <c r="S20" s="20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 t="s">
        <v>22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1"/>
      <c r="C24" s="2" t="s">
        <v>23</v>
      </c>
      <c r="D24" s="3"/>
      <c r="E24" s="3"/>
      <c r="F24" s="4"/>
      <c r="G24" s="21" t="s">
        <v>24</v>
      </c>
      <c r="H24" s="3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22" t="s">
        <v>2</v>
      </c>
      <c r="D25" s="22" t="s">
        <v>3</v>
      </c>
      <c r="E25" s="22" t="s">
        <v>11</v>
      </c>
      <c r="F25" s="22" t="s">
        <v>25</v>
      </c>
      <c r="G25" s="22" t="s">
        <v>16</v>
      </c>
      <c r="H25" s="22" t="s">
        <v>26</v>
      </c>
      <c r="I25" s="13" t="s">
        <v>27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1">
        <v>1.0</v>
      </c>
      <c r="C26" s="11">
        <v>0.0</v>
      </c>
      <c r="D26" s="12">
        <v>5.0</v>
      </c>
      <c r="E26" s="12">
        <v>30.56</v>
      </c>
      <c r="F26" s="13">
        <v>175.0</v>
      </c>
      <c r="G26" s="12">
        <f t="shared" ref="G26:G33" si="1">(D26/E26)/1000</f>
        <v>0.0001636125654</v>
      </c>
      <c r="H26" s="12">
        <f t="shared" ref="H26:H33" si="2">SQRT(F26)</f>
        <v>13.22875656</v>
      </c>
      <c r="I26" s="13">
        <f t="shared" ref="I26:I33" si="3">G26/(($H$8)*SQRT(2*(F26/1000)*($I$8)))</f>
        <v>0.6652295652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5">
        <v>2.0</v>
      </c>
      <c r="C27" s="15">
        <v>0.0</v>
      </c>
      <c r="D27" s="1">
        <v>5.0</v>
      </c>
      <c r="E27" s="1">
        <v>27.8</v>
      </c>
      <c r="F27" s="14">
        <v>195.0</v>
      </c>
      <c r="G27" s="1">
        <f t="shared" si="1"/>
        <v>0.0001798561151</v>
      </c>
      <c r="H27" s="1">
        <f t="shared" si="2"/>
        <v>13.96424004</v>
      </c>
      <c r="I27" s="14">
        <f t="shared" si="3"/>
        <v>0.6927584235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5">
        <v>3.0</v>
      </c>
      <c r="C28" s="15">
        <v>0.0</v>
      </c>
      <c r="D28" s="1">
        <v>5.0</v>
      </c>
      <c r="E28" s="1">
        <v>28.18</v>
      </c>
      <c r="F28" s="14">
        <v>220.0</v>
      </c>
      <c r="G28" s="1">
        <f t="shared" si="1"/>
        <v>0.000177430802</v>
      </c>
      <c r="H28" s="1">
        <f t="shared" si="2"/>
        <v>14.83239697</v>
      </c>
      <c r="I28" s="14">
        <f t="shared" si="3"/>
        <v>0.6434156018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5">
        <v>4.0</v>
      </c>
      <c r="C29" s="15">
        <v>0.0</v>
      </c>
      <c r="D29" s="1">
        <v>5.0</v>
      </c>
      <c r="E29" s="1">
        <v>25.98</v>
      </c>
      <c r="F29" s="14">
        <v>250.0</v>
      </c>
      <c r="G29" s="1">
        <f t="shared" si="1"/>
        <v>0.0001924557352</v>
      </c>
      <c r="H29" s="1">
        <f t="shared" si="2"/>
        <v>15.8113883</v>
      </c>
      <c r="I29" s="14">
        <f t="shared" si="3"/>
        <v>0.6546885805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5">
        <v>5.0</v>
      </c>
      <c r="C30" s="15">
        <v>0.0</v>
      </c>
      <c r="D30" s="1">
        <v>5.0</v>
      </c>
      <c r="E30" s="1">
        <v>24.42</v>
      </c>
      <c r="F30" s="14">
        <v>285.0</v>
      </c>
      <c r="G30" s="1">
        <f t="shared" si="1"/>
        <v>0.0002047502048</v>
      </c>
      <c r="H30" s="1">
        <f t="shared" si="2"/>
        <v>16.88194302</v>
      </c>
      <c r="I30" s="14">
        <f t="shared" si="3"/>
        <v>0.6523427307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5">
        <v>6.0</v>
      </c>
      <c r="C31" s="15">
        <v>0.0</v>
      </c>
      <c r="D31" s="1">
        <v>5.0</v>
      </c>
      <c r="E31" s="1">
        <v>23.8</v>
      </c>
      <c r="F31" s="14">
        <v>300.0</v>
      </c>
      <c r="G31" s="1">
        <f t="shared" si="1"/>
        <v>0.0002100840336</v>
      </c>
      <c r="H31" s="1">
        <f t="shared" si="2"/>
        <v>17.32050808</v>
      </c>
      <c r="I31" s="14">
        <f t="shared" si="3"/>
        <v>0.6523885534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5">
        <v>7.0</v>
      </c>
      <c r="C32" s="15">
        <v>0.0</v>
      </c>
      <c r="D32" s="1">
        <v>5.0</v>
      </c>
      <c r="E32" s="1">
        <v>22.82</v>
      </c>
      <c r="F32" s="14">
        <v>315.0</v>
      </c>
      <c r="G32" s="1">
        <f t="shared" si="1"/>
        <v>0.0002191060473</v>
      </c>
      <c r="H32" s="1">
        <f t="shared" si="2"/>
        <v>17.74823935</v>
      </c>
      <c r="I32" s="14">
        <f t="shared" si="3"/>
        <v>0.6640075231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8">
        <v>8.0</v>
      </c>
      <c r="C33" s="8">
        <v>0.0</v>
      </c>
      <c r="D33" s="16">
        <v>5.0</v>
      </c>
      <c r="E33" s="16">
        <v>21.88</v>
      </c>
      <c r="F33" s="10">
        <v>335.0</v>
      </c>
      <c r="G33" s="16">
        <f t="shared" si="1"/>
        <v>0.0002285191956</v>
      </c>
      <c r="H33" s="16">
        <f t="shared" si="2"/>
        <v>18.30300522</v>
      </c>
      <c r="I33" s="10">
        <f t="shared" si="3"/>
        <v>0.6715435708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 t="s">
        <v>28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:H2"/>
    <mergeCell ref="I2:O2"/>
    <mergeCell ref="B18:J18"/>
    <mergeCell ref="K18:S18"/>
    <mergeCell ref="C24:F24"/>
    <mergeCell ref="G24:I2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3.86"/>
    <col customWidth="1" min="3" max="3" width="17.71"/>
    <col customWidth="1" min="4" max="4" width="10.57"/>
    <col customWidth="1" min="5" max="5" width="18.29"/>
    <col customWidth="1" min="6" max="6" width="18.14"/>
    <col customWidth="1" min="7" max="7" width="14.43"/>
    <col customWidth="1" min="8" max="8" width="12.57"/>
    <col customWidth="1" min="9" max="9" width="10.57"/>
    <col customWidth="1" min="10" max="10" width="13.29"/>
    <col customWidth="1" min="11" max="11" width="13.71"/>
    <col customWidth="1" min="12" max="13" width="10.57"/>
    <col customWidth="1" min="14" max="14" width="13.14"/>
    <col customWidth="1" min="15" max="15" width="12.57"/>
    <col customWidth="1" min="16" max="26" width="10.57"/>
  </cols>
  <sheetData>
    <row r="1" ht="14.25" customHeight="1"/>
    <row r="2" ht="14.25" customHeight="1">
      <c r="B2" s="23" t="s">
        <v>29</v>
      </c>
      <c r="C2" s="3"/>
      <c r="D2" s="3"/>
      <c r="E2" s="4"/>
      <c r="F2" s="23" t="s">
        <v>30</v>
      </c>
      <c r="G2" s="3"/>
      <c r="H2" s="3"/>
      <c r="I2" s="4"/>
    </row>
    <row r="3" ht="14.25" customHeight="1">
      <c r="B3" s="24" t="s">
        <v>31</v>
      </c>
      <c r="C3" s="25" t="s">
        <v>32</v>
      </c>
      <c r="D3" s="25" t="s">
        <v>33</v>
      </c>
      <c r="E3" s="26" t="s">
        <v>34</v>
      </c>
      <c r="F3" s="24" t="s">
        <v>31</v>
      </c>
      <c r="G3" s="25" t="s">
        <v>32</v>
      </c>
      <c r="H3" s="25" t="s">
        <v>33</v>
      </c>
      <c r="I3" s="26" t="s">
        <v>34</v>
      </c>
    </row>
    <row r="4" ht="14.25" customHeight="1">
      <c r="B4" s="1">
        <v>0.0</v>
      </c>
      <c r="C4" s="1">
        <v>5.0</v>
      </c>
      <c r="D4" s="1">
        <v>10.0</v>
      </c>
      <c r="E4" s="1">
        <v>45.0</v>
      </c>
      <c r="F4" s="1">
        <v>0.0</v>
      </c>
      <c r="G4" s="1">
        <v>10.0</v>
      </c>
      <c r="H4" s="1">
        <v>60.0</v>
      </c>
      <c r="I4" s="1">
        <v>17.9</v>
      </c>
      <c r="J4" s="1"/>
    </row>
    <row r="5" ht="14.25" customHeight="1">
      <c r="B5" s="1">
        <v>0.0</v>
      </c>
      <c r="C5" s="1">
        <v>25.0</v>
      </c>
      <c r="D5" s="1">
        <v>60.0</v>
      </c>
      <c r="E5" s="1">
        <v>42.0</v>
      </c>
      <c r="F5" s="1">
        <v>0.0</v>
      </c>
      <c r="G5" s="1">
        <v>15.0</v>
      </c>
      <c r="H5" s="1">
        <v>60.0</v>
      </c>
      <c r="I5" s="1">
        <v>24.0</v>
      </c>
      <c r="J5" s="1"/>
    </row>
    <row r="6" ht="14.25" customHeight="1">
      <c r="B6" s="1">
        <v>0.0</v>
      </c>
      <c r="C6" s="1">
        <v>20.0</v>
      </c>
      <c r="D6" s="1">
        <v>60.0</v>
      </c>
      <c r="E6" s="1">
        <v>35.4</v>
      </c>
      <c r="F6" s="1">
        <v>0.0</v>
      </c>
      <c r="G6" s="1">
        <v>7.0</v>
      </c>
      <c r="H6" s="1">
        <v>60.0</v>
      </c>
      <c r="I6" s="1">
        <v>16.5</v>
      </c>
      <c r="J6" s="1"/>
    </row>
    <row r="7" ht="14.25" customHeight="1">
      <c r="B7" s="1">
        <v>0.0</v>
      </c>
      <c r="C7" s="1">
        <v>15.0</v>
      </c>
      <c r="D7" s="1">
        <v>60.0</v>
      </c>
      <c r="E7" s="1">
        <v>28.5</v>
      </c>
      <c r="F7" s="1">
        <v>0.0</v>
      </c>
      <c r="G7" s="1">
        <v>13.0</v>
      </c>
      <c r="H7" s="1">
        <v>60.0</v>
      </c>
      <c r="I7" s="1">
        <v>21.2</v>
      </c>
      <c r="J7" s="1"/>
    </row>
    <row r="8" ht="14.25" customHeight="1">
      <c r="B8" s="1">
        <v>0.0</v>
      </c>
      <c r="C8" s="1">
        <v>10.0</v>
      </c>
      <c r="D8" s="1">
        <v>60.0</v>
      </c>
      <c r="E8" s="1">
        <v>16.9</v>
      </c>
      <c r="F8" s="1">
        <v>0.0</v>
      </c>
      <c r="G8" s="1">
        <v>17.0</v>
      </c>
      <c r="H8" s="1">
        <v>60.0</v>
      </c>
      <c r="I8" s="1">
        <v>25.7</v>
      </c>
      <c r="J8" s="1"/>
    </row>
    <row r="9" ht="14.25" customHeight="1">
      <c r="B9" s="1">
        <v>0.0</v>
      </c>
      <c r="C9" s="1">
        <v>13.0</v>
      </c>
      <c r="D9" s="1">
        <v>60.0</v>
      </c>
      <c r="E9" s="1">
        <v>29.2</v>
      </c>
      <c r="F9" s="1">
        <v>0.0</v>
      </c>
      <c r="G9" s="27">
        <v>9.0</v>
      </c>
      <c r="H9" s="1">
        <v>60.0</v>
      </c>
      <c r="I9" s="1">
        <v>17.7</v>
      </c>
      <c r="J9" s="1"/>
    </row>
    <row r="10" ht="14.25" customHeight="1">
      <c r="B10" s="1">
        <v>0.0</v>
      </c>
      <c r="C10" s="1">
        <v>5.0</v>
      </c>
      <c r="D10" s="1">
        <v>10.21</v>
      </c>
      <c r="E10" s="1">
        <v>51.8</v>
      </c>
      <c r="F10" s="1">
        <v>0.0</v>
      </c>
      <c r="G10" s="1">
        <v>4.0</v>
      </c>
      <c r="H10" s="1">
        <v>60.0</v>
      </c>
      <c r="I10" s="1">
        <v>10.7</v>
      </c>
      <c r="J10" s="1"/>
    </row>
    <row r="11" ht="14.25" customHeight="1">
      <c r="A11" s="28" t="s">
        <v>35</v>
      </c>
      <c r="B11" s="1">
        <v>0.0</v>
      </c>
      <c r="C11" s="1">
        <v>0.0</v>
      </c>
      <c r="D11" s="1">
        <v>0.0</v>
      </c>
      <c r="E11" s="1">
        <v>81.9</v>
      </c>
      <c r="F11" s="1">
        <v>0.0</v>
      </c>
      <c r="G11" s="1">
        <v>0.0</v>
      </c>
      <c r="H11" s="1">
        <v>0.0</v>
      </c>
      <c r="I11" s="27">
        <v>128.3</v>
      </c>
      <c r="J11" s="1"/>
    </row>
    <row r="12" ht="14.25" customHeight="1">
      <c r="B12" s="29" t="s">
        <v>36</v>
      </c>
      <c r="G12" s="29" t="s">
        <v>36</v>
      </c>
    </row>
    <row r="13" ht="14.25" customHeight="1"/>
    <row r="14" ht="14.25" customHeight="1">
      <c r="B14" s="30" t="s">
        <v>29</v>
      </c>
      <c r="C14" s="31"/>
      <c r="D14" s="23" t="s">
        <v>30</v>
      </c>
      <c r="E14" s="4"/>
      <c r="G14" s="32" t="s">
        <v>37</v>
      </c>
      <c r="J14" s="28" t="s">
        <v>38</v>
      </c>
      <c r="K14" s="28">
        <v>0.03</v>
      </c>
      <c r="L14" s="28" t="s">
        <v>39</v>
      </c>
      <c r="N14" s="32" t="s">
        <v>40</v>
      </c>
    </row>
    <row r="15" ht="14.25" customHeight="1">
      <c r="B15" s="24" t="s">
        <v>41</v>
      </c>
      <c r="C15" s="26" t="s">
        <v>42</v>
      </c>
      <c r="D15" s="24" t="s">
        <v>43</v>
      </c>
      <c r="E15" s="26" t="s">
        <v>44</v>
      </c>
      <c r="G15" s="32" t="s">
        <v>45</v>
      </c>
      <c r="H15" s="32" t="s">
        <v>46</v>
      </c>
      <c r="J15" s="28" t="s">
        <v>47</v>
      </c>
      <c r="K15" s="29">
        <f>PI()/2</f>
        <v>1.570796327</v>
      </c>
      <c r="L15" s="28" t="s">
        <v>48</v>
      </c>
      <c r="N15" s="32" t="s">
        <v>45</v>
      </c>
      <c r="O15" s="32" t="s">
        <v>46</v>
      </c>
    </row>
    <row r="16" ht="14.25" customHeight="1">
      <c r="B16" s="33">
        <f t="shared" ref="B16:B22" si="1">POWER(E4/1000,3/2)</f>
        <v>0.009545941546</v>
      </c>
      <c r="C16" s="34">
        <f t="shared" ref="C16:C22" si="2">(C4/D4)/1000</f>
        <v>0.0005</v>
      </c>
      <c r="D16" s="33">
        <f t="shared" ref="D16:D22" si="3">POWER(I4/1000,5/2)</f>
        <v>0.00004286793637</v>
      </c>
      <c r="E16" s="34">
        <f t="shared" ref="E16:E22" si="4">(G4/H4)/1000</f>
        <v>0.0001666666667</v>
      </c>
      <c r="G16" s="29">
        <f t="shared" ref="G16:G22" si="5">2/3*SQRT(2*9.81)*$K$14*B16</f>
        <v>0.0008456648272</v>
      </c>
      <c r="H16" s="29">
        <f t="shared" ref="H16:H22" si="6">8/15*TAN($K$15/2)*SQRT(2*9.81)*D16</f>
        <v>0.0001012699993</v>
      </c>
      <c r="N16" s="29">
        <f t="shared" ref="N16:N22" si="7">C16/G16</f>
        <v>0.5912507933</v>
      </c>
      <c r="O16" s="29">
        <f t="shared" ref="O16:O22" si="8">E16/H16</f>
        <v>1.645765457</v>
      </c>
    </row>
    <row r="17" ht="14.25" customHeight="1">
      <c r="B17" s="33">
        <f t="shared" si="1"/>
        <v>0.008607438643</v>
      </c>
      <c r="C17" s="34">
        <f t="shared" si="2"/>
        <v>0.0004166666667</v>
      </c>
      <c r="D17" s="33">
        <f t="shared" si="3"/>
        <v>0.0000892335363</v>
      </c>
      <c r="E17" s="34">
        <f t="shared" si="4"/>
        <v>0.00025</v>
      </c>
      <c r="G17" s="29">
        <f t="shared" si="5"/>
        <v>0.0007625238514</v>
      </c>
      <c r="H17" s="29">
        <f t="shared" si="6"/>
        <v>0.0002108027799</v>
      </c>
      <c r="J17" s="32" t="s">
        <v>49</v>
      </c>
      <c r="N17" s="29">
        <f t="shared" si="7"/>
        <v>0.5464309948</v>
      </c>
      <c r="O17" s="29">
        <f t="shared" si="8"/>
        <v>1.185942615</v>
      </c>
    </row>
    <row r="18" ht="14.25" customHeight="1">
      <c r="B18" s="33">
        <f t="shared" si="1"/>
        <v>0.006660470254</v>
      </c>
      <c r="C18" s="34">
        <f t="shared" si="2"/>
        <v>0.0003333333333</v>
      </c>
      <c r="D18" s="33">
        <f t="shared" si="3"/>
        <v>0.0000349711457</v>
      </c>
      <c r="E18" s="34">
        <f t="shared" si="4"/>
        <v>0.0001166666667</v>
      </c>
      <c r="G18" s="29">
        <f t="shared" si="5"/>
        <v>0.0005900439888</v>
      </c>
      <c r="H18" s="29">
        <f t="shared" si="6"/>
        <v>0.00008261484455</v>
      </c>
      <c r="J18" s="32" t="s">
        <v>45</v>
      </c>
      <c r="K18" s="32" t="s">
        <v>46</v>
      </c>
      <c r="N18" s="29">
        <f t="shared" si="7"/>
        <v>0.5649296318</v>
      </c>
      <c r="O18" s="29">
        <f t="shared" si="8"/>
        <v>1.412175588</v>
      </c>
    </row>
    <row r="19" ht="14.25" customHeight="1">
      <c r="B19" s="33">
        <f t="shared" si="1"/>
        <v>0.00481135376</v>
      </c>
      <c r="C19" s="34">
        <f t="shared" si="2"/>
        <v>0.00025</v>
      </c>
      <c r="D19" s="33">
        <f t="shared" si="3"/>
        <v>0.00006543945177</v>
      </c>
      <c r="E19" s="34">
        <f t="shared" si="4"/>
        <v>0.0002166666667</v>
      </c>
      <c r="G19" s="29">
        <f t="shared" si="5"/>
        <v>0.0004262327216</v>
      </c>
      <c r="H19" s="29">
        <f t="shared" si="6"/>
        <v>0.0001545923083</v>
      </c>
      <c r="J19" s="29">
        <f>2/3*SQRT(2*9.81)*$K$14</f>
        <v>0.08858893836</v>
      </c>
      <c r="K19" s="29">
        <f>8/15*TAN($K$15/2)*SQRT(2*9.81)</f>
        <v>2.36237169</v>
      </c>
      <c r="N19" s="29">
        <f t="shared" si="7"/>
        <v>0.5865340395</v>
      </c>
      <c r="O19" s="29">
        <f t="shared" si="8"/>
        <v>1.401535879</v>
      </c>
    </row>
    <row r="20" ht="14.25" customHeight="1">
      <c r="B20" s="33">
        <f t="shared" si="1"/>
        <v>0.002197</v>
      </c>
      <c r="C20" s="34">
        <f t="shared" si="2"/>
        <v>0.0001666666667</v>
      </c>
      <c r="D20" s="33">
        <f t="shared" si="3"/>
        <v>0.000105884602</v>
      </c>
      <c r="E20" s="34">
        <f t="shared" si="4"/>
        <v>0.0002833333333</v>
      </c>
      <c r="G20" s="29">
        <f t="shared" si="5"/>
        <v>0.0001946298976</v>
      </c>
      <c r="H20" s="29">
        <f t="shared" si="6"/>
        <v>0.000250138786</v>
      </c>
      <c r="N20" s="29">
        <f t="shared" si="7"/>
        <v>0.8563261284</v>
      </c>
      <c r="O20" s="29">
        <f t="shared" si="8"/>
        <v>1.132704519</v>
      </c>
    </row>
    <row r="21" ht="14.25" customHeight="1">
      <c r="B21" s="33">
        <f t="shared" si="1"/>
        <v>0.004989698187</v>
      </c>
      <c r="C21" s="34">
        <f t="shared" si="2"/>
        <v>0.0002166666667</v>
      </c>
      <c r="D21" s="33">
        <f t="shared" si="3"/>
        <v>0.00004168052359</v>
      </c>
      <c r="E21" s="34">
        <f t="shared" si="4"/>
        <v>0.00015</v>
      </c>
      <c r="G21" s="29">
        <f t="shared" si="5"/>
        <v>0.0004420320652</v>
      </c>
      <c r="H21" s="29">
        <f t="shared" si="6"/>
        <v>0.00009846488893</v>
      </c>
      <c r="N21" s="29">
        <f t="shared" si="7"/>
        <v>0.4901605194</v>
      </c>
      <c r="O21" s="29">
        <f t="shared" si="8"/>
        <v>1.523385662</v>
      </c>
    </row>
    <row r="22" ht="14.25" customHeight="1">
      <c r="B22" s="33">
        <f t="shared" si="1"/>
        <v>0.01178947972</v>
      </c>
      <c r="C22" s="34">
        <f t="shared" si="2"/>
        <v>0.0004897159647</v>
      </c>
      <c r="D22" s="33">
        <f t="shared" si="3"/>
        <v>0.00001184293769</v>
      </c>
      <c r="E22" s="34">
        <f t="shared" si="4"/>
        <v>0.00006666666667</v>
      </c>
      <c r="G22" s="29">
        <f t="shared" si="5"/>
        <v>0.001044417492</v>
      </c>
      <c r="H22" s="29">
        <f t="shared" si="6"/>
        <v>0.00002797742072</v>
      </c>
      <c r="N22" s="29">
        <f t="shared" si="7"/>
        <v>0.4688890875</v>
      </c>
      <c r="O22" s="29">
        <f t="shared" si="8"/>
        <v>2.382873938</v>
      </c>
    </row>
    <row r="23" ht="14.25" customHeight="1">
      <c r="B23" s="33"/>
      <c r="C23" s="34"/>
      <c r="D23" s="33"/>
      <c r="E23" s="34"/>
      <c r="M23" s="28" t="s">
        <v>50</v>
      </c>
      <c r="N23" s="29">
        <f t="shared" ref="N23:O23" si="9">AVERAGE(N16:N22)</f>
        <v>0.5863601707</v>
      </c>
      <c r="O23" s="29">
        <f t="shared" si="9"/>
        <v>1.526340523</v>
      </c>
    </row>
    <row r="24" ht="14.25" customHeight="1">
      <c r="B24" s="29" t="s">
        <v>51</v>
      </c>
      <c r="G24" s="29" t="s">
        <v>52</v>
      </c>
    </row>
    <row r="25" ht="14.25" customHeight="1"/>
    <row r="26" ht="14.25" customHeight="1">
      <c r="B26" s="23" t="s">
        <v>53</v>
      </c>
      <c r="C26" s="3"/>
      <c r="D26" s="3"/>
      <c r="E26" s="3"/>
      <c r="F26" s="4"/>
    </row>
    <row r="27" ht="14.25" customHeight="1">
      <c r="B27" s="23" t="s">
        <v>45</v>
      </c>
      <c r="C27" s="4"/>
      <c r="E27" s="23" t="s">
        <v>46</v>
      </c>
      <c r="F27" s="4"/>
    </row>
    <row r="28" ht="14.25" customHeight="1">
      <c r="B28" s="23" t="s">
        <v>54</v>
      </c>
      <c r="C28" s="4"/>
      <c r="E28" s="23" t="s">
        <v>55</v>
      </c>
      <c r="F28" s="4"/>
    </row>
    <row r="29" ht="14.25" customHeight="1">
      <c r="B29" s="35" t="s">
        <v>56</v>
      </c>
      <c r="C29" s="36">
        <v>0.047337526058273</v>
      </c>
      <c r="E29" s="35" t="s">
        <v>56</v>
      </c>
      <c r="F29" s="36">
        <v>2.98484514630211</v>
      </c>
    </row>
    <row r="30" ht="14.25" customHeight="1">
      <c r="B30" s="37" t="s">
        <v>57</v>
      </c>
      <c r="C30" s="34">
        <f>J19</f>
        <v>0.08858893836</v>
      </c>
      <c r="E30" s="37" t="s">
        <v>57</v>
      </c>
      <c r="F30" s="34">
        <f>K19</f>
        <v>2.36237169</v>
      </c>
    </row>
    <row r="31" ht="14.25" customHeight="1">
      <c r="B31" s="38" t="s">
        <v>58</v>
      </c>
      <c r="C31" s="39">
        <f>N23</f>
        <v>0.5863601707</v>
      </c>
      <c r="E31" s="40" t="s">
        <v>58</v>
      </c>
      <c r="F31" s="39">
        <f>O23</f>
        <v>1.526340523</v>
      </c>
    </row>
    <row r="32" ht="91.5" customHeight="1">
      <c r="B32" s="41" t="s">
        <v>59</v>
      </c>
      <c r="C32" s="42"/>
      <c r="E32" s="41" t="s">
        <v>60</v>
      </c>
      <c r="F32" s="42"/>
    </row>
    <row r="33" ht="14.25" customHeight="1"/>
    <row r="34" ht="14.25" customHeight="1">
      <c r="B34" s="43" t="s">
        <v>29</v>
      </c>
      <c r="C34" s="42"/>
      <c r="D34" s="31"/>
      <c r="F34" s="43" t="s">
        <v>30</v>
      </c>
      <c r="G34" s="42"/>
      <c r="H34" s="31"/>
    </row>
    <row r="35" ht="14.25" customHeight="1">
      <c r="B35" s="24" t="s">
        <v>61</v>
      </c>
      <c r="C35" s="25" t="s">
        <v>42</v>
      </c>
      <c r="D35" s="26" t="s">
        <v>58</v>
      </c>
      <c r="E35" s="28" t="s">
        <v>62</v>
      </c>
      <c r="F35" s="24" t="s">
        <v>61</v>
      </c>
      <c r="G35" s="25" t="s">
        <v>42</v>
      </c>
      <c r="H35" s="26" t="s">
        <v>58</v>
      </c>
      <c r="I35" s="44" t="s">
        <v>62</v>
      </c>
    </row>
    <row r="36" ht="14.25" customHeight="1">
      <c r="B36" s="33">
        <f t="shared" ref="B36:B42" si="10">E4/$E$11</f>
        <v>0.5494505495</v>
      </c>
      <c r="C36" s="45">
        <f t="shared" ref="C36:C42" si="11">C16</f>
        <v>0.0005</v>
      </c>
      <c r="D36" s="29">
        <f t="shared" ref="D36:D42" si="12">N16</f>
        <v>0.5912507933</v>
      </c>
      <c r="E36" s="29">
        <f t="shared" ref="E36:E42" si="13">0.611+0.075*B36</f>
        <v>0.6522087912</v>
      </c>
      <c r="F36" s="33">
        <f t="shared" ref="F36:F42" si="14">I4/$I$11</f>
        <v>0.1395167576</v>
      </c>
      <c r="G36" s="45">
        <f t="shared" ref="G36:G42" si="15">E16</f>
        <v>0.0001666666667</v>
      </c>
      <c r="H36" s="34">
        <f t="shared" ref="H36:H42" si="16">O16</f>
        <v>1.645765457</v>
      </c>
      <c r="I36" s="46">
        <f t="shared" ref="I36:I42" si="17">0.611+0.075*F36</f>
        <v>0.6214637568</v>
      </c>
    </row>
    <row r="37" ht="14.25" customHeight="1">
      <c r="B37" s="33">
        <f t="shared" si="10"/>
        <v>0.5128205128</v>
      </c>
      <c r="C37" s="45">
        <f t="shared" si="11"/>
        <v>0.0004166666667</v>
      </c>
      <c r="D37" s="29">
        <f t="shared" si="12"/>
        <v>0.5464309948</v>
      </c>
      <c r="E37" s="29">
        <f t="shared" si="13"/>
        <v>0.6494615385</v>
      </c>
      <c r="F37" s="33">
        <f t="shared" si="14"/>
        <v>0.1870615744</v>
      </c>
      <c r="G37" s="45">
        <f t="shared" si="15"/>
        <v>0.00025</v>
      </c>
      <c r="H37" s="34">
        <f t="shared" si="16"/>
        <v>1.185942615</v>
      </c>
      <c r="I37" s="46">
        <f t="shared" si="17"/>
        <v>0.6250296181</v>
      </c>
    </row>
    <row r="38" ht="14.25" customHeight="1">
      <c r="B38" s="33">
        <f t="shared" si="10"/>
        <v>0.4322344322</v>
      </c>
      <c r="C38" s="45">
        <f t="shared" si="11"/>
        <v>0.0003333333333</v>
      </c>
      <c r="D38" s="29">
        <f t="shared" si="12"/>
        <v>0.5649296318</v>
      </c>
      <c r="E38" s="29">
        <f t="shared" si="13"/>
        <v>0.6434175824</v>
      </c>
      <c r="F38" s="33">
        <f t="shared" si="14"/>
        <v>0.1286048324</v>
      </c>
      <c r="G38" s="45">
        <f t="shared" si="15"/>
        <v>0.0001166666667</v>
      </c>
      <c r="H38" s="34">
        <f t="shared" si="16"/>
        <v>1.412175588</v>
      </c>
      <c r="I38" s="46">
        <f t="shared" si="17"/>
        <v>0.6206453624</v>
      </c>
    </row>
    <row r="39" ht="14.25" customHeight="1">
      <c r="B39" s="33">
        <f t="shared" si="10"/>
        <v>0.347985348</v>
      </c>
      <c r="C39" s="45">
        <f t="shared" si="11"/>
        <v>0.00025</v>
      </c>
      <c r="D39" s="29">
        <f t="shared" si="12"/>
        <v>0.5865340395</v>
      </c>
      <c r="E39" s="29">
        <f t="shared" si="13"/>
        <v>0.6370989011</v>
      </c>
      <c r="F39" s="33">
        <f t="shared" si="14"/>
        <v>0.1652377241</v>
      </c>
      <c r="G39" s="45">
        <f t="shared" si="15"/>
        <v>0.0002166666667</v>
      </c>
      <c r="H39" s="34">
        <f t="shared" si="16"/>
        <v>1.401535879</v>
      </c>
      <c r="I39" s="46">
        <f t="shared" si="17"/>
        <v>0.6233928293</v>
      </c>
    </row>
    <row r="40" ht="14.25" customHeight="1">
      <c r="B40" s="33">
        <f t="shared" si="10"/>
        <v>0.2063492063</v>
      </c>
      <c r="C40" s="45">
        <f t="shared" si="11"/>
        <v>0.0001666666667</v>
      </c>
      <c r="D40" s="29">
        <f t="shared" si="12"/>
        <v>0.8563261284</v>
      </c>
      <c r="E40" s="29">
        <f t="shared" si="13"/>
        <v>0.6264761905</v>
      </c>
      <c r="F40" s="33">
        <f t="shared" si="14"/>
        <v>0.2003117693</v>
      </c>
      <c r="G40" s="45">
        <f t="shared" si="15"/>
        <v>0.0002833333333</v>
      </c>
      <c r="H40" s="34">
        <f t="shared" si="16"/>
        <v>1.132704519</v>
      </c>
      <c r="I40" s="46">
        <f t="shared" si="17"/>
        <v>0.6260233827</v>
      </c>
    </row>
    <row r="41" ht="14.25" customHeight="1">
      <c r="B41" s="33">
        <f t="shared" si="10"/>
        <v>0.3565323565</v>
      </c>
      <c r="C41" s="45">
        <f t="shared" si="11"/>
        <v>0.0002166666667</v>
      </c>
      <c r="D41" s="29">
        <f t="shared" si="12"/>
        <v>0.4901605194</v>
      </c>
      <c r="E41" s="29">
        <f t="shared" si="13"/>
        <v>0.6377399267</v>
      </c>
      <c r="F41" s="33">
        <f t="shared" si="14"/>
        <v>0.1379579111</v>
      </c>
      <c r="G41" s="45">
        <f t="shared" si="15"/>
        <v>0.00015</v>
      </c>
      <c r="H41" s="34">
        <f t="shared" si="16"/>
        <v>1.523385662</v>
      </c>
      <c r="I41" s="46">
        <f t="shared" si="17"/>
        <v>0.6213468433</v>
      </c>
    </row>
    <row r="42" ht="14.25" customHeight="1">
      <c r="B42" s="33">
        <f t="shared" si="10"/>
        <v>0.6324786325</v>
      </c>
      <c r="C42" s="45">
        <f t="shared" si="11"/>
        <v>0.0004897159647</v>
      </c>
      <c r="D42" s="29">
        <f t="shared" si="12"/>
        <v>0.4688890875</v>
      </c>
      <c r="E42" s="29">
        <f t="shared" si="13"/>
        <v>0.6584358974</v>
      </c>
      <c r="F42" s="33">
        <f t="shared" si="14"/>
        <v>0.08339828527</v>
      </c>
      <c r="G42" s="45">
        <f t="shared" si="15"/>
        <v>0.00006666666667</v>
      </c>
      <c r="H42" s="34">
        <f t="shared" si="16"/>
        <v>2.382873938</v>
      </c>
      <c r="I42" s="46">
        <f t="shared" si="17"/>
        <v>0.6172548714</v>
      </c>
    </row>
    <row r="43" ht="14.25" customHeight="1">
      <c r="B43" s="33"/>
      <c r="C43" s="45"/>
      <c r="D43" s="34"/>
      <c r="F43" s="33"/>
      <c r="G43" s="45"/>
      <c r="H43" s="34"/>
    </row>
    <row r="44" ht="14.25" customHeight="1">
      <c r="B44" s="33"/>
      <c r="C44" s="45"/>
      <c r="D44" s="34"/>
      <c r="F44" s="33"/>
      <c r="G44" s="45"/>
      <c r="H44" s="34"/>
    </row>
    <row r="45" ht="14.25" customHeight="1">
      <c r="B45" s="47"/>
      <c r="C45" s="45"/>
      <c r="D45" s="39"/>
      <c r="F45" s="47"/>
      <c r="G45" s="48"/>
      <c r="H45" s="39"/>
    </row>
    <row r="46" ht="32.25" customHeight="1">
      <c r="B46" s="41" t="s">
        <v>63</v>
      </c>
      <c r="C46" s="42"/>
      <c r="D46" s="42"/>
      <c r="F46" s="41" t="s">
        <v>64</v>
      </c>
      <c r="G46" s="42"/>
      <c r="H46" s="42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B2:E2"/>
    <mergeCell ref="F2:I2"/>
    <mergeCell ref="B14:C14"/>
    <mergeCell ref="D14:E14"/>
    <mergeCell ref="G14:H14"/>
    <mergeCell ref="N14:O14"/>
    <mergeCell ref="J17:K17"/>
    <mergeCell ref="B34:D34"/>
    <mergeCell ref="F34:H34"/>
    <mergeCell ref="B46:D46"/>
    <mergeCell ref="F46:H46"/>
    <mergeCell ref="B26:F26"/>
    <mergeCell ref="B27:C27"/>
    <mergeCell ref="E27:F27"/>
    <mergeCell ref="B28:C28"/>
    <mergeCell ref="E28:F28"/>
    <mergeCell ref="B32:C32"/>
    <mergeCell ref="E32:F3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Spiderman is always hungry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